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სოფ. საგურამო" sheetId="2" r:id="rId1"/>
  </sheets>
  <definedNames>
    <definedName name="_xlnm.Print_Titles" localSheetId="0">'სოფ. საგურამო'!$9:$9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1" i="2" l="1"/>
  <c r="F295" i="2" s="1"/>
  <c r="F297" i="2"/>
  <c r="F281" i="2"/>
  <c r="F264" i="2" s="1"/>
  <c r="F293" i="2"/>
  <c r="E289" i="2"/>
  <c r="E288" i="2"/>
  <c r="E286" i="2"/>
  <c r="F286" i="2" s="1"/>
  <c r="E285" i="2"/>
  <c r="E284" i="2"/>
  <c r="E283" i="2"/>
  <c r="F283" i="2" s="1"/>
  <c r="E282" i="2"/>
  <c r="E274" i="2"/>
  <c r="E271" i="2"/>
  <c r="E270" i="2"/>
  <c r="E269" i="2"/>
  <c r="F269" i="2" s="1"/>
  <c r="E268" i="2"/>
  <c r="E267" i="2"/>
  <c r="E266" i="2"/>
  <c r="E265" i="2"/>
  <c r="E259" i="2"/>
  <c r="E258" i="2"/>
  <c r="E257" i="2"/>
  <c r="E256" i="2"/>
  <c r="E253" i="2"/>
  <c r="E252" i="2"/>
  <c r="E251" i="2"/>
  <c r="E249" i="2"/>
  <c r="F237" i="2"/>
  <c r="F201" i="2"/>
  <c r="F255" i="2" l="1"/>
  <c r="F259" i="2" s="1"/>
  <c r="F266" i="2"/>
  <c r="F267" i="2"/>
  <c r="F273" i="2"/>
  <c r="F275" i="2" s="1"/>
  <c r="F270" i="2"/>
  <c r="F248" i="2"/>
  <c r="F250" i="2" s="1"/>
  <c r="F251" i="2" s="1"/>
  <c r="F265" i="2"/>
  <c r="F276" i="2"/>
  <c r="F279" i="2" s="1"/>
  <c r="F284" i="2"/>
  <c r="F288" i="2"/>
  <c r="F290" i="2" s="1"/>
  <c r="F282" i="2"/>
  <c r="F285" i="2"/>
  <c r="F289" i="2"/>
  <c r="F271" i="2"/>
  <c r="F268" i="2"/>
  <c r="F274" i="2"/>
  <c r="F298" i="2"/>
  <c r="F261" i="2"/>
  <c r="F256" i="2"/>
  <c r="F262" i="2"/>
  <c r="F249" i="2"/>
  <c r="F299" i="2"/>
  <c r="F263" i="2"/>
  <c r="F280" i="2"/>
  <c r="F253" i="2"/>
  <c r="F254" i="2"/>
  <c r="F292" i="2"/>
  <c r="F294" i="2"/>
  <c r="F277" i="2" l="1"/>
  <c r="F257" i="2"/>
  <c r="F252" i="2"/>
  <c r="F258" i="2"/>
  <c r="F104" i="2" l="1"/>
  <c r="F102" i="2"/>
  <c r="F101" i="2"/>
  <c r="F105" i="2" l="1"/>
  <c r="F142" i="2"/>
  <c r="F138" i="2" s="1"/>
  <c r="E140" i="2"/>
  <c r="E139" i="2"/>
  <c r="E134" i="2"/>
  <c r="E133" i="2"/>
  <c r="F132" i="2"/>
  <c r="F136" i="2" s="1"/>
  <c r="E128" i="2"/>
  <c r="E126" i="2"/>
  <c r="E125" i="2"/>
  <c r="E124" i="2"/>
  <c r="F123" i="2"/>
  <c r="F131" i="2" s="1"/>
  <c r="E119" i="2"/>
  <c r="E118" i="2"/>
  <c r="F117" i="2"/>
  <c r="E115" i="2"/>
  <c r="E114" i="2"/>
  <c r="E113" i="2"/>
  <c r="E111" i="2"/>
  <c r="E109" i="2"/>
  <c r="E108" i="2"/>
  <c r="E107" i="2"/>
  <c r="F106" i="2"/>
  <c r="F119" i="2" l="1"/>
  <c r="F118" i="2"/>
  <c r="F121" i="2"/>
  <c r="F122" i="2" s="1"/>
  <c r="F140" i="2"/>
  <c r="F143" i="2"/>
  <c r="F139" i="2"/>
  <c r="F137" i="2"/>
  <c r="F108" i="2"/>
  <c r="F110" i="2"/>
  <c r="F111" i="2" s="1"/>
  <c r="F124" i="2"/>
  <c r="F128" i="2"/>
  <c r="F125" i="2"/>
  <c r="F107" i="2"/>
  <c r="F109" i="2"/>
  <c r="F133" i="2"/>
  <c r="F134" i="2"/>
  <c r="F126" i="2"/>
  <c r="F116" i="2" l="1"/>
  <c r="F112" i="2"/>
  <c r="F115" i="2" s="1"/>
  <c r="F130" i="2"/>
  <c r="F113" i="2" l="1"/>
  <c r="F114" i="2"/>
  <c r="E94" i="2"/>
  <c r="E93" i="2"/>
  <c r="F92" i="2"/>
  <c r="F96" i="2" s="1"/>
  <c r="E89" i="2"/>
  <c r="E87" i="2"/>
  <c r="E86" i="2"/>
  <c r="E85" i="2"/>
  <c r="F84" i="2"/>
  <c r="F91" i="2" s="1"/>
  <c r="E81" i="2"/>
  <c r="E79" i="2"/>
  <c r="E78" i="2"/>
  <c r="F77" i="2"/>
  <c r="F82" i="2" s="1"/>
  <c r="E75" i="2"/>
  <c r="E74" i="2"/>
  <c r="E73" i="2"/>
  <c r="E71" i="2"/>
  <c r="E69" i="2"/>
  <c r="E68" i="2"/>
  <c r="E67" i="2"/>
  <c r="F66" i="2"/>
  <c r="F70" i="2" s="1"/>
  <c r="F76" i="2" s="1"/>
  <c r="F85" i="2" l="1"/>
  <c r="F81" i="2"/>
  <c r="F67" i="2"/>
  <c r="F89" i="2"/>
  <c r="F78" i="2"/>
  <c r="F72" i="2"/>
  <c r="F74" i="2" s="1"/>
  <c r="F97" i="2"/>
  <c r="F83" i="2"/>
  <c r="F71" i="2"/>
  <c r="F87" i="2"/>
  <c r="F94" i="2"/>
  <c r="F69" i="2"/>
  <c r="F79" i="2"/>
  <c r="F86" i="2"/>
  <c r="F93" i="2"/>
  <c r="F68" i="2"/>
  <c r="F73" i="2" l="1"/>
  <c r="F75" i="2"/>
  <c r="E187" i="2" l="1"/>
  <c r="E186" i="2"/>
  <c r="E185" i="2"/>
  <c r="E184" i="2"/>
  <c r="E181" i="2"/>
  <c r="F181" i="2" s="1"/>
  <c r="E180" i="2"/>
  <c r="F180" i="2" s="1"/>
  <c r="E178" i="2"/>
  <c r="F178" i="2" s="1"/>
  <c r="E177" i="2"/>
  <c r="F177" i="2" s="1"/>
  <c r="E176" i="2"/>
  <c r="F176" i="2" s="1"/>
  <c r="E175" i="2"/>
  <c r="F175" i="2" s="1"/>
  <c r="E174" i="2"/>
  <c r="F174" i="2" s="1"/>
  <c r="E166" i="2"/>
  <c r="F166" i="2" s="1"/>
  <c r="F165" i="2"/>
  <c r="F167" i="2" s="1"/>
  <c r="E163" i="2"/>
  <c r="F163" i="2" s="1"/>
  <c r="E162" i="2"/>
  <c r="F162" i="2" s="1"/>
  <c r="E161" i="2"/>
  <c r="F161" i="2" s="1"/>
  <c r="E160" i="2"/>
  <c r="F160" i="2" s="1"/>
  <c r="E159" i="2"/>
  <c r="F159" i="2" s="1"/>
  <c r="E158" i="2"/>
  <c r="F158" i="2" s="1"/>
  <c r="E157" i="2"/>
  <c r="F157" i="2" s="1"/>
  <c r="E151" i="2"/>
  <c r="E150" i="2"/>
  <c r="E149" i="2"/>
  <c r="E148" i="2"/>
  <c r="F61" i="2"/>
  <c r="F59" i="2"/>
  <c r="F58" i="2"/>
  <c r="E56" i="2"/>
  <c r="E52" i="2"/>
  <c r="E51" i="2"/>
  <c r="E49" i="2"/>
  <c r="F49" i="2" s="1"/>
  <c r="E48" i="2"/>
  <c r="F48" i="2" s="1"/>
  <c r="E40" i="2"/>
  <c r="E39" i="2"/>
  <c r="E38" i="2"/>
  <c r="E33" i="2"/>
  <c r="E32" i="2"/>
  <c r="E31" i="2"/>
  <c r="F30" i="2"/>
  <c r="F31" i="2" l="1"/>
  <c r="F182" i="2"/>
  <c r="F33" i="2"/>
  <c r="F34" i="2"/>
  <c r="F32" i="2"/>
  <c r="E24" i="2"/>
  <c r="E23" i="2"/>
  <c r="E22" i="2"/>
  <c r="F29" i="2"/>
  <c r="F309" i="2" l="1"/>
  <c r="F183" i="2"/>
  <c r="F147" i="2"/>
  <c r="F17" i="2"/>
  <c r="F21" i="2" s="1"/>
  <c r="F23" i="2" s="1"/>
  <c r="F22" i="2" l="1"/>
  <c r="F153" i="2"/>
  <c r="F149" i="2"/>
  <c r="F154" i="2"/>
  <c r="F148" i="2"/>
  <c r="F151" i="2"/>
  <c r="F150" i="2"/>
  <c r="F187" i="2"/>
  <c r="F186" i="2"/>
  <c r="F189" i="2"/>
  <c r="F190" i="2"/>
  <c r="F184" i="2"/>
  <c r="F185" i="2"/>
  <c r="F24" i="2"/>
  <c r="F25" i="2"/>
  <c r="F18" i="2"/>
  <c r="F20" i="2"/>
  <c r="F19" i="2"/>
  <c r="F155" i="2" l="1"/>
  <c r="F191" i="2"/>
  <c r="F35" i="2" l="1"/>
  <c r="F36" i="2" s="1"/>
  <c r="F219" i="2" l="1"/>
  <c r="F194" i="2"/>
  <c r="E235" i="2" l="1"/>
  <c r="E234" i="2"/>
  <c r="E232" i="2"/>
  <c r="E231" i="2"/>
  <c r="E230" i="2"/>
  <c r="E229" i="2"/>
  <c r="E228" i="2"/>
  <c r="F222" i="2" l="1"/>
  <c r="F168" i="2"/>
  <c r="F171" i="2" l="1"/>
  <c r="F169" i="2"/>
  <c r="F302" i="2"/>
  <c r="F172" i="2" l="1"/>
  <c r="E375" i="2"/>
  <c r="F375" i="2" s="1"/>
  <c r="E373" i="2"/>
  <c r="F373" i="2" s="1"/>
  <c r="E372" i="2"/>
  <c r="F372" i="2" s="1"/>
  <c r="E371" i="2"/>
  <c r="F371" i="2" s="1"/>
  <c r="E368" i="2"/>
  <c r="F368" i="2" s="1"/>
  <c r="E366" i="2"/>
  <c r="F366" i="2" s="1"/>
  <c r="E365" i="2"/>
  <c r="F365" i="2" s="1"/>
  <c r="E364" i="2"/>
  <c r="F364" i="2" s="1"/>
  <c r="F358" i="2"/>
  <c r="F357" i="2"/>
  <c r="F356" i="2"/>
  <c r="F353" i="2"/>
  <c r="F352" i="2"/>
  <c r="F351" i="2"/>
  <c r="F350" i="2"/>
  <c r="E343" i="2"/>
  <c r="F343" i="2" s="1"/>
  <c r="E342" i="2"/>
  <c r="F342" i="2" s="1"/>
  <c r="E340" i="2"/>
  <c r="F340" i="2" s="1"/>
  <c r="E339" i="2"/>
  <c r="F339" i="2" s="1"/>
  <c r="E338" i="2"/>
  <c r="F338" i="2" s="1"/>
  <c r="E337" i="2"/>
  <c r="F337" i="2" s="1"/>
  <c r="E336" i="2"/>
  <c r="F336" i="2" s="1"/>
  <c r="F330" i="2"/>
  <c r="F333" i="2" s="1"/>
  <c r="E328" i="2"/>
  <c r="F328" i="2" s="1"/>
  <c r="F327" i="2"/>
  <c r="E325" i="2"/>
  <c r="F325" i="2" s="1"/>
  <c r="E324" i="2"/>
  <c r="F324" i="2" s="1"/>
  <c r="E323" i="2"/>
  <c r="F323" i="2" s="1"/>
  <c r="E322" i="2"/>
  <c r="F322" i="2" s="1"/>
  <c r="E321" i="2"/>
  <c r="F321" i="2" s="1"/>
  <c r="E320" i="2"/>
  <c r="F320" i="2" s="1"/>
  <c r="E319" i="2"/>
  <c r="F319" i="2" s="1"/>
  <c r="E313" i="2"/>
  <c r="F313" i="2" s="1"/>
  <c r="E312" i="2"/>
  <c r="E311" i="2"/>
  <c r="E310" i="2"/>
  <c r="F310" i="2" s="1"/>
  <c r="E307" i="2"/>
  <c r="E306" i="2"/>
  <c r="E305" i="2"/>
  <c r="F303" i="2"/>
  <c r="F244" i="2"/>
  <c r="F225" i="2"/>
  <c r="E220" i="2"/>
  <c r="F220" i="2" s="1"/>
  <c r="E217" i="2"/>
  <c r="F217" i="2" s="1"/>
  <c r="E216" i="2"/>
  <c r="F216" i="2" s="1"/>
  <c r="E215" i="2"/>
  <c r="F215" i="2" s="1"/>
  <c r="E214" i="2"/>
  <c r="F214" i="2" s="1"/>
  <c r="E213" i="2"/>
  <c r="F213" i="2" s="1"/>
  <c r="E212" i="2"/>
  <c r="F212" i="2" s="1"/>
  <c r="E211" i="2"/>
  <c r="F211" i="2" s="1"/>
  <c r="E205" i="2"/>
  <c r="E204" i="2"/>
  <c r="F204" i="2" s="1"/>
  <c r="E203" i="2"/>
  <c r="E202" i="2"/>
  <c r="F208" i="2"/>
  <c r="E199" i="2"/>
  <c r="E198" i="2"/>
  <c r="E197" i="2"/>
  <c r="E195" i="2"/>
  <c r="F196" i="2"/>
  <c r="F50" i="2"/>
  <c r="F369" i="2" l="1"/>
  <c r="F52" i="2"/>
  <c r="F56" i="2"/>
  <c r="F51" i="2"/>
  <c r="F221" i="2"/>
  <c r="F312" i="2"/>
  <c r="F230" i="2"/>
  <c r="F329" i="2"/>
  <c r="F311" i="2"/>
  <c r="F316" i="2"/>
  <c r="F229" i="2"/>
  <c r="F207" i="2"/>
  <c r="F231" i="2"/>
  <c r="F235" i="2"/>
  <c r="F232" i="2"/>
  <c r="F304" i="2"/>
  <c r="F307" i="2" s="1"/>
  <c r="F234" i="2"/>
  <c r="F376" i="2"/>
  <c r="F359" i="2"/>
  <c r="F360" i="2"/>
  <c r="F344" i="2"/>
  <c r="F334" i="2"/>
  <c r="F331" i="2"/>
  <c r="F315" i="2"/>
  <c r="F238" i="2"/>
  <c r="F240" i="2"/>
  <c r="F243" i="2"/>
  <c r="F239" i="2"/>
  <c r="F241" i="2"/>
  <c r="F228" i="2"/>
  <c r="F226" i="2"/>
  <c r="F223" i="2"/>
  <c r="F197" i="2"/>
  <c r="F200" i="2"/>
  <c r="F199" i="2"/>
  <c r="F195" i="2"/>
  <c r="F203" i="2"/>
  <c r="F202" i="2"/>
  <c r="F205" i="2"/>
  <c r="F198" i="2"/>
  <c r="F37" i="2"/>
  <c r="F12" i="2"/>
  <c r="F38" i="2" l="1"/>
  <c r="F40" i="2"/>
  <c r="F39" i="2"/>
  <c r="F236" i="2"/>
  <c r="F209" i="2"/>
  <c r="F308" i="2"/>
  <c r="F306" i="2"/>
  <c r="F305" i="2"/>
  <c r="F317" i="2"/>
  <c r="F245" i="2"/>
  <c r="F42" i="2"/>
  <c r="F41" i="2"/>
  <c r="F46" i="2" l="1"/>
  <c r="F45" i="2"/>
  <c r="F44" i="2"/>
  <c r="F43" i="2"/>
  <c r="D6" i="2" l="1"/>
</calcChain>
</file>

<file path=xl/sharedStrings.xml><?xml version="1.0" encoding="utf-8"?>
<sst xmlns="http://schemas.openxmlformats.org/spreadsheetml/2006/main" count="950" uniqueCount="235">
  <si>
    <t>დამკვეთის დასახელება</t>
  </si>
  <si>
    <t xml:space="preserve"> რესურსული ხარჯთაღრიცხვა</t>
  </si>
  <si>
    <t>სახარჯთაღრიცხვო ღირებულება</t>
  </si>
  <si>
    <t>ათ. ლარი</t>
  </si>
  <si>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</si>
  <si>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</si>
  <si>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</si>
  <si>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</si>
  <si>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</si>
  <si>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</si>
  <si>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</si>
  <si>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</si>
  <si>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</si>
  <si>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</si>
  <si>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</si>
  <si>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</si>
  <si>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</si>
  <si>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თავი 1. ტერიტორიის ათვისება და მოსამზადებელი სამუშაოები</t>
  </si>
  <si>
    <t>kvleva-Ziebis krebuli gv. 557cxr-17</t>
  </si>
  <si>
    <t>ტრასის აღდგენა და დამაგრება</t>
  </si>
  <si>
    <t>კმ</t>
  </si>
  <si>
    <t>შრომის დანახარჯი</t>
  </si>
  <si>
    <t>კაც/სთ</t>
  </si>
  <si>
    <t>ჯამი:</t>
  </si>
  <si>
    <t>სულ თავი 1-ის მიხედვით</t>
  </si>
  <si>
    <t>ლარი</t>
  </si>
  <si>
    <t>1-29-3  
1-29-10</t>
  </si>
  <si>
    <t xml:space="preserve">გრუნტის დამუშავება ბულდოზერით, 
გადაადგილება 30 მ-ზე </t>
  </si>
  <si>
    <r>
      <t>მ</t>
    </r>
    <r>
      <rPr>
        <b/>
        <vertAlign val="superscript"/>
        <sz val="12"/>
        <color indexed="8"/>
        <rFont val="Sylfaen"/>
        <family val="1"/>
      </rPr>
      <t>3</t>
    </r>
  </si>
  <si>
    <t xml:space="preserve">ბულდოზერი 108ცხ. ძ. </t>
  </si>
  <si>
    <t>მანქ/სთ</t>
  </si>
  <si>
    <t>1-22-14</t>
  </si>
  <si>
    <t xml:space="preserve">გრუნტის დატვირთვა 
ექსკავატორის საშუალებით </t>
  </si>
  <si>
    <r>
      <t>ექსკავატორი ჩამჩის მოცულობით 0,5მ</t>
    </r>
    <r>
      <rPr>
        <vertAlign val="superscript"/>
        <sz val="12"/>
        <rFont val="Sylfaen"/>
        <family val="1"/>
        <charset val="204"/>
      </rPr>
      <t>3</t>
    </r>
  </si>
  <si>
    <t>სხვა მანქანები</t>
  </si>
  <si>
    <t>ტნ</t>
  </si>
  <si>
    <t>1-113-1</t>
  </si>
  <si>
    <t>ტერიტორიის გასუფთავება ეკალ-ბარდებისგან</t>
  </si>
  <si>
    <r>
      <t>მ</t>
    </r>
    <r>
      <rPr>
        <b/>
        <vertAlign val="superscript"/>
        <sz val="12"/>
        <rFont val="AcadNusx"/>
      </rPr>
      <t>2</t>
    </r>
  </si>
  <si>
    <t>ბულდოზერი 79კვტ (108 ც. ძ)</t>
  </si>
  <si>
    <r>
      <t>მ</t>
    </r>
    <r>
      <rPr>
        <b/>
        <vertAlign val="superscript"/>
        <sz val="12"/>
        <rFont val="Sylfaen"/>
        <family val="1"/>
      </rPr>
      <t>3</t>
    </r>
  </si>
  <si>
    <r>
      <t>ექსკავატორი ჩამჩის მოცულობით 0,25მ</t>
    </r>
    <r>
      <rPr>
        <vertAlign val="superscript"/>
        <sz val="12"/>
        <rFont val="Sylfaen"/>
        <family val="1"/>
        <charset val="204"/>
      </rPr>
      <t>3</t>
    </r>
  </si>
  <si>
    <t>ტნ.</t>
  </si>
  <si>
    <t>1-25-2</t>
  </si>
  <si>
    <t>სამუშაოები ნაყარში</t>
  </si>
  <si>
    <t>ღორღი ფრ (0-40 მმ)</t>
  </si>
  <si>
    <r>
      <rPr>
        <sz val="12"/>
        <color indexed="8"/>
        <rFont val="Sylfaen"/>
        <family val="1"/>
        <charset val="204"/>
      </rPr>
      <t>მ</t>
    </r>
    <r>
      <rPr>
        <vertAlign val="superscript"/>
        <sz val="12"/>
        <color indexed="8"/>
        <rFont val="Sylfaen"/>
        <family val="1"/>
        <charset val="204"/>
      </rPr>
      <t>3</t>
    </r>
  </si>
  <si>
    <t>1-62-5</t>
  </si>
  <si>
    <t xml:space="preserve">გზის მოშანდაკება გრეიდერით </t>
  </si>
  <si>
    <r>
      <t>მ</t>
    </r>
    <r>
      <rPr>
        <b/>
        <vertAlign val="superscript"/>
        <sz val="12"/>
        <rFont val="Sylfaen"/>
        <family val="1"/>
      </rPr>
      <t>2</t>
    </r>
  </si>
  <si>
    <t>ავტოგრეიდერი 79კვტ.</t>
  </si>
  <si>
    <t>ტრაქტორი 79კვტ.</t>
  </si>
  <si>
    <t xml:space="preserve">27-7-2 </t>
  </si>
  <si>
    <t>სატკეპნი საგზაო გლუვი 18ტ.</t>
  </si>
  <si>
    <t>მოსარწყავი მანქანა 6000 ლ.</t>
  </si>
  <si>
    <t>მატერიალური რესურსი</t>
  </si>
  <si>
    <t>ქვიშა-ხრეშოვანი ნარევი ფრაქციით 0-70მმ (ტკეპნის კოეფიციენტის გათვალისწინებით K=1,22)</t>
  </si>
  <si>
    <r>
      <t>მ</t>
    </r>
    <r>
      <rPr>
        <vertAlign val="superscript"/>
        <sz val="12"/>
        <rFont val="Sylfaen"/>
        <family val="1"/>
        <charset val="204"/>
      </rPr>
      <t>3</t>
    </r>
  </si>
  <si>
    <t>წყალი</t>
  </si>
  <si>
    <t>22-8-1</t>
  </si>
  <si>
    <t>საჭიროების შემთხვევაში საპროექტო გზაზე წყლის მილების მოწყობა</t>
  </si>
  <si>
    <t>გრძ/მ</t>
  </si>
  <si>
    <t>წყლის მილი d 32 მმ</t>
  </si>
  <si>
    <t>პროექტით</t>
  </si>
  <si>
    <t>წყლის მილი d 20 მმ</t>
  </si>
  <si>
    <t>სხვა მასალები</t>
  </si>
  <si>
    <t>სულ თავი 2-ის მიხედვით</t>
  </si>
  <si>
    <t>ბიტუმის ემულსია</t>
  </si>
  <si>
    <t>სულ თავი 3-ის მიხედვით</t>
  </si>
  <si>
    <t>27-7-2</t>
  </si>
  <si>
    <t xml:space="preserve">27-11-1  </t>
  </si>
  <si>
    <t>საფუძველის ზედა ფენის მოწყობა  ღორღით ფრაქციით 0-40მმ  სისქით 10სმ</t>
  </si>
  <si>
    <t>სატკეპნის საგზაო 5ტნ</t>
  </si>
  <si>
    <t>სატკეპნის საგზაო გლუვი 10ტნ</t>
  </si>
  <si>
    <t>ქვის ნამტვრევის მანაწილებელი მანქანა</t>
  </si>
  <si>
    <t>ღორღი (ტკეპმის კოეფიციენტის 
გათვალისწინებით k=1,26)</t>
  </si>
  <si>
    <t>27-63-1</t>
  </si>
  <si>
    <r>
      <t>საფუძვლის ზედა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700 გრ.</t>
    </r>
  </si>
  <si>
    <t>ავტოგუდრონატორი 3500ლ.</t>
  </si>
  <si>
    <r>
      <t>m</t>
    </r>
    <r>
      <rPr>
        <b/>
        <vertAlign val="superscript"/>
        <sz val="12"/>
        <rFont val="AcadNusx"/>
      </rPr>
      <t>2</t>
    </r>
  </si>
  <si>
    <t>სატკეპნი საგზაო 10ტნ.</t>
  </si>
  <si>
    <t>ასფალტის დამგები</t>
  </si>
  <si>
    <t>ასფალტობეტონი</t>
  </si>
  <si>
    <t>27-39-1,2  
27-40-2 4</t>
  </si>
  <si>
    <t>საფარის ზედა ფენის მოწყობა წვრილმარცვლოვანი მკვრივი, ა/ბეტონის ცხელი ნარევით სისქით 4 სმ</t>
  </si>
  <si>
    <t>მისაყრელი გვერდულების მოწყობა ქვიშა-ხრეშოვანი ნარევით ფრაქციით 0-70მმ  (ტკეპნის კოეფიციენტის გათვალისწინებით K=1,22)</t>
  </si>
  <si>
    <r>
      <t>ექსკავატორი ჩამჩის მოცულობით 0,5მ</t>
    </r>
    <r>
      <rPr>
        <vertAlign val="superscript"/>
        <sz val="12"/>
        <color indexed="8"/>
        <rFont val="Sylfaen"/>
        <family val="1"/>
        <charset val="204"/>
      </rPr>
      <t>3</t>
    </r>
  </si>
  <si>
    <t>ღორღი (ტკეპნის კოეფიციენტის 
გათვალისწინებით k=1,26)</t>
  </si>
  <si>
    <t>ზედნადები ხარჯები</t>
  </si>
  <si>
    <t>%</t>
  </si>
  <si>
    <t>გეგმიური მოგება</t>
  </si>
  <si>
    <t>დღგ</t>
  </si>
  <si>
    <t>სულ ხარჯთაღრიცხვით</t>
  </si>
  <si>
    <t>Sps ,,gzamkvlevi 2001" - s direqtori                                           g. qurcikiZe</t>
  </si>
  <si>
    <t>მიერთებაზე
საგზაო სამოსი მოწყობა</t>
  </si>
  <si>
    <t>ღორღი ფრაქციით 0-40მმ (ტკეპმის კოეფიციენტის გათვალისწინებით k=1,26)</t>
  </si>
  <si>
    <t>მისაყრელი გვერდულების მოწყობა ქვიშა–ხრეშოვანი ნარევით ფრაქციით 0-70მმ (ტკეპნის კოეფიციენტის გათვალისწინებით K=1,22)</t>
  </si>
  <si>
    <t>ქვიშა–ხრეშოვანი ნარევი ფრაქციით 0-70მმ (ტკეპნის კოეფიციენტის გათვალისწინებით K=1,22)</t>
  </si>
  <si>
    <t>საგზაო ნიშნების მოწყობა</t>
  </si>
  <si>
    <t>27-46-3</t>
  </si>
  <si>
    <r>
      <t xml:space="preserve">standartuli Suqamrekli sagzao niSnebi, I da II tipiuri zomis, dafaruli Suqdamabrunebeli prizmuli tipis sst en 12899-1:2010 </t>
    </r>
    <r>
      <rPr>
        <b/>
        <sz val="12"/>
        <color theme="1"/>
        <rFont val="Arial"/>
        <family val="2"/>
        <charset val="204"/>
      </rPr>
      <t>RA</t>
    </r>
    <r>
      <rPr>
        <b/>
        <sz val="12"/>
        <color theme="1"/>
        <rFont val="AcadNusx"/>
      </rPr>
      <t xml:space="preserve">2 klasis webvadi firiT: </t>
    </r>
  </si>
  <si>
    <t>ც.</t>
  </si>
  <si>
    <t>საბურღი მანქანა</t>
  </si>
  <si>
    <t>ამწე საავტომობილო სვლაზე 3ტ.</t>
  </si>
  <si>
    <t>ბეტონი B-22,5</t>
  </si>
  <si>
    <t xml:space="preserve">საგზაო ნიშნები </t>
  </si>
  <si>
    <t>საავტომობილო გზის მონიშვნა</t>
  </si>
  <si>
    <t>27-56-1</t>
  </si>
  <si>
    <t>გზის გვერდითი მონიშვნა უწყვეტი ხაზით აკრილატური საღებავით, გაუმჯობესებული ღამის ხილვადობის შუქდამბრუნებელი მინის ბურთულებით სიგანით 100მმ N1,1</t>
  </si>
  <si>
    <t>მარკირების მანქანა</t>
  </si>
  <si>
    <t>საღებავი ა/ბეტონის</t>
  </si>
  <si>
    <t>კგ.</t>
  </si>
  <si>
    <t>სულ თავი 5-ის მიხედვით</t>
  </si>
  <si>
    <t>სულ თავი 1-5-ის მიხედვით</t>
  </si>
  <si>
    <t>გზის მოსანიშნი მანქანა</t>
  </si>
  <si>
    <r>
      <t>საფარის ქვედა ფენაზე თხევადი ბიტუმის  მოსხმა 1მ</t>
    </r>
    <r>
      <rPr>
        <b/>
        <vertAlign val="superscript"/>
        <sz val="12"/>
        <color indexed="8"/>
        <rFont val="Arial"/>
        <family val="2"/>
        <charset val="204"/>
      </rPr>
      <t>2</t>
    </r>
    <r>
      <rPr>
        <b/>
        <sz val="12"/>
        <color indexed="8"/>
        <rFont val="Arial"/>
        <family val="2"/>
        <charset val="204"/>
      </rPr>
      <t>-ზე 700 გრ.</t>
    </r>
  </si>
  <si>
    <t>მიწის სამუშაოები</t>
  </si>
  <si>
    <t>ბიტუმის ტრანსპორტირება 30 კმ-დან</t>
  </si>
  <si>
    <t>ბეტონის  ტრანსპორტირება 30 კმ-დან k=2.4</t>
  </si>
  <si>
    <t>ქვიშა–ხრეშოვანი ნარევის ფრაქციით 0-70მმ  ტრანსპორტირება 30 კმ-დან k=1.6</t>
  </si>
  <si>
    <t>ღორღის ტრანსპორტირება 30 კმ-დან k=1.6</t>
  </si>
  <si>
    <t>ასფალტის ტრანსპორტირება 30 კმ-დან</t>
  </si>
  <si>
    <t>ღორღის ფრაქციით 0-40მმ ტრანსპორტირება 30 კმ-დან k=1.6</t>
  </si>
  <si>
    <t xml:space="preserve">ლითონის დგარების და საგზაო ნიშნების  ტრანსპორტირება 30 კმ-დან </t>
  </si>
  <si>
    <t>საღებავის ტრანსპორტირება 30 კმ-დან</t>
  </si>
  <si>
    <t>გზის მონიშვნა ღერძზე და გზაჯვარედინებზე წყვეტილი ხაზით აკრილატური საღებავით, გაუმჯობესებული ღამის ხილვადობის შუქდამბრუნებელი მინის ბურთულებით სიგანით 100მმ N1,7</t>
  </si>
  <si>
    <t>თავი 2. მოსამზადებელი სამუშაოები</t>
  </si>
  <si>
    <t>საგზაო სამოსის მოწყობა ეზოში შესასვლელებზე</t>
  </si>
  <si>
    <t xml:space="preserve">ეკალ-ბარდების დატვირთვა ექსკავატორის საშუალებით </t>
  </si>
  <si>
    <t xml:space="preserve"> 1-23-4</t>
  </si>
  <si>
    <t>გვ. 39 პოზ. 5</t>
  </si>
  <si>
    <t>გვ. 39 პოზ. 2</t>
  </si>
  <si>
    <t>გვ. 13 პოზ. 33</t>
  </si>
  <si>
    <t>საფუძვლის შემასწორებელი ფენის მოწყობა  ქვიშა ხრეშოვანი ნარევით ფრაქციით 0-70მმ საშ. სისქით h12 სმ (ტკეპნის კოეფიციენტის გათვალისწინებით K-1,22)</t>
  </si>
  <si>
    <t>საფარის ზედა ფენის მოწყობა წვრილმარცვლოვანი მკვრივი, ა/ბეტონის ცხელი ნარევით სისქით 6 სმ</t>
  </si>
  <si>
    <t>ქვიშა–ხრეშოვანი ნარევის ფრაქციით 0-70მმ ტრანსპორტირება 30 კმ-დან k=1.6</t>
  </si>
  <si>
    <t>საფუძვლის ზედა ფენის მოწყობა ღორღით ფრაქციით 0-40მმ  სისქით 10სმ</t>
  </si>
  <si>
    <t>მცხეთის მუნიციპალიტეტი</t>
  </si>
  <si>
    <t>23-23-1</t>
  </si>
  <si>
    <t>არსებული საკომუნიკაციო ჭების მოყვანა ა/ბეტონის საფარის ნიშნულზე</t>
  </si>
  <si>
    <t>ც</t>
  </si>
  <si>
    <t>ბეტონის მარკა B-22,5</t>
  </si>
  <si>
    <t>ლითონის დგარები 60-76-89მმ მილებისგან კედლის სისქით არანაკლებ 2მმ (დახშული ხუფით) EN 10210 სტანდარტების შესაბამისად. L=3,5მ</t>
  </si>
  <si>
    <t>საფუძვლის ზედა ფენის მოწყობა  ღორღით ფრაქციით 0-40მმ  სისქით 10სმ</t>
  </si>
  <si>
    <t>ქვიშა ხრეშოვანი ნარევი ფრაქციით 0-70მმ (ტკეპნის კოეფიციენტის გათვალისწინებით K=1,22)</t>
  </si>
  <si>
    <t>ა/ბეტონის დამუშავება</t>
  </si>
  <si>
    <t>27-9-4</t>
  </si>
  <si>
    <t>დაზიანებული ა/ბეტონის დამუშავება მექანიზმებით</t>
  </si>
  <si>
    <t>სანგრევი ჩაქუჩები</t>
  </si>
  <si>
    <t xml:space="preserve">ა/ბეტონის დატვირთვა ექსკავატორის საშუალებით </t>
  </si>
  <si>
    <t xml:space="preserve">მცხეთის მუნიციპალიტეტის სოფ. საგურამოში შიდა საუბნო გზის მოასფალტების სამუშაოების 
საპროექტო-სახარჯთაღრიცხვო დოკუმენტაცია 
(33-ე ქუჩა)
</t>
  </si>
  <si>
    <t>შედგენილია 2023 წლის II კვარტლის ფასებით</t>
  </si>
  <si>
    <t>გვ. 122 პოზ. 122</t>
  </si>
  <si>
    <t>გვ. 123 პოზ. 175</t>
  </si>
  <si>
    <t>გვ. 126 პოზ. 305</t>
  </si>
  <si>
    <t>გვ. 121 პოზ. 111</t>
  </si>
  <si>
    <t>გვ. 127</t>
  </si>
  <si>
    <t>ა/ბეტონის გატანა ნაყარში 5კმ-მდე მანძილზე</t>
  </si>
  <si>
    <t>გრუნტის გატანა ნაყარში 5კმ-მდე მანძილზე</t>
  </si>
  <si>
    <t>გვ. 121 პოზ. 110</t>
  </si>
  <si>
    <t>გვ. 32 პოზ. 265</t>
  </si>
  <si>
    <t>გვ. 119 პოზ. 6</t>
  </si>
  <si>
    <t>გვ. 19 პოზ. 30</t>
  </si>
  <si>
    <t>გვ. 19 პოზ. 28</t>
  </si>
  <si>
    <t>გვ. 35 პოზ. 368</t>
  </si>
  <si>
    <t>გვ. 123 პოზ. 192</t>
  </si>
  <si>
    <t>გვ. 123 პოზ. 201</t>
  </si>
  <si>
    <t>გვ. 32 პოზ. 261</t>
  </si>
  <si>
    <t>გვ. 123 პოზ. 190</t>
  </si>
  <si>
    <t>გვ. 123 პოზ. 191</t>
  </si>
  <si>
    <t>გვ. 123 პოზ. 202</t>
  </si>
  <si>
    <t>გვ. 123 პოზ. 173</t>
  </si>
  <si>
    <t>გვ. 123 პოზ. 204</t>
  </si>
  <si>
    <t>გვ. 122 პოზ. 156</t>
  </si>
  <si>
    <t>გვ. 119 პოზ. 35</t>
  </si>
  <si>
    <t>გვ. 116 პოზ. 15</t>
  </si>
  <si>
    <t>გვ. 123 პოზ. 200</t>
  </si>
  <si>
    <t>გვ. 41 პოზ. 58</t>
  </si>
  <si>
    <t>ეკალ-ბარდების გატანა ნაყარში 5კმ-მდე მანძილზე</t>
  </si>
  <si>
    <t>თავი 4. საგზაო სამოსი</t>
  </si>
  <si>
    <t>სულ თავი 4-ის მიხედვით</t>
  </si>
  <si>
    <t>თავი 5. გზის კუთვნილება და კეთილმოწყობა</t>
  </si>
  <si>
    <t>თავი 3. ხელოვნური ნაგებობები</t>
  </si>
  <si>
    <t>ანაკრები რკ. ბეტონის ღია ღარის (50X25სმ) მოწყობა</t>
  </si>
  <si>
    <t>1-23-6</t>
  </si>
  <si>
    <r>
      <t>ქვაბულის დამუშავება ექსკავატორით ჩამჩის მოცულობით 0,25 მ</t>
    </r>
    <r>
      <rPr>
        <b/>
        <vertAlign val="superscript"/>
        <sz val="12"/>
        <rFont val="Sylfaen"/>
        <family val="1"/>
      </rPr>
      <t xml:space="preserve">3 </t>
    </r>
  </si>
  <si>
    <t>1-80-3</t>
  </si>
  <si>
    <t xml:space="preserve">გრუნტის დამუშავება ხელით 
მექანიზიმის მიუდგომელ ადგილებში </t>
  </si>
  <si>
    <t xml:space="preserve">ზედმეტი გრუნტის დატვირთვა 
ექსკავატორის საშუალებით </t>
  </si>
  <si>
    <t>ზედმეტი გრუნტის გატანა ნაყარში 5კმ-ზე</t>
  </si>
  <si>
    <t>6–1–20</t>
  </si>
  <si>
    <r>
      <t xml:space="preserve">ბეტონის საფუძვლის მოწყობა </t>
    </r>
    <r>
      <rPr>
        <b/>
        <sz val="12"/>
        <rFont val="Calibri"/>
        <family val="2"/>
      </rPr>
      <t xml:space="preserve">B </t>
    </r>
    <r>
      <rPr>
        <b/>
        <sz val="12"/>
        <rFont val="AcadNusx"/>
      </rPr>
      <t>20 მარკის ბეტონით</t>
    </r>
  </si>
  <si>
    <t>გვ. 34 პოზ. 366</t>
  </si>
  <si>
    <r>
      <t xml:space="preserve">ბეტონი </t>
    </r>
    <r>
      <rPr>
        <sz val="12"/>
        <rFont val="Calibri"/>
        <family val="2"/>
      </rPr>
      <t>B</t>
    </r>
    <r>
      <rPr>
        <sz val="12"/>
        <rFont val="AcadNusx"/>
      </rPr>
      <t xml:space="preserve"> 20</t>
    </r>
  </si>
  <si>
    <t>ბეტონის ტრანსპორტირება 30 კმ-დან k=2.4</t>
  </si>
  <si>
    <t>37-65-3</t>
  </si>
  <si>
    <t xml:space="preserve">ანაკრები რკ. ბეტონის ღარის ჩალაგება ტრანშეაში </t>
  </si>
  <si>
    <r>
      <t>მ</t>
    </r>
    <r>
      <rPr>
        <b/>
        <vertAlign val="superscript"/>
        <sz val="12"/>
        <rFont val="Sylfaen"/>
        <family val="1"/>
        <charset val="204"/>
      </rPr>
      <t>3</t>
    </r>
  </si>
  <si>
    <t>გვ. 123 პოზ. 39</t>
  </si>
  <si>
    <t>ამწე მუხლუხა სვლაზე 16ტ</t>
  </si>
  <si>
    <t>გვ. 35 პოზ. 392</t>
  </si>
  <si>
    <t>ცემენტის ხსნარი</t>
  </si>
  <si>
    <t>საბაზრო ფასი</t>
  </si>
  <si>
    <r>
      <t>რკ. ბეტონის ღია ღარი (</t>
    </r>
    <r>
      <rPr>
        <sz val="12"/>
        <rFont val="Calibri"/>
        <family val="2"/>
      </rPr>
      <t>B 30 F 200 W 6</t>
    </r>
    <r>
      <rPr>
        <sz val="12"/>
        <rFont val="AcadNusx"/>
      </rPr>
      <t xml:space="preserve">) </t>
    </r>
  </si>
  <si>
    <t>რკ. ბეტონის ღია ღარის ტრანსპორტირება 30 კმ-დან k=2.5</t>
  </si>
  <si>
    <t>30-3-2</t>
  </si>
  <si>
    <r>
      <t>ტრანშეის შევსება ქვიშა–ხრეშოვანი ნარევით ფრაქციით 0-70მმ (ტკეპნის კოეფიციენტის გათვალისწინებით</t>
    </r>
    <r>
      <rPr>
        <b/>
        <sz val="12"/>
        <rFont val="Arial"/>
        <family val="2"/>
        <charset val="204"/>
      </rPr>
      <t xml:space="preserve"> K</t>
    </r>
    <r>
      <rPr>
        <b/>
        <sz val="12"/>
        <rFont val="AcadNusx"/>
      </rPr>
      <t>=1,1)</t>
    </r>
  </si>
  <si>
    <r>
      <rPr>
        <sz val="12"/>
        <color theme="1"/>
        <rFont val="AcadNusx"/>
      </rPr>
      <t xml:space="preserve">ქვიშა–ხრეშოვანი ნარევი ფრაქციით 0-70მმ (ტკეპნის კოეფიციენტის გათვალისწინებით </t>
    </r>
    <r>
      <rPr>
        <sz val="12"/>
        <color theme="1"/>
        <rFont val="Arial"/>
        <family val="2"/>
        <charset val="204"/>
      </rPr>
      <t>K=1,1)</t>
    </r>
  </si>
  <si>
    <t>მიერთებაზე ლითონის ცხაურის (40X40სმ) მოწყობა</t>
  </si>
  <si>
    <r>
      <t>ქვაბულის დამუშავება ექსკავატორით ჩამჩის მოცულობით 0,25 მ</t>
    </r>
    <r>
      <rPr>
        <b/>
        <vertAlign val="superscript"/>
        <sz val="12"/>
        <rFont val="Sylfaen"/>
        <family val="1"/>
        <charset val="204"/>
      </rPr>
      <t>3</t>
    </r>
    <r>
      <rPr>
        <b/>
        <sz val="12"/>
        <rFont val="Sylfaen"/>
        <family val="1"/>
      </rPr>
      <t xml:space="preserve"> </t>
    </r>
  </si>
  <si>
    <t>გრუნტის დამუშავება ხელით 
მექანიზიმის მიუდგომელ ადგილებში</t>
  </si>
  <si>
    <t>ზედმეტი გრუნტის გატანა ნაყარში 5კმ-მდე მანძილზე</t>
  </si>
  <si>
    <t>37-9-3</t>
  </si>
  <si>
    <r>
      <t xml:space="preserve">ქვესაგები ფენის მოწყობა ქვიშა–ხრეშოვანი ნარევით ფრაქციით 0-70მმ სისქით 10 სმ (ტკეპნის კოეფიციენტის გათვალისწინებით </t>
    </r>
    <r>
      <rPr>
        <b/>
        <sz val="12"/>
        <rFont val="Arial"/>
        <family val="2"/>
        <charset val="204"/>
      </rPr>
      <t>K</t>
    </r>
    <r>
      <rPr>
        <b/>
        <sz val="12"/>
        <rFont val="AcadNusx"/>
      </rPr>
      <t>=1,1)</t>
    </r>
  </si>
  <si>
    <r>
      <t xml:space="preserve">ქვიშა-ხრეშოვანი ფრაქციით 0-70მმ (ტკეპნის კოეფიციენტის გათვალისწინებით </t>
    </r>
    <r>
      <rPr>
        <sz val="12"/>
        <rFont val="Arial"/>
        <family val="2"/>
        <charset val="204"/>
      </rPr>
      <t>K=1,1)</t>
    </r>
  </si>
  <si>
    <t xml:space="preserve">ანაკრები რკ. ბეტონის კიუვეტების ჩალაგება ტრანშეაში </t>
  </si>
  <si>
    <t>გვ. 119 პოზ. 39</t>
  </si>
  <si>
    <t>სხვა მნქანები</t>
  </si>
  <si>
    <t>გვ. 35 პოზ. 393</t>
  </si>
  <si>
    <t>გვ. 30 პოზ. 182</t>
  </si>
  <si>
    <t>ანაკრები რკ. ბეტონის კიუვეტები</t>
  </si>
  <si>
    <t>ცემენტის ტრანსპორტირება 30 კმ-დან k=2.2</t>
  </si>
  <si>
    <t>რკ. ბეტონის კიუეტების ტრანსპორტირება 30 კმ-დან k=2.4</t>
  </si>
  <si>
    <r>
      <t xml:space="preserve">ქვიშა-ხრეშოვანი ნარევი ფრაქციით 0-70მმ (ტკეპნის კოეფიციენტის გათვალისწინებით </t>
    </r>
    <r>
      <rPr>
        <sz val="12"/>
        <rFont val="Arial"/>
        <family val="2"/>
        <charset val="204"/>
      </rPr>
      <t>K=1,1)</t>
    </r>
  </si>
  <si>
    <t>9-17-5</t>
  </si>
  <si>
    <t>ლითონის ცხაურის მოწყობა</t>
  </si>
  <si>
    <t>გვ. 3 პოზ. 32</t>
  </si>
  <si>
    <t>ლითონის კუთხოვანა 80X80X6მმ</t>
  </si>
  <si>
    <t>კგ</t>
  </si>
  <si>
    <t xml:space="preserve">ლითონის კონსტრუქციების ტრანსპორტირება 30 კმ-დან </t>
  </si>
  <si>
    <t>22-5-11
კ-0,6</t>
  </si>
  <si>
    <t>ამორტიზირებული ლითონის მილების დემონტაჟი</t>
  </si>
  <si>
    <t>ამორტიზირებული მილის გატანა ნაყარში 5კმ-მდე მანძილზე</t>
  </si>
  <si>
    <t>მე-12 ქუჩაზე საგზაო სამოსის მოწყობა L-45მ</t>
  </si>
  <si>
    <t>გაუთვალისწინებელი ხარჯები - ფიქსირებული თანხა 5 660ლარი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</si>
</sst>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&quot; &quot;;&quot;-&quot;#,##0.00&quot; &quot;"/>
    <numFmt numFmtId="165" formatCode="0.000"/>
    <numFmt numFmtId="166" formatCode="#,##0.000"/>
    <numFmt numFmtId="167" formatCode="#,##0.0000_ ;[Red]\-#,##0.0000\ "/>
    <numFmt numFmtId="168" formatCode="0.0000"/>
    <numFmt numFmtId="169" formatCode="#,##0.00_ ;[Red]\-#,##0.00\ "/>
    <numFmt numFmtId="170" formatCode="#,##0.000&quot; &quot;;&quot;-&quot;#,##0.000&quot; &quot;"/>
    <numFmt numFmtId="171" formatCode="#,##0.0000&quot; &quot;;&quot;-&quot;#,##0.0000&quot; &quot;"/>
    <numFmt numFmtId="172" formatCode="#,##0.0000_);[Red]\(#,##0.0000\)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sz val="12"/>
      <color indexed="8"/>
      <name val="Sylfaen"/>
      <family val="1"/>
      <charset val="204"/>
    </font>
    <font>
      <b/>
      <sz val="12"/>
      <color indexed="8"/>
      <name val="Sylfaen"/>
      <family val="1"/>
      <charset val="204"/>
    </font>
    <font>
      <b/>
      <sz val="12"/>
      <color indexed="8"/>
      <name val="AcadNusx"/>
    </font>
    <font>
      <b/>
      <sz val="12"/>
      <color indexed="8"/>
      <name val="Arial"/>
      <family val="2"/>
      <charset val="204"/>
    </font>
    <font>
      <b/>
      <sz val="11"/>
      <color indexed="8"/>
      <name val="AcadNusx"/>
    </font>
    <font>
      <b/>
      <sz val="12"/>
      <color indexed="8"/>
      <name val="Sylfaen"/>
      <family val="1"/>
    </font>
    <font>
      <b/>
      <vertAlign val="superscript"/>
      <sz val="12"/>
      <color indexed="8"/>
      <name val="Sylfaen"/>
      <family val="1"/>
    </font>
    <font>
      <b/>
      <sz val="10"/>
      <name val="Sylfaen"/>
      <family val="1"/>
      <charset val="204"/>
    </font>
    <font>
      <b/>
      <sz val="12"/>
      <name val="Arial"/>
      <family val="2"/>
    </font>
    <font>
      <b/>
      <sz val="12"/>
      <name val="AcadNusx"/>
    </font>
    <font>
      <vertAlign val="superscript"/>
      <sz val="12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2"/>
      <name val="Sylfaen"/>
      <family val="1"/>
    </font>
    <font>
      <b/>
      <vertAlign val="superscript"/>
      <sz val="12"/>
      <name val="AcadNusx"/>
    </font>
    <font>
      <sz val="12"/>
      <color indexed="8"/>
      <name val="AcadNusx"/>
    </font>
    <font>
      <sz val="12"/>
      <name val="AcadNusx"/>
    </font>
    <font>
      <b/>
      <vertAlign val="superscript"/>
      <sz val="12"/>
      <name val="Sylfaen"/>
      <family val="1"/>
    </font>
    <font>
      <sz val="10"/>
      <name val="Arial Cyr"/>
      <charset val="204"/>
    </font>
    <font>
      <vertAlign val="superscript"/>
      <sz val="12"/>
      <color indexed="8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2"/>
      <name val="Sylfaen"/>
      <family val="1"/>
    </font>
    <font>
      <b/>
      <vertAlign val="superscript"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6"/>
      <color indexed="8"/>
      <name val="AcadNusx"/>
    </font>
    <font>
      <b/>
      <sz val="12"/>
      <color theme="1"/>
      <name val="AcadNusx"/>
    </font>
    <font>
      <b/>
      <sz val="12"/>
      <color theme="1"/>
      <name val="Arial"/>
      <family val="2"/>
      <charset val="204"/>
    </font>
    <font>
      <b/>
      <sz val="12"/>
      <color theme="1"/>
      <name val="Sylfaen"/>
      <family val="1"/>
    </font>
    <font>
      <sz val="12"/>
      <color theme="1"/>
      <name val="Sylfaen"/>
      <family val="1"/>
      <charset val="204"/>
    </font>
    <font>
      <sz val="12"/>
      <color theme="1"/>
      <name val="AcadNusx"/>
    </font>
    <font>
      <b/>
      <sz val="11"/>
      <color theme="1"/>
      <name val="Sylfaen"/>
      <family val="1"/>
      <charset val="204"/>
    </font>
    <font>
      <b/>
      <sz val="11"/>
      <name val="AcadNusx"/>
    </font>
    <font>
      <sz val="12"/>
      <name val="Arial"/>
      <family val="2"/>
      <charset val="204"/>
    </font>
    <font>
      <b/>
      <sz val="12"/>
      <name val="Calibri"/>
      <family val="2"/>
    </font>
    <font>
      <sz val="12"/>
      <name val="Calibri"/>
      <family val="2"/>
    </font>
    <font>
      <b/>
      <vertAlign val="superscript"/>
      <sz val="12"/>
      <name val="Sylfaen"/>
      <family val="1"/>
      <charset val="204"/>
    </font>
    <font>
      <b/>
      <sz val="12"/>
      <name val="Arial"/>
      <family val="2"/>
      <charset val="204"/>
    </font>
    <font>
      <sz val="12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Sylfaen"/>
      <family val="1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2" fillId="0" borderId="0"/>
    <xf numFmtId="0" fontId="22" fillId="0" borderId="0"/>
  </cellStyleXfs>
  <cellXfs count="227">
    <xf numFmtId="0" fontId="0" fillId="0" borderId="0" xfId="0"/>
    <xf numFmtId="0" fontId="8" fillId="0" borderId="0" xfId="0" applyFont="1" applyFill="1" applyBorder="1" applyAlignment="1">
      <alignment horizontal="center" vertical="top"/>
    </xf>
    <xf numFmtId="49" fontId="7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Fill="1" applyBorder="1"/>
    <xf numFmtId="49" fontId="6" fillId="0" borderId="3" xfId="0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 wrapText="1"/>
    </xf>
    <xf numFmtId="0" fontId="3" fillId="0" borderId="3" xfId="2" applyFill="1" applyBorder="1" applyAlignment="1">
      <alignment horizontal="center" vertical="center"/>
    </xf>
    <xf numFmtId="171" fontId="3" fillId="0" borderId="3" xfId="2" applyNumberFormat="1" applyFill="1" applyBorder="1" applyAlignment="1">
      <alignment horizontal="center" vertical="center"/>
    </xf>
    <xf numFmtId="171" fontId="6" fillId="0" borderId="3" xfId="0" applyNumberFormat="1" applyFont="1" applyFill="1" applyBorder="1" applyAlignment="1">
      <alignment horizontal="right" vertical="center"/>
    </xf>
    <xf numFmtId="0" fontId="4" fillId="0" borderId="3" xfId="2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7" fillId="0" borderId="0" xfId="2" applyFont="1" applyFill="1" applyAlignment="1">
      <alignment vertical="center" wrapText="1"/>
    </xf>
    <xf numFmtId="0" fontId="17" fillId="0" borderId="3" xfId="2" applyFont="1" applyFill="1" applyBorder="1" applyAlignment="1">
      <alignment horizontal="center" vertical="center"/>
    </xf>
    <xf numFmtId="169" fontId="3" fillId="0" borderId="3" xfId="2" applyNumberFormat="1" applyFill="1" applyBorder="1" applyAlignment="1">
      <alignment horizontal="right" vertical="center"/>
    </xf>
    <xf numFmtId="171" fontId="3" fillId="0" borderId="3" xfId="2" applyNumberForma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3" fillId="0" borderId="3" xfId="2" applyFill="1" applyBorder="1" applyAlignment="1">
      <alignment vertical="center"/>
    </xf>
    <xf numFmtId="167" fontId="3" fillId="0" borderId="3" xfId="2" applyNumberFormat="1" applyFill="1" applyBorder="1" applyAlignment="1">
      <alignment horizontal="center" vertical="center"/>
    </xf>
    <xf numFmtId="0" fontId="3" fillId="0" borderId="3" xfId="2" applyFill="1" applyBorder="1" applyAlignment="1">
      <alignment vertical="center" wrapText="1"/>
    </xf>
    <xf numFmtId="0" fontId="3" fillId="0" borderId="0" xfId="2" applyFill="1"/>
    <xf numFmtId="49" fontId="14" fillId="0" borderId="3" xfId="0" applyNumberFormat="1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vertical="center" wrapText="1"/>
    </xf>
    <xf numFmtId="165" fontId="3" fillId="0" borderId="3" xfId="2" applyNumberFormat="1" applyFill="1" applyBorder="1" applyAlignment="1">
      <alignment horizontal="center" vertical="center"/>
    </xf>
    <xf numFmtId="0" fontId="35" fillId="0" borderId="3" xfId="0" applyNumberFormat="1" applyFont="1" applyFill="1" applyBorder="1" applyAlignment="1">
      <alignment horizontal="center" vertical="center" wrapText="1"/>
    </xf>
    <xf numFmtId="0" fontId="36" fillId="0" borderId="3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0" xfId="2" applyFill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169" fontId="17" fillId="0" borderId="3" xfId="2" applyNumberFormat="1" applyFont="1" applyFill="1" applyBorder="1" applyAlignment="1">
      <alignment horizontal="right" vertical="center"/>
    </xf>
    <xf numFmtId="0" fontId="24" fillId="0" borderId="3" xfId="2" applyFont="1" applyFill="1" applyBorder="1" applyAlignment="1">
      <alignment horizontal="center" vertical="center" wrapText="1"/>
    </xf>
    <xf numFmtId="49" fontId="32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 wrapText="1"/>
    </xf>
    <xf numFmtId="49" fontId="32" fillId="0" borderId="3" xfId="0" applyNumberFormat="1" applyFont="1" applyFill="1" applyBorder="1" applyAlignment="1"/>
    <xf numFmtId="0" fontId="32" fillId="0" borderId="3" xfId="2" applyFont="1" applyFill="1" applyBorder="1" applyAlignment="1">
      <alignment horizontal="center" vertical="center"/>
    </xf>
    <xf numFmtId="172" fontId="3" fillId="0" borderId="3" xfId="2" applyNumberForma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left" vertical="center" wrapText="1"/>
    </xf>
    <xf numFmtId="167" fontId="4" fillId="0" borderId="3" xfId="2" applyNumberFormat="1" applyFont="1" applyFill="1" applyBorder="1" applyAlignment="1">
      <alignment horizontal="center" vertical="center"/>
    </xf>
    <xf numFmtId="49" fontId="14" fillId="0" borderId="3" xfId="4" applyNumberFormat="1" applyFont="1" applyFill="1" applyBorder="1" applyAlignment="1">
      <alignment horizontal="center" vertical="center" wrapText="1"/>
    </xf>
    <xf numFmtId="0" fontId="3" fillId="0" borderId="3" xfId="2" applyFill="1" applyBorder="1" applyAlignment="1">
      <alignment horizontal="left" vertical="center"/>
    </xf>
    <xf numFmtId="0" fontId="3" fillId="0" borderId="3" xfId="2" applyFill="1" applyBorder="1"/>
    <xf numFmtId="0" fontId="20" fillId="0" borderId="3" xfId="0" applyNumberFormat="1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NumberFormat="1" applyFont="1" applyFill="1" applyBorder="1" applyAlignment="1">
      <alignment horizontal="center" vertical="center" wrapText="1"/>
    </xf>
    <xf numFmtId="169" fontId="3" fillId="0" borderId="3" xfId="2" applyNumberForma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49" fontId="41" fillId="0" borderId="3" xfId="0" applyNumberFormat="1" applyFont="1" applyFill="1" applyBorder="1" applyAlignment="1">
      <alignment vertical="center" wrapText="1"/>
    </xf>
    <xf numFmtId="0" fontId="43" fillId="0" borderId="8" xfId="2" applyFont="1" applyFill="1" applyBorder="1" applyAlignment="1">
      <alignment horizontal="left" vertical="center"/>
    </xf>
    <xf numFmtId="0" fontId="3" fillId="0" borderId="3" xfId="2" applyFill="1" applyBorder="1" applyAlignment="1">
      <alignment wrapText="1"/>
    </xf>
    <xf numFmtId="49" fontId="6" fillId="0" borderId="2" xfId="0" applyNumberFormat="1" applyFont="1" applyFill="1" applyBorder="1" applyAlignment="1">
      <alignment horizontal="center" vertical="center"/>
    </xf>
    <xf numFmtId="171" fontId="5" fillId="0" borderId="4" xfId="0" applyNumberFormat="1" applyFont="1" applyFill="1" applyBorder="1" applyAlignment="1">
      <alignment horizontal="right" vertical="center"/>
    </xf>
    <xf numFmtId="171" fontId="6" fillId="0" borderId="1" xfId="0" applyNumberFormat="1" applyFont="1" applyFill="1" applyBorder="1" applyAlignment="1">
      <alignment horizontal="right" vertical="center"/>
    </xf>
    <xf numFmtId="164" fontId="5" fillId="0" borderId="3" xfId="0" applyNumberFormat="1" applyFont="1" applyFill="1" applyBorder="1" applyAlignment="1">
      <alignment horizontal="right" vertical="center"/>
    </xf>
    <xf numFmtId="164" fontId="6" fillId="0" borderId="3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6" xfId="2" applyFill="1" applyBorder="1"/>
    <xf numFmtId="0" fontId="0" fillId="0" borderId="1" xfId="0" applyFont="1" applyFill="1" applyBorder="1" applyAlignment="1">
      <alignment vertical="center" wrapText="1"/>
    </xf>
    <xf numFmtId="169" fontId="5" fillId="0" borderId="1" xfId="0" applyNumberFormat="1" applyFont="1" applyFill="1" applyBorder="1" applyAlignment="1">
      <alignment horizontal="right" vertical="center"/>
    </xf>
    <xf numFmtId="164" fontId="3" fillId="0" borderId="3" xfId="2" applyNumberFormat="1" applyFill="1" applyBorder="1" applyAlignment="1">
      <alignment horizontal="right" vertical="center"/>
    </xf>
    <xf numFmtId="0" fontId="6" fillId="0" borderId="3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/>
    </xf>
    <xf numFmtId="0" fontId="12" fillId="0" borderId="3" xfId="2" applyFont="1" applyFill="1" applyBorder="1" applyAlignment="1">
      <alignment horizontal="center" vertical="center" wrapText="1"/>
    </xf>
    <xf numFmtId="165" fontId="17" fillId="0" borderId="3" xfId="2" applyNumberFormat="1" applyFont="1" applyFill="1" applyBorder="1" applyAlignment="1">
      <alignment horizontal="center" vertical="center"/>
    </xf>
    <xf numFmtId="164" fontId="17" fillId="0" borderId="3" xfId="2" applyNumberFormat="1" applyFont="1" applyFill="1" applyBorder="1" applyAlignment="1">
      <alignment horizontal="right" vertical="center"/>
    </xf>
    <xf numFmtId="164" fontId="4" fillId="0" borderId="3" xfId="2" applyNumberFormat="1" applyFont="1" applyFill="1" applyBorder="1" applyAlignment="1">
      <alignment horizontal="right" vertical="center"/>
    </xf>
    <xf numFmtId="169" fontId="4" fillId="0" borderId="3" xfId="2" applyNumberFormat="1" applyFont="1" applyFill="1" applyBorder="1" applyAlignment="1">
      <alignment horizontal="right" vertical="center"/>
    </xf>
    <xf numFmtId="164" fontId="0" fillId="0" borderId="3" xfId="0" applyNumberFormat="1" applyFill="1" applyBorder="1"/>
    <xf numFmtId="0" fontId="3" fillId="0" borderId="0" xfId="2" applyFill="1" applyAlignment="1">
      <alignment wrapText="1"/>
    </xf>
    <xf numFmtId="0" fontId="17" fillId="0" borderId="3" xfId="2" applyFont="1" applyFill="1" applyBorder="1" applyAlignment="1">
      <alignment horizontal="left" vertical="center"/>
    </xf>
    <xf numFmtId="164" fontId="3" fillId="0" borderId="8" xfId="2" applyNumberFormat="1" applyFill="1" applyBorder="1" applyAlignment="1">
      <alignment horizontal="right" vertical="center"/>
    </xf>
    <xf numFmtId="0" fontId="3" fillId="0" borderId="3" xfId="2" applyFill="1" applyBorder="1" applyAlignment="1">
      <alignment horizontal="right" vertical="center"/>
    </xf>
    <xf numFmtId="0" fontId="20" fillId="0" borderId="3" xfId="4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5" fillId="0" borderId="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center" vertical="center"/>
    </xf>
    <xf numFmtId="170" fontId="10" fillId="0" borderId="4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/>
    <xf numFmtId="49" fontId="5" fillId="0" borderId="9" xfId="0" applyNumberFormat="1" applyFont="1" applyFill="1" applyBorder="1" applyAlignment="1">
      <alignment horizontal="center" vertical="center"/>
    </xf>
    <xf numFmtId="0" fontId="3" fillId="0" borderId="8" xfId="2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5" xfId="0" applyNumberFormat="1" applyFont="1" applyFill="1" applyBorder="1" applyAlignment="1">
      <alignment horizontal="right" vertical="center"/>
    </xf>
    <xf numFmtId="0" fontId="0" fillId="0" borderId="8" xfId="0" applyFill="1" applyBorder="1"/>
    <xf numFmtId="49" fontId="6" fillId="0" borderId="8" xfId="0" applyNumberFormat="1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right"/>
    </xf>
    <xf numFmtId="164" fontId="6" fillId="0" borderId="3" xfId="0" applyNumberFormat="1" applyFont="1" applyFill="1" applyBorder="1" applyAlignment="1">
      <alignment horizontal="right"/>
    </xf>
    <xf numFmtId="49" fontId="6" fillId="0" borderId="3" xfId="0" applyNumberFormat="1" applyFont="1" applyFill="1" applyBorder="1" applyAlignment="1">
      <alignment horizontal="left" vertical="center" wrapText="1"/>
    </xf>
    <xf numFmtId="49" fontId="20" fillId="0" borderId="3" xfId="0" applyNumberFormat="1" applyFont="1" applyFill="1" applyBorder="1" applyAlignment="1">
      <alignment horizontal="center" vertical="center"/>
    </xf>
    <xf numFmtId="0" fontId="20" fillId="0" borderId="3" xfId="4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168" fontId="3" fillId="0" borderId="3" xfId="2" applyNumberForma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vertical="center" wrapText="1"/>
    </xf>
    <xf numFmtId="164" fontId="10" fillId="0" borderId="4" xfId="0" applyNumberFormat="1" applyFont="1" applyFill="1" applyBorder="1" applyAlignment="1">
      <alignment horizontal="right" vertical="center"/>
    </xf>
    <xf numFmtId="49" fontId="5" fillId="0" borderId="2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right" vertical="center"/>
    </xf>
    <xf numFmtId="166" fontId="19" fillId="0" borderId="3" xfId="0" applyNumberFormat="1" applyFont="1" applyFill="1" applyBorder="1" applyAlignment="1">
      <alignment horizontal="center" vertical="center" wrapText="1"/>
    </xf>
    <xf numFmtId="164" fontId="14" fillId="0" borderId="3" xfId="0" applyNumberFormat="1" applyFont="1" applyFill="1" applyBorder="1" applyAlignment="1">
      <alignment horizontal="left" vertical="center" wrapText="1"/>
    </xf>
    <xf numFmtId="164" fontId="20" fillId="0" borderId="3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4" fillId="0" borderId="3" xfId="3" applyFont="1" applyFill="1" applyBorder="1" applyAlignment="1">
      <alignment horizontal="center" vertical="center"/>
    </xf>
    <xf numFmtId="164" fontId="3" fillId="0" borderId="3" xfId="0" applyNumberFormat="1" applyFont="1" applyFill="1" applyBorder="1" applyAlignment="1">
      <alignment horizontal="right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164" fontId="3" fillId="0" borderId="3" xfId="3" applyNumberFormat="1" applyFont="1" applyFill="1" applyBorder="1" applyAlignment="1">
      <alignment horizontal="right" vertical="center"/>
    </xf>
    <xf numFmtId="49" fontId="5" fillId="0" borderId="4" xfId="0" applyNumberFormat="1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vertical="center"/>
    </xf>
    <xf numFmtId="0" fontId="17" fillId="0" borderId="6" xfId="2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0" fontId="4" fillId="0" borderId="3" xfId="2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5" fillId="0" borderId="3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horizontal="center" vertical="center"/>
    </xf>
    <xf numFmtId="168" fontId="3" fillId="0" borderId="8" xfId="2" applyNumberForma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 wrapText="1"/>
    </xf>
    <xf numFmtId="169" fontId="25" fillId="0" borderId="3" xfId="2" applyNumberFormat="1" applyFont="1" applyFill="1" applyBorder="1" applyAlignment="1">
      <alignment horizontal="right" vertical="center"/>
    </xf>
    <xf numFmtId="0" fontId="3" fillId="0" borderId="6" xfId="2" applyFill="1" applyBorder="1" applyAlignment="1">
      <alignment horizontal="center" vertical="center"/>
    </xf>
    <xf numFmtId="0" fontId="3" fillId="0" borderId="6" xfId="2" applyFill="1" applyBorder="1" applyAlignment="1">
      <alignment horizontal="left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12" xfId="2" applyFill="1" applyBorder="1" applyAlignment="1">
      <alignment horizontal="center" vertical="center"/>
    </xf>
    <xf numFmtId="167" fontId="5" fillId="0" borderId="12" xfId="0" applyNumberFormat="1" applyFont="1" applyFill="1" applyBorder="1" applyAlignment="1">
      <alignment horizontal="right" vertical="center"/>
    </xf>
    <xf numFmtId="167" fontId="6" fillId="0" borderId="12" xfId="0" applyNumberFormat="1" applyFont="1" applyFill="1" applyBorder="1" applyAlignment="1">
      <alignment horizontal="right" vertical="center"/>
    </xf>
    <xf numFmtId="169" fontId="6" fillId="0" borderId="12" xfId="0" applyNumberFormat="1" applyFont="1" applyFill="1" applyBorder="1" applyAlignment="1">
      <alignment horizontal="right" vertical="center"/>
    </xf>
    <xf numFmtId="49" fontId="6" fillId="0" borderId="4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wrapText="1"/>
    </xf>
    <xf numFmtId="0" fontId="3" fillId="0" borderId="3" xfId="2" applyFill="1" applyBorder="1" applyAlignment="1">
      <alignment horizontal="left" vertical="center" wrapText="1"/>
    </xf>
    <xf numFmtId="169" fontId="20" fillId="0" borderId="3" xfId="1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169" fontId="10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left" vertical="center" wrapText="1"/>
    </xf>
    <xf numFmtId="169" fontId="6" fillId="0" borderId="1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wrapText="1"/>
    </xf>
    <xf numFmtId="168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5" fillId="0" borderId="4" xfId="0" applyNumberFormat="1" applyFont="1" applyFill="1" applyBorder="1" applyAlignment="1">
      <alignment horizontal="right" vertical="center"/>
    </xf>
    <xf numFmtId="0" fontId="17" fillId="0" borderId="3" xfId="2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0" fontId="17" fillId="0" borderId="3" xfId="2" applyNumberFormat="1" applyFont="1" applyFill="1" applyBorder="1" applyAlignment="1">
      <alignment horizontal="center" vertical="center"/>
    </xf>
    <xf numFmtId="0" fontId="29" fillId="0" borderId="3" xfId="2" applyFont="1" applyFill="1" applyBorder="1" applyAlignment="1">
      <alignment vertical="center" wrapText="1"/>
    </xf>
    <xf numFmtId="0" fontId="31" fillId="0" borderId="3" xfId="2" applyFont="1" applyFill="1" applyBorder="1" applyAlignment="1">
      <alignment horizontal="center" vertical="center"/>
    </xf>
    <xf numFmtId="167" fontId="31" fillId="0" borderId="3" xfId="2" applyNumberFormat="1" applyFont="1" applyFill="1" applyBorder="1" applyAlignment="1">
      <alignment horizontal="center" vertical="center"/>
    </xf>
    <xf numFmtId="169" fontId="31" fillId="0" borderId="3" xfId="2" applyNumberFormat="1" applyFont="1" applyFill="1" applyBorder="1" applyAlignment="1">
      <alignment horizontal="right" vertical="center"/>
    </xf>
    <xf numFmtId="169" fontId="32" fillId="0" borderId="3" xfId="2" applyNumberFormat="1" applyFont="1" applyFill="1" applyBorder="1" applyAlignment="1">
      <alignment horizontal="right" vertical="center"/>
    </xf>
    <xf numFmtId="169" fontId="32" fillId="0" borderId="3" xfId="2" applyNumberFormat="1" applyFont="1" applyFill="1" applyBorder="1" applyAlignment="1">
      <alignment vertical="center"/>
    </xf>
    <xf numFmtId="0" fontId="34" fillId="0" borderId="3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wrapText="1"/>
    </xf>
    <xf numFmtId="167" fontId="32" fillId="0" borderId="3" xfId="2" applyNumberFormat="1" applyFont="1" applyFill="1" applyBorder="1" applyAlignment="1">
      <alignment horizontal="center" vertical="center"/>
    </xf>
    <xf numFmtId="0" fontId="32" fillId="0" borderId="3" xfId="2" applyFont="1" applyFill="1" applyBorder="1"/>
    <xf numFmtId="0" fontId="33" fillId="0" borderId="3" xfId="0" applyFont="1" applyFill="1" applyBorder="1" applyAlignment="1">
      <alignment vertical="center" wrapText="1"/>
    </xf>
    <xf numFmtId="0" fontId="32" fillId="0" borderId="3" xfId="2" applyFont="1" applyFill="1" applyBorder="1" applyAlignment="1">
      <alignment vertical="center" wrapText="1"/>
    </xf>
    <xf numFmtId="0" fontId="32" fillId="0" borderId="0" xfId="2" applyFont="1" applyFill="1" applyAlignment="1">
      <alignment vertical="center"/>
    </xf>
    <xf numFmtId="0" fontId="32" fillId="0" borderId="3" xfId="2" applyFont="1" applyFill="1" applyBorder="1" applyAlignment="1">
      <alignment vertical="center"/>
    </xf>
    <xf numFmtId="167" fontId="17" fillId="0" borderId="3" xfId="2" applyNumberFormat="1" applyFont="1" applyFill="1" applyBorder="1" applyAlignment="1">
      <alignment horizontal="center" vertical="center"/>
    </xf>
    <xf numFmtId="0" fontId="3" fillId="0" borderId="3" xfId="2" applyFill="1" applyBorder="1" applyAlignment="1">
      <alignment horizontal="center"/>
    </xf>
    <xf numFmtId="167" fontId="3" fillId="0" borderId="3" xfId="2" applyNumberFormat="1" applyFill="1" applyBorder="1" applyAlignment="1">
      <alignment horizontal="right" vertical="center"/>
    </xf>
    <xf numFmtId="49" fontId="27" fillId="0" borderId="1" xfId="0" applyNumberFormat="1" applyFont="1" applyFill="1" applyBorder="1" applyAlignment="1">
      <alignment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vertical="center"/>
    </xf>
    <xf numFmtId="49" fontId="8" fillId="0" borderId="5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vertical="center"/>
    </xf>
    <xf numFmtId="49" fontId="27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164" fontId="19" fillId="0" borderId="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 wrapText="1"/>
    </xf>
    <xf numFmtId="165" fontId="3" fillId="0" borderId="3" xfId="2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vertical="center"/>
    </xf>
    <xf numFmtId="165" fontId="5" fillId="0" borderId="13" xfId="0" applyNumberFormat="1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right" vertical="center"/>
    </xf>
    <xf numFmtId="164" fontId="3" fillId="0" borderId="0" xfId="2" applyNumberFormat="1" applyFont="1" applyFill="1" applyAlignment="1">
      <alignment horizontal="right" vertical="center"/>
    </xf>
    <xf numFmtId="2" fontId="6" fillId="0" borderId="5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silfain" xfId="2"/>
    <cellStyle name="Обычный_Лист1" xfId="3"/>
    <cellStyle name="Обычный_დემონტაჟი" xfId="4"/>
  </cellStyles>
  <dxfs count="24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905125" y="9220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905125" y="16154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478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49</xdr:row>
      <xdr:rowOff>0</xdr:rowOff>
    </xdr:from>
    <xdr:to>
      <xdr:col>2</xdr:col>
      <xdr:colOff>1476375</xdr:colOff>
      <xdr:row>49</xdr:row>
      <xdr:rowOff>28575</xdr:rowOff>
    </xdr:to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49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905125" y="16859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905125" y="27279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905125" y="27279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905125" y="27279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905125" y="27279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905125" y="27279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905125" y="27279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905125" y="27279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905125" y="27279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905125" y="31699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905125" y="32385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905125" y="33470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905125" y="4112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905125" y="4112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905125" y="4112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905125" y="4112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905125" y="4112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905125" y="4112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905125" y="4112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905125" y="4112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905125" y="45548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905125" y="46234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905125" y="47548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905125" y="48463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905125" y="48234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905125" y="7202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905125" y="7202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905125" y="7202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905125" y="7202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905125" y="7202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905125" y="7202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905125" y="7202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905125" y="7202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905125" y="7644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905125" y="7713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905125" y="7844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905125" y="7936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905125" y="79133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905125" y="12078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905125" y="12078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905125" y="12078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905125" y="12078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905125" y="12078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905125" y="12078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905125" y="12078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905125" y="12078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905125" y="12010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905125" y="12010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905125" y="12010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905125" y="12010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905125" y="12010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905125" y="12010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905125" y="12010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145</xdr:row>
      <xdr:rowOff>0</xdr:rowOff>
    </xdr:from>
    <xdr:to>
      <xdr:col>2</xdr:col>
      <xdr:colOff>1476375</xdr:colOff>
      <xdr:row>145</xdr:row>
      <xdr:rowOff>28575</xdr:rowOff>
    </xdr:to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905125" y="12010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905125" y="1272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905125" y="1272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905125" y="1272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905125" y="1272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905125" y="1272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905125" y="1272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905125" y="1272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905125" y="1272063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905125" y="1360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905125" y="1360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905125" y="1360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905125" y="1360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905125" y="1360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905125" y="1360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905125" y="1360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905125" y="1360265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905125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905125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905125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905125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905125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905125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905125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905125" y="1353407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8217</xdr:colOff>
      <xdr:row>145</xdr:row>
      <xdr:rowOff>28575</xdr:rowOff>
    </xdr:to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5267325" y="138922125"/>
          <a:ext cx="821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1476375</xdr:colOff>
      <xdr:row>145</xdr:row>
      <xdr:rowOff>0</xdr:rowOff>
    </xdr:from>
    <xdr:to>
      <xdr:col>4</xdr:col>
      <xdr:colOff>561</xdr:colOff>
      <xdr:row>145</xdr:row>
      <xdr:rowOff>28575</xdr:rowOff>
    </xdr:to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61" cy="285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5267325" y="138922125"/>
          <a:ext cx="561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1476375</xdr:colOff>
      <xdr:row>145</xdr:row>
      <xdr:rowOff>0</xdr:rowOff>
    </xdr:from>
    <xdr:ext cx="5043" cy="2857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5267325" y="138922125"/>
          <a:ext cx="5043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06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07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08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09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10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11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12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13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14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15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16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17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18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19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20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21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22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23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24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25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26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27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28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29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30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31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32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33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34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35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36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37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38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39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40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41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42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43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44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45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46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47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48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49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50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51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52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53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54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55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56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57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58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59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60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61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62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63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64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65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66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67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68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2569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905125" y="144427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0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1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2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3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4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5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6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7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8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79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0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1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2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3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4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5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6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7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8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89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0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1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2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3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4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5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6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7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8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599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0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1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2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3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4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5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6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7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8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09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0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1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2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3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4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5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6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7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8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19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0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1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2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3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4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5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6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7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8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29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0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1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2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3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4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5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6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7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8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39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0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1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2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3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4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5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6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7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8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49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0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1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2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3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4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5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6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7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8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59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0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1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2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3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4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5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6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7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8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69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0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1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2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3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4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5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6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7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8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79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0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1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2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3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4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5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6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7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8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89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0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1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2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3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4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5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6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2697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98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699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00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01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02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03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04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05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06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07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08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09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10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11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12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13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14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15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16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17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18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19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20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21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22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23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24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25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26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27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28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29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30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31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32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33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34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35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36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37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38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39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40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41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42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43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44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45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46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47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48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49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50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51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52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53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54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55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56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57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58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59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60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61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62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63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64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65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66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67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68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69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70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71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72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73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74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75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76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77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78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79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80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81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82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83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84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85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86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87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88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89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90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91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92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93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94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95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96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97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98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799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00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01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02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03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04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05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06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07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08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09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10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11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12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13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14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15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16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17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18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19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20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21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22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23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24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25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42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43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44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45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46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47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48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49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50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51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52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53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54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55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56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57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58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59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60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61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62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63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64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65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66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67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68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69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70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71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72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73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74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75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76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77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78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79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80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81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82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83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84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85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86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87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88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89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90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91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92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93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94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95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96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97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98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899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00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01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02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03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04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05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06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07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08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09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10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11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12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13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14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15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16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17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18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19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20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21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22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23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24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25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26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27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28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29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30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31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32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33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34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35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36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37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38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39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40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41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42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43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44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45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46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47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48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49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50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51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52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53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54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55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56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57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58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59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60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61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62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63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64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65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66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67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68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69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70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71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72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73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74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75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76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77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78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79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80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81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82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83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84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85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86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87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88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89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90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91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92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93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94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95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96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97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98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2999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00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01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02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03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04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05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06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07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08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09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10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11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12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13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14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15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16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17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18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19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20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21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22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23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24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25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26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27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28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29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30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31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32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33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34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35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36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37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38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39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40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41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42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43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44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45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46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47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48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49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50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51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52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53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54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55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56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57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58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59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60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61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62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63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64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65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66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67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68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69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70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71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72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74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75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76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77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78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79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80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81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82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83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84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85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86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87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88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89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90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91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92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93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94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95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96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97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06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07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08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09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10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11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12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13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14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15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16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17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18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19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20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21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22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23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24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25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26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27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28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29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30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31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32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33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34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35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36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37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38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39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40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41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42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43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44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45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46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47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48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49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50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51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52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53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54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55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56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57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58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59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60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61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62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63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64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65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66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67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68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69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70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71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72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73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74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75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76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77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78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79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80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81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82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83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84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85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86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87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88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89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90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91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92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93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94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95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96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97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98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199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00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01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02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03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04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05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06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07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08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09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10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11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12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13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14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15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16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17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18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19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20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21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22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23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24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25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26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27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28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29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30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31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32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33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42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43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44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45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46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47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48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49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50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51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52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53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54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55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56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57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58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59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60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61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62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63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64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65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66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67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68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69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70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71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72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73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74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75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76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77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78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79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80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81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82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83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84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85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86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87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88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89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90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91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92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93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94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95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96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97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98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299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00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01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02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03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04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05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06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07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08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09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10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11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12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13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14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15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16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17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18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19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20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21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22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23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24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25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26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27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28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29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30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31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32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33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34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35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36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37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38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39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40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41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42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43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44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45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46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47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48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49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50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51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52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53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54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55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56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57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58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59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60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61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62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63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64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65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66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67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68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182</xdr:row>
      <xdr:rowOff>0</xdr:rowOff>
    </xdr:from>
    <xdr:ext cx="0" cy="28575"/>
    <xdr:sp macro="" textlink="">
      <xdr:nvSpPr>
        <xdr:cNvPr id="3369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557242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6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7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8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89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0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1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2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3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4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5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6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7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8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399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0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1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2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3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4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5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6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7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8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09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0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1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2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3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4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5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6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7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8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19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0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1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2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3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4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5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6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7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8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29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0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1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2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3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4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5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6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7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8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39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0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1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2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3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4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5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6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7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8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49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0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1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2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3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4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5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6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7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8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59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0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1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2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3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4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5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6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7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8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69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0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1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2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3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4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5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6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7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8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79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0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1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2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3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4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5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6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7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8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89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0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1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2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3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4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5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6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7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8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499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0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1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2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3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4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5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6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7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8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09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0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1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2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13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905125" y="1584674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2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3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4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5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6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7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8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29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0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1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2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3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4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5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6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7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8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39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0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1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2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3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4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5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6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7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8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49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0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1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2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3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4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5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6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7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8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59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0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1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2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3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4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5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6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7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8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69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0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1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2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3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4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5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6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7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8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79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0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1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2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3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4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5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6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7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8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89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0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1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2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3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4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5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6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7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8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599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0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1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2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3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4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5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6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7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8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09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0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1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2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3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4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5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6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7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8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19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0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1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2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3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4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5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6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7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8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29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0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1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2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3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4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5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6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7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8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39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0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1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2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3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4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5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6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7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8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3649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57095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50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51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52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53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54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55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56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57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58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59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60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61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62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63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64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65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66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67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68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69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70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71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72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73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74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75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76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77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78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79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80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81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82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83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84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85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86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87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88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89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90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91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92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93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94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95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96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97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98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699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00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01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02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03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04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05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06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07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08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09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10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11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12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200</xdr:row>
      <xdr:rowOff>0</xdr:rowOff>
    </xdr:from>
    <xdr:ext cx="0" cy="28575"/>
    <xdr:sp macro="" textlink="">
      <xdr:nvSpPr>
        <xdr:cNvPr id="3713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905125" y="1619345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14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15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16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17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18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19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20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21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22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23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24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25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26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27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28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29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30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31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32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33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34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35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36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37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38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39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40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41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42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43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44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45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46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47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48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49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50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51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52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53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54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55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56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57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58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59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60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61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62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63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64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65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66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67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68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69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70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71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72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73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74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75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76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77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78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79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80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81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82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83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84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85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86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87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88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89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90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91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92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93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94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95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96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97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98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799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00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01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02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03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04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05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06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07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08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09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10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11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12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13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14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15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16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17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18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19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20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21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22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23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24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25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26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27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28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29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30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31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32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33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34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35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36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37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38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39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40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239</xdr:row>
      <xdr:rowOff>0</xdr:rowOff>
    </xdr:from>
    <xdr:ext cx="0" cy="28575"/>
    <xdr:sp macro="" textlink="">
      <xdr:nvSpPr>
        <xdr:cNvPr id="3841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79136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42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43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44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45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46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47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48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49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50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51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52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53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54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55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56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57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58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59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60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61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62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63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64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65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66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67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68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69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70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71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72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73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74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75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76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77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78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79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80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81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82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83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84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85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86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87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88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89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90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91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92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93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94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95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96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97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98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899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00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01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02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03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04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05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06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07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08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09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10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11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12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13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14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15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16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17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18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19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20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21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22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23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24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25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26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27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28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29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30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31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32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33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34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35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36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37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38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39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40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41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42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43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44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45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46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47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48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49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50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51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52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53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54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55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56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57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58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59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60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61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62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63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64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65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66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67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68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236</xdr:row>
      <xdr:rowOff>0</xdr:rowOff>
    </xdr:from>
    <xdr:ext cx="0" cy="28575"/>
    <xdr:sp macro="" textlink="">
      <xdr:nvSpPr>
        <xdr:cNvPr id="3969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905125" y="1777650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245</xdr:row>
      <xdr:rowOff>0</xdr:rowOff>
    </xdr:from>
    <xdr:ext cx="0" cy="2857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857500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245</xdr:row>
      <xdr:rowOff>0</xdr:rowOff>
    </xdr:from>
    <xdr:ext cx="0" cy="28575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905125" y="18121312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74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75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76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77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78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79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80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81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82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83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84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85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86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87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88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89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90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91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92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93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94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95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96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97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98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699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00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01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02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03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04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05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06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07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08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09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10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11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12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13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14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15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16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17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18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19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20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21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22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23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24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25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26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27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28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29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30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31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32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33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34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35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36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305</xdr:row>
      <xdr:rowOff>0</xdr:rowOff>
    </xdr:from>
    <xdr:ext cx="0" cy="28575"/>
    <xdr:sp macro="" textlink="">
      <xdr:nvSpPr>
        <xdr:cNvPr id="4737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905125" y="1832133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38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39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40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41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42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43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44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45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46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47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48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49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50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51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52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53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54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55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56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57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58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59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60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61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62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63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64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65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66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67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68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69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70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71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72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73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74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75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76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77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78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79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80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81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82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83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84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85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86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87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88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89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90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91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92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93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94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95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96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97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98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799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800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320</xdr:row>
      <xdr:rowOff>0</xdr:rowOff>
    </xdr:from>
    <xdr:ext cx="0" cy="28575"/>
    <xdr:sp macro="" textlink="">
      <xdr:nvSpPr>
        <xdr:cNvPr id="4801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905125" y="1886807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02" name="Text Box 1">
          <a:extLst>
            <a:ext uri="{FF2B5EF4-FFF2-40B4-BE49-F238E27FC236}">
              <a16:creationId xmlns:a16="http://schemas.microsoft.com/office/drawing/2014/main" id="{945DEB7E-3D78-4210-888F-65A9F32BB84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03" name="Text Box 1">
          <a:extLst>
            <a:ext uri="{FF2B5EF4-FFF2-40B4-BE49-F238E27FC236}">
              <a16:creationId xmlns:a16="http://schemas.microsoft.com/office/drawing/2014/main" id="{DEA2E047-F663-48DB-AB19-3A8D8451B79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04" name="Text Box 1">
          <a:extLst>
            <a:ext uri="{FF2B5EF4-FFF2-40B4-BE49-F238E27FC236}">
              <a16:creationId xmlns:a16="http://schemas.microsoft.com/office/drawing/2014/main" id="{243DD90C-7DB7-4082-8965-1C8F2AC9325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05" name="Text Box 1">
          <a:extLst>
            <a:ext uri="{FF2B5EF4-FFF2-40B4-BE49-F238E27FC236}">
              <a16:creationId xmlns:a16="http://schemas.microsoft.com/office/drawing/2014/main" id="{C3AC2744-07FB-439E-86E3-FA890B3BE2C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06" name="Text Box 1">
          <a:extLst>
            <a:ext uri="{FF2B5EF4-FFF2-40B4-BE49-F238E27FC236}">
              <a16:creationId xmlns:a16="http://schemas.microsoft.com/office/drawing/2014/main" id="{C0F40F82-6395-41BF-BC79-66B07632FEA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07" name="Text Box 1">
          <a:extLst>
            <a:ext uri="{FF2B5EF4-FFF2-40B4-BE49-F238E27FC236}">
              <a16:creationId xmlns:a16="http://schemas.microsoft.com/office/drawing/2014/main" id="{FE99FF0E-1D5E-47E1-887A-3ABFF6D1AC4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08" name="Text Box 1">
          <a:extLst>
            <a:ext uri="{FF2B5EF4-FFF2-40B4-BE49-F238E27FC236}">
              <a16:creationId xmlns:a16="http://schemas.microsoft.com/office/drawing/2014/main" id="{47CD0EBD-C85A-4C91-AD37-25DB6687EDE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09" name="Text Box 1">
          <a:extLst>
            <a:ext uri="{FF2B5EF4-FFF2-40B4-BE49-F238E27FC236}">
              <a16:creationId xmlns:a16="http://schemas.microsoft.com/office/drawing/2014/main" id="{75D680DB-F668-4261-8079-05848C32932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10" name="Text Box 1">
          <a:extLst>
            <a:ext uri="{FF2B5EF4-FFF2-40B4-BE49-F238E27FC236}">
              <a16:creationId xmlns:a16="http://schemas.microsoft.com/office/drawing/2014/main" id="{31493D38-0D28-43F4-973C-54E7C28D699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11" name="Text Box 1">
          <a:extLst>
            <a:ext uri="{FF2B5EF4-FFF2-40B4-BE49-F238E27FC236}">
              <a16:creationId xmlns:a16="http://schemas.microsoft.com/office/drawing/2014/main" id="{829BAB3A-8C33-453B-A82E-F66447068F1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12" name="Text Box 1">
          <a:extLst>
            <a:ext uri="{FF2B5EF4-FFF2-40B4-BE49-F238E27FC236}">
              <a16:creationId xmlns:a16="http://schemas.microsoft.com/office/drawing/2014/main" id="{6535AEE6-B4B5-48B8-8A33-2025DBF55F3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13" name="Text Box 1">
          <a:extLst>
            <a:ext uri="{FF2B5EF4-FFF2-40B4-BE49-F238E27FC236}">
              <a16:creationId xmlns:a16="http://schemas.microsoft.com/office/drawing/2014/main" id="{4F50BF6C-2DF4-479B-9130-31227ECA702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14" name="Text Box 1">
          <a:extLst>
            <a:ext uri="{FF2B5EF4-FFF2-40B4-BE49-F238E27FC236}">
              <a16:creationId xmlns:a16="http://schemas.microsoft.com/office/drawing/2014/main" id="{064D107C-FD6C-4313-91F4-0AE7888BABB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15" name="Text Box 1">
          <a:extLst>
            <a:ext uri="{FF2B5EF4-FFF2-40B4-BE49-F238E27FC236}">
              <a16:creationId xmlns:a16="http://schemas.microsoft.com/office/drawing/2014/main" id="{E108B191-49BA-4B72-92F6-CC80FF2C40F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16" name="Text Box 1">
          <a:extLst>
            <a:ext uri="{FF2B5EF4-FFF2-40B4-BE49-F238E27FC236}">
              <a16:creationId xmlns:a16="http://schemas.microsoft.com/office/drawing/2014/main" id="{6560FB1F-1240-4DD3-9C8A-311B6C98B2A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17" name="Text Box 1">
          <a:extLst>
            <a:ext uri="{FF2B5EF4-FFF2-40B4-BE49-F238E27FC236}">
              <a16:creationId xmlns:a16="http://schemas.microsoft.com/office/drawing/2014/main" id="{69BF2CCE-4913-48C4-8D54-C7DD034B3E9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18" name="Text Box 1">
          <a:extLst>
            <a:ext uri="{FF2B5EF4-FFF2-40B4-BE49-F238E27FC236}">
              <a16:creationId xmlns:a16="http://schemas.microsoft.com/office/drawing/2014/main" id="{F837F225-8878-4863-9E9C-3AF49EE3B45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19" name="Text Box 1">
          <a:extLst>
            <a:ext uri="{FF2B5EF4-FFF2-40B4-BE49-F238E27FC236}">
              <a16:creationId xmlns:a16="http://schemas.microsoft.com/office/drawing/2014/main" id="{59881079-F5A6-4520-A522-E6EA2785CF1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20" name="Text Box 1">
          <a:extLst>
            <a:ext uri="{FF2B5EF4-FFF2-40B4-BE49-F238E27FC236}">
              <a16:creationId xmlns:a16="http://schemas.microsoft.com/office/drawing/2014/main" id="{3FD3D9F3-0E16-4662-8A62-36109DFA8C5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21" name="Text Box 1">
          <a:extLst>
            <a:ext uri="{FF2B5EF4-FFF2-40B4-BE49-F238E27FC236}">
              <a16:creationId xmlns:a16="http://schemas.microsoft.com/office/drawing/2014/main" id="{4B2A8A54-5DB4-412D-9444-A79B520ABAB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22" name="Text Box 1">
          <a:extLst>
            <a:ext uri="{FF2B5EF4-FFF2-40B4-BE49-F238E27FC236}">
              <a16:creationId xmlns:a16="http://schemas.microsoft.com/office/drawing/2014/main" id="{C15CEAC0-8F61-4F48-90F1-D8280191F5C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23" name="Text Box 1">
          <a:extLst>
            <a:ext uri="{FF2B5EF4-FFF2-40B4-BE49-F238E27FC236}">
              <a16:creationId xmlns:a16="http://schemas.microsoft.com/office/drawing/2014/main" id="{76D7B01C-D88D-435A-9EEF-FD37D4E908C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24" name="Text Box 1">
          <a:extLst>
            <a:ext uri="{FF2B5EF4-FFF2-40B4-BE49-F238E27FC236}">
              <a16:creationId xmlns:a16="http://schemas.microsoft.com/office/drawing/2014/main" id="{BC45DC5B-009A-45C2-B7AE-3F3EA7DA5A6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25" name="Text Box 1">
          <a:extLst>
            <a:ext uri="{FF2B5EF4-FFF2-40B4-BE49-F238E27FC236}">
              <a16:creationId xmlns:a16="http://schemas.microsoft.com/office/drawing/2014/main" id="{1B5D6803-1463-4CCB-B66A-4C6659B5393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26" name="Text Box 1">
          <a:extLst>
            <a:ext uri="{FF2B5EF4-FFF2-40B4-BE49-F238E27FC236}">
              <a16:creationId xmlns:a16="http://schemas.microsoft.com/office/drawing/2014/main" id="{EF2FCC4E-9F34-4FAA-86CD-A4082D82226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27" name="Text Box 1">
          <a:extLst>
            <a:ext uri="{FF2B5EF4-FFF2-40B4-BE49-F238E27FC236}">
              <a16:creationId xmlns:a16="http://schemas.microsoft.com/office/drawing/2014/main" id="{D4BF904D-C466-49B6-9D8D-A896D164A10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28" name="Text Box 1">
          <a:extLst>
            <a:ext uri="{FF2B5EF4-FFF2-40B4-BE49-F238E27FC236}">
              <a16:creationId xmlns:a16="http://schemas.microsoft.com/office/drawing/2014/main" id="{6C700B5D-49F2-404D-A7AB-93390406E6B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29" name="Text Box 1">
          <a:extLst>
            <a:ext uri="{FF2B5EF4-FFF2-40B4-BE49-F238E27FC236}">
              <a16:creationId xmlns:a16="http://schemas.microsoft.com/office/drawing/2014/main" id="{79088164-ADA7-4D1D-B28D-B1C72BFD972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30" name="Text Box 1">
          <a:extLst>
            <a:ext uri="{FF2B5EF4-FFF2-40B4-BE49-F238E27FC236}">
              <a16:creationId xmlns:a16="http://schemas.microsoft.com/office/drawing/2014/main" id="{A2C630C8-06C0-47DB-B604-23ABBC7F655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31" name="Text Box 1">
          <a:extLst>
            <a:ext uri="{FF2B5EF4-FFF2-40B4-BE49-F238E27FC236}">
              <a16:creationId xmlns:a16="http://schemas.microsoft.com/office/drawing/2014/main" id="{D677C468-1961-4635-BEF4-92A97D12B79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32" name="Text Box 1">
          <a:extLst>
            <a:ext uri="{FF2B5EF4-FFF2-40B4-BE49-F238E27FC236}">
              <a16:creationId xmlns:a16="http://schemas.microsoft.com/office/drawing/2014/main" id="{8C572B5A-2B76-4241-A077-8CAFAEF2CA6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33" name="Text Box 1">
          <a:extLst>
            <a:ext uri="{FF2B5EF4-FFF2-40B4-BE49-F238E27FC236}">
              <a16:creationId xmlns:a16="http://schemas.microsoft.com/office/drawing/2014/main" id="{1BA35550-ABF9-4E0A-AAF2-345D93C5240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34" name="Text Box 1">
          <a:extLst>
            <a:ext uri="{FF2B5EF4-FFF2-40B4-BE49-F238E27FC236}">
              <a16:creationId xmlns:a16="http://schemas.microsoft.com/office/drawing/2014/main" id="{BE0FF375-4724-452A-8360-15F2F48FAB8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35" name="Text Box 1">
          <a:extLst>
            <a:ext uri="{FF2B5EF4-FFF2-40B4-BE49-F238E27FC236}">
              <a16:creationId xmlns:a16="http://schemas.microsoft.com/office/drawing/2014/main" id="{EB4857EC-F1E2-436E-A0A6-DBABA17BD95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36" name="Text Box 1">
          <a:extLst>
            <a:ext uri="{FF2B5EF4-FFF2-40B4-BE49-F238E27FC236}">
              <a16:creationId xmlns:a16="http://schemas.microsoft.com/office/drawing/2014/main" id="{EFA4294F-47BC-433B-8FFE-5B83DA999A6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37" name="Text Box 1">
          <a:extLst>
            <a:ext uri="{FF2B5EF4-FFF2-40B4-BE49-F238E27FC236}">
              <a16:creationId xmlns:a16="http://schemas.microsoft.com/office/drawing/2014/main" id="{BA875D98-21CF-4DC6-B5AB-4D487885DAF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38" name="Text Box 1">
          <a:extLst>
            <a:ext uri="{FF2B5EF4-FFF2-40B4-BE49-F238E27FC236}">
              <a16:creationId xmlns:a16="http://schemas.microsoft.com/office/drawing/2014/main" id="{B9E2DD6D-A9F9-4E1E-AE10-A2B8B53A35B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39" name="Text Box 1">
          <a:extLst>
            <a:ext uri="{FF2B5EF4-FFF2-40B4-BE49-F238E27FC236}">
              <a16:creationId xmlns:a16="http://schemas.microsoft.com/office/drawing/2014/main" id="{A7801B5E-5E80-4330-B911-AE3F84D00A0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40" name="Text Box 1">
          <a:extLst>
            <a:ext uri="{FF2B5EF4-FFF2-40B4-BE49-F238E27FC236}">
              <a16:creationId xmlns:a16="http://schemas.microsoft.com/office/drawing/2014/main" id="{AFFF416E-B5C5-4E69-A33A-9E2625B183C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41" name="Text Box 1">
          <a:extLst>
            <a:ext uri="{FF2B5EF4-FFF2-40B4-BE49-F238E27FC236}">
              <a16:creationId xmlns:a16="http://schemas.microsoft.com/office/drawing/2014/main" id="{B18EF54F-D010-425D-938E-820D014D4F6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42" name="Text Box 1">
          <a:extLst>
            <a:ext uri="{FF2B5EF4-FFF2-40B4-BE49-F238E27FC236}">
              <a16:creationId xmlns:a16="http://schemas.microsoft.com/office/drawing/2014/main" id="{80143207-14A5-4E45-9182-72499163A97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43" name="Text Box 1">
          <a:extLst>
            <a:ext uri="{FF2B5EF4-FFF2-40B4-BE49-F238E27FC236}">
              <a16:creationId xmlns:a16="http://schemas.microsoft.com/office/drawing/2014/main" id="{45833E98-BDEF-410A-A231-B6AF9E7F5E7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44" name="Text Box 1">
          <a:extLst>
            <a:ext uri="{FF2B5EF4-FFF2-40B4-BE49-F238E27FC236}">
              <a16:creationId xmlns:a16="http://schemas.microsoft.com/office/drawing/2014/main" id="{FC38DFAA-356D-454D-A77E-A7AD4063156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45" name="Text Box 1">
          <a:extLst>
            <a:ext uri="{FF2B5EF4-FFF2-40B4-BE49-F238E27FC236}">
              <a16:creationId xmlns:a16="http://schemas.microsoft.com/office/drawing/2014/main" id="{278F72A6-35E0-4A0B-AFAD-D6DA1830B72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46" name="Text Box 1">
          <a:extLst>
            <a:ext uri="{FF2B5EF4-FFF2-40B4-BE49-F238E27FC236}">
              <a16:creationId xmlns:a16="http://schemas.microsoft.com/office/drawing/2014/main" id="{AEC18A15-44C7-4C22-8C14-20554FD3093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47" name="Text Box 1">
          <a:extLst>
            <a:ext uri="{FF2B5EF4-FFF2-40B4-BE49-F238E27FC236}">
              <a16:creationId xmlns:a16="http://schemas.microsoft.com/office/drawing/2014/main" id="{16343FD8-25A2-4130-8C76-71353BBF0B0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48" name="Text Box 1">
          <a:extLst>
            <a:ext uri="{FF2B5EF4-FFF2-40B4-BE49-F238E27FC236}">
              <a16:creationId xmlns:a16="http://schemas.microsoft.com/office/drawing/2014/main" id="{90B0F42F-80E3-4775-9CA2-70A6BD00D75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49" name="Text Box 1">
          <a:extLst>
            <a:ext uri="{FF2B5EF4-FFF2-40B4-BE49-F238E27FC236}">
              <a16:creationId xmlns:a16="http://schemas.microsoft.com/office/drawing/2014/main" id="{BB33C505-BBB5-448A-8D58-2EDC087B59F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50" name="Text Box 1">
          <a:extLst>
            <a:ext uri="{FF2B5EF4-FFF2-40B4-BE49-F238E27FC236}">
              <a16:creationId xmlns:a16="http://schemas.microsoft.com/office/drawing/2014/main" id="{958EC8EA-36E8-472D-987E-5DDA67C2EEF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51" name="Text Box 1">
          <a:extLst>
            <a:ext uri="{FF2B5EF4-FFF2-40B4-BE49-F238E27FC236}">
              <a16:creationId xmlns:a16="http://schemas.microsoft.com/office/drawing/2014/main" id="{5E14BB7C-6352-4069-B036-E5D43EEC4AE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52" name="Text Box 1">
          <a:extLst>
            <a:ext uri="{FF2B5EF4-FFF2-40B4-BE49-F238E27FC236}">
              <a16:creationId xmlns:a16="http://schemas.microsoft.com/office/drawing/2014/main" id="{BEF63A0A-075D-46E9-9D9F-E77A9DA6CB0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53" name="Text Box 1">
          <a:extLst>
            <a:ext uri="{FF2B5EF4-FFF2-40B4-BE49-F238E27FC236}">
              <a16:creationId xmlns:a16="http://schemas.microsoft.com/office/drawing/2014/main" id="{1C392288-7481-43A5-AA86-38FACCEA0AA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54" name="Text Box 1">
          <a:extLst>
            <a:ext uri="{FF2B5EF4-FFF2-40B4-BE49-F238E27FC236}">
              <a16:creationId xmlns:a16="http://schemas.microsoft.com/office/drawing/2014/main" id="{ECC0D2AB-D71C-46BA-B7ED-0B8B631919D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55" name="Text Box 1">
          <a:extLst>
            <a:ext uri="{FF2B5EF4-FFF2-40B4-BE49-F238E27FC236}">
              <a16:creationId xmlns:a16="http://schemas.microsoft.com/office/drawing/2014/main" id="{70F4BA74-6233-467A-BC1F-7B20A8EE2D7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56" name="Text Box 1">
          <a:extLst>
            <a:ext uri="{FF2B5EF4-FFF2-40B4-BE49-F238E27FC236}">
              <a16:creationId xmlns:a16="http://schemas.microsoft.com/office/drawing/2014/main" id="{673C87DD-B877-40E6-B87B-40A4B6C2825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57" name="Text Box 1">
          <a:extLst>
            <a:ext uri="{FF2B5EF4-FFF2-40B4-BE49-F238E27FC236}">
              <a16:creationId xmlns:a16="http://schemas.microsoft.com/office/drawing/2014/main" id="{ECDC0B7C-F621-44D8-8694-8CECDB8235F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58" name="Text Box 1">
          <a:extLst>
            <a:ext uri="{FF2B5EF4-FFF2-40B4-BE49-F238E27FC236}">
              <a16:creationId xmlns:a16="http://schemas.microsoft.com/office/drawing/2014/main" id="{B6B06360-A670-4173-B864-33B2160E5EF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59" name="Text Box 1">
          <a:extLst>
            <a:ext uri="{FF2B5EF4-FFF2-40B4-BE49-F238E27FC236}">
              <a16:creationId xmlns:a16="http://schemas.microsoft.com/office/drawing/2014/main" id="{F85085DF-402D-463E-9AAE-F7CD032E310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60" name="Text Box 1">
          <a:extLst>
            <a:ext uri="{FF2B5EF4-FFF2-40B4-BE49-F238E27FC236}">
              <a16:creationId xmlns:a16="http://schemas.microsoft.com/office/drawing/2014/main" id="{AEA4244C-84B5-45B8-9DFB-5686DD092EA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61" name="Text Box 1">
          <a:extLst>
            <a:ext uri="{FF2B5EF4-FFF2-40B4-BE49-F238E27FC236}">
              <a16:creationId xmlns:a16="http://schemas.microsoft.com/office/drawing/2014/main" id="{98921BEB-8729-49A8-9188-8CB52E2C7F4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62" name="Text Box 1">
          <a:extLst>
            <a:ext uri="{FF2B5EF4-FFF2-40B4-BE49-F238E27FC236}">
              <a16:creationId xmlns:a16="http://schemas.microsoft.com/office/drawing/2014/main" id="{42DA2617-679D-41C5-8FAA-62B914A28E9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63" name="Text Box 1">
          <a:extLst>
            <a:ext uri="{FF2B5EF4-FFF2-40B4-BE49-F238E27FC236}">
              <a16:creationId xmlns:a16="http://schemas.microsoft.com/office/drawing/2014/main" id="{103D5204-90BC-40C1-B076-E55AF7BE4D0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64" name="Text Box 1">
          <a:extLst>
            <a:ext uri="{FF2B5EF4-FFF2-40B4-BE49-F238E27FC236}">
              <a16:creationId xmlns:a16="http://schemas.microsoft.com/office/drawing/2014/main" id="{CAD3AFE7-9C3B-4A04-B2AC-57050DE0360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65" name="Text Box 1">
          <a:extLst>
            <a:ext uri="{FF2B5EF4-FFF2-40B4-BE49-F238E27FC236}">
              <a16:creationId xmlns:a16="http://schemas.microsoft.com/office/drawing/2014/main" id="{818F5E4A-2E52-42B0-BBD0-C29805B17D5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66" name="Text Box 1">
          <a:extLst>
            <a:ext uri="{FF2B5EF4-FFF2-40B4-BE49-F238E27FC236}">
              <a16:creationId xmlns:a16="http://schemas.microsoft.com/office/drawing/2014/main" id="{BEDC4E3E-3D20-45D0-8B40-EAE1ECD917F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67" name="Text Box 1">
          <a:extLst>
            <a:ext uri="{FF2B5EF4-FFF2-40B4-BE49-F238E27FC236}">
              <a16:creationId xmlns:a16="http://schemas.microsoft.com/office/drawing/2014/main" id="{A7D9F927-8DB2-4A39-8288-13E824C3712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68" name="Text Box 1">
          <a:extLst>
            <a:ext uri="{FF2B5EF4-FFF2-40B4-BE49-F238E27FC236}">
              <a16:creationId xmlns:a16="http://schemas.microsoft.com/office/drawing/2014/main" id="{1DBE3926-AB13-42D0-ADB5-9FAA5CADC68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69" name="Text Box 1">
          <a:extLst>
            <a:ext uri="{FF2B5EF4-FFF2-40B4-BE49-F238E27FC236}">
              <a16:creationId xmlns:a16="http://schemas.microsoft.com/office/drawing/2014/main" id="{5822CB6D-D3FA-4754-BC08-38FCC019734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70" name="Text Box 1">
          <a:extLst>
            <a:ext uri="{FF2B5EF4-FFF2-40B4-BE49-F238E27FC236}">
              <a16:creationId xmlns:a16="http://schemas.microsoft.com/office/drawing/2014/main" id="{76606F8D-A56E-46B6-AAA4-86AA66B0CA7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71" name="Text Box 1">
          <a:extLst>
            <a:ext uri="{FF2B5EF4-FFF2-40B4-BE49-F238E27FC236}">
              <a16:creationId xmlns:a16="http://schemas.microsoft.com/office/drawing/2014/main" id="{FEC7A2CE-3EAE-4EDD-AE0D-354B818941B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72" name="Text Box 1">
          <a:extLst>
            <a:ext uri="{FF2B5EF4-FFF2-40B4-BE49-F238E27FC236}">
              <a16:creationId xmlns:a16="http://schemas.microsoft.com/office/drawing/2014/main" id="{7C0C9CA1-3639-4EB2-95FC-5F27B7B0627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73" name="Text Box 1">
          <a:extLst>
            <a:ext uri="{FF2B5EF4-FFF2-40B4-BE49-F238E27FC236}">
              <a16:creationId xmlns:a16="http://schemas.microsoft.com/office/drawing/2014/main" id="{4BECF329-43C4-4FDB-929A-BB93D122969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74" name="Text Box 1">
          <a:extLst>
            <a:ext uri="{FF2B5EF4-FFF2-40B4-BE49-F238E27FC236}">
              <a16:creationId xmlns:a16="http://schemas.microsoft.com/office/drawing/2014/main" id="{1AE28050-7ED6-44C7-BEE4-7EE31BCD4C3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75" name="Text Box 1">
          <a:extLst>
            <a:ext uri="{FF2B5EF4-FFF2-40B4-BE49-F238E27FC236}">
              <a16:creationId xmlns:a16="http://schemas.microsoft.com/office/drawing/2014/main" id="{49E6E58D-788D-4209-8D41-1CC4B2C652E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76" name="Text Box 1">
          <a:extLst>
            <a:ext uri="{FF2B5EF4-FFF2-40B4-BE49-F238E27FC236}">
              <a16:creationId xmlns:a16="http://schemas.microsoft.com/office/drawing/2014/main" id="{4322729C-B678-4E77-BCDD-183CCD7F14F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77" name="Text Box 1">
          <a:extLst>
            <a:ext uri="{FF2B5EF4-FFF2-40B4-BE49-F238E27FC236}">
              <a16:creationId xmlns:a16="http://schemas.microsoft.com/office/drawing/2014/main" id="{7F629891-5320-4C8F-B05C-23CBD5BF2BD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78" name="Text Box 1">
          <a:extLst>
            <a:ext uri="{FF2B5EF4-FFF2-40B4-BE49-F238E27FC236}">
              <a16:creationId xmlns:a16="http://schemas.microsoft.com/office/drawing/2014/main" id="{DE86700E-BBAA-46D6-9E04-D34AEBF7EE3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79" name="Text Box 1">
          <a:extLst>
            <a:ext uri="{FF2B5EF4-FFF2-40B4-BE49-F238E27FC236}">
              <a16:creationId xmlns:a16="http://schemas.microsoft.com/office/drawing/2014/main" id="{0D0A6833-8887-41C6-8877-4BE4FF47C12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80" name="Text Box 1">
          <a:extLst>
            <a:ext uri="{FF2B5EF4-FFF2-40B4-BE49-F238E27FC236}">
              <a16:creationId xmlns:a16="http://schemas.microsoft.com/office/drawing/2014/main" id="{2C92B701-FEF2-4F59-946B-F372ED19753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81" name="Text Box 1">
          <a:extLst>
            <a:ext uri="{FF2B5EF4-FFF2-40B4-BE49-F238E27FC236}">
              <a16:creationId xmlns:a16="http://schemas.microsoft.com/office/drawing/2014/main" id="{D21813E8-89BE-4106-BE57-5570B4C16A2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82" name="Text Box 1">
          <a:extLst>
            <a:ext uri="{FF2B5EF4-FFF2-40B4-BE49-F238E27FC236}">
              <a16:creationId xmlns:a16="http://schemas.microsoft.com/office/drawing/2014/main" id="{DCD28191-6B02-413E-A333-B4D535383D8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83" name="Text Box 1">
          <a:extLst>
            <a:ext uri="{FF2B5EF4-FFF2-40B4-BE49-F238E27FC236}">
              <a16:creationId xmlns:a16="http://schemas.microsoft.com/office/drawing/2014/main" id="{8F323817-FD36-4E93-BA82-9B1FA262F8D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84" name="Text Box 1">
          <a:extLst>
            <a:ext uri="{FF2B5EF4-FFF2-40B4-BE49-F238E27FC236}">
              <a16:creationId xmlns:a16="http://schemas.microsoft.com/office/drawing/2014/main" id="{4F0A41A8-77A8-457A-9205-946EA147A44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85" name="Text Box 1">
          <a:extLst>
            <a:ext uri="{FF2B5EF4-FFF2-40B4-BE49-F238E27FC236}">
              <a16:creationId xmlns:a16="http://schemas.microsoft.com/office/drawing/2014/main" id="{517D67C2-F281-4C17-BE49-CF9042609C2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86" name="Text Box 1">
          <a:extLst>
            <a:ext uri="{FF2B5EF4-FFF2-40B4-BE49-F238E27FC236}">
              <a16:creationId xmlns:a16="http://schemas.microsoft.com/office/drawing/2014/main" id="{34E46067-EA49-46F0-9136-4356E40A83C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87" name="Text Box 1">
          <a:extLst>
            <a:ext uri="{FF2B5EF4-FFF2-40B4-BE49-F238E27FC236}">
              <a16:creationId xmlns:a16="http://schemas.microsoft.com/office/drawing/2014/main" id="{A661671E-E1F7-4312-A89D-F36155DB97D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88" name="Text Box 1">
          <a:extLst>
            <a:ext uri="{FF2B5EF4-FFF2-40B4-BE49-F238E27FC236}">
              <a16:creationId xmlns:a16="http://schemas.microsoft.com/office/drawing/2014/main" id="{3D729AB9-6E21-4418-8854-3CCB1F619CD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89" name="Text Box 1">
          <a:extLst>
            <a:ext uri="{FF2B5EF4-FFF2-40B4-BE49-F238E27FC236}">
              <a16:creationId xmlns:a16="http://schemas.microsoft.com/office/drawing/2014/main" id="{99425F18-1E21-49D3-8A6C-E4B93587B02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90" name="Text Box 1">
          <a:extLst>
            <a:ext uri="{FF2B5EF4-FFF2-40B4-BE49-F238E27FC236}">
              <a16:creationId xmlns:a16="http://schemas.microsoft.com/office/drawing/2014/main" id="{68BF79E3-C664-49CB-BC80-27A8B23988C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91" name="Text Box 1">
          <a:extLst>
            <a:ext uri="{FF2B5EF4-FFF2-40B4-BE49-F238E27FC236}">
              <a16:creationId xmlns:a16="http://schemas.microsoft.com/office/drawing/2014/main" id="{9D321203-7D32-4221-BFA1-0E49F5E3627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92" name="Text Box 1">
          <a:extLst>
            <a:ext uri="{FF2B5EF4-FFF2-40B4-BE49-F238E27FC236}">
              <a16:creationId xmlns:a16="http://schemas.microsoft.com/office/drawing/2014/main" id="{297DADAF-F570-4D50-B3A6-44AFDD699EC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93" name="Text Box 1">
          <a:extLst>
            <a:ext uri="{FF2B5EF4-FFF2-40B4-BE49-F238E27FC236}">
              <a16:creationId xmlns:a16="http://schemas.microsoft.com/office/drawing/2014/main" id="{3D120F2C-2148-4A13-94E4-51C1EDB8888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94" name="Text Box 1">
          <a:extLst>
            <a:ext uri="{FF2B5EF4-FFF2-40B4-BE49-F238E27FC236}">
              <a16:creationId xmlns:a16="http://schemas.microsoft.com/office/drawing/2014/main" id="{2796BCB0-8394-49A3-A181-5E5E73489FF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95" name="Text Box 1">
          <a:extLst>
            <a:ext uri="{FF2B5EF4-FFF2-40B4-BE49-F238E27FC236}">
              <a16:creationId xmlns:a16="http://schemas.microsoft.com/office/drawing/2014/main" id="{B7BE1C77-37D7-4DBC-9CCD-63342D88B3A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96" name="Text Box 1">
          <a:extLst>
            <a:ext uri="{FF2B5EF4-FFF2-40B4-BE49-F238E27FC236}">
              <a16:creationId xmlns:a16="http://schemas.microsoft.com/office/drawing/2014/main" id="{9F371647-441B-41E1-BFDD-9E3F3C13E26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97" name="Text Box 1">
          <a:extLst>
            <a:ext uri="{FF2B5EF4-FFF2-40B4-BE49-F238E27FC236}">
              <a16:creationId xmlns:a16="http://schemas.microsoft.com/office/drawing/2014/main" id="{63F9896E-1776-4813-B7CB-D96C5F3B734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98" name="Text Box 1">
          <a:extLst>
            <a:ext uri="{FF2B5EF4-FFF2-40B4-BE49-F238E27FC236}">
              <a16:creationId xmlns:a16="http://schemas.microsoft.com/office/drawing/2014/main" id="{6D2315DE-81A8-436C-A23A-B1DAF45CF58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899" name="Text Box 1">
          <a:extLst>
            <a:ext uri="{FF2B5EF4-FFF2-40B4-BE49-F238E27FC236}">
              <a16:creationId xmlns:a16="http://schemas.microsoft.com/office/drawing/2014/main" id="{A1596D80-B4F7-44C3-8BB9-9C04C385F20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00" name="Text Box 1">
          <a:extLst>
            <a:ext uri="{FF2B5EF4-FFF2-40B4-BE49-F238E27FC236}">
              <a16:creationId xmlns:a16="http://schemas.microsoft.com/office/drawing/2014/main" id="{10A392C8-A4B0-47EF-8221-570A66F3B94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01" name="Text Box 1">
          <a:extLst>
            <a:ext uri="{FF2B5EF4-FFF2-40B4-BE49-F238E27FC236}">
              <a16:creationId xmlns:a16="http://schemas.microsoft.com/office/drawing/2014/main" id="{131DABA4-AF8D-4496-91E5-D97EC948933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02" name="Text Box 1">
          <a:extLst>
            <a:ext uri="{FF2B5EF4-FFF2-40B4-BE49-F238E27FC236}">
              <a16:creationId xmlns:a16="http://schemas.microsoft.com/office/drawing/2014/main" id="{C3D8431B-BFDC-4A16-9562-67C7DB6A36B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03" name="Text Box 1">
          <a:extLst>
            <a:ext uri="{FF2B5EF4-FFF2-40B4-BE49-F238E27FC236}">
              <a16:creationId xmlns:a16="http://schemas.microsoft.com/office/drawing/2014/main" id="{1A667A22-F679-4AC1-9AC3-9CA86387A6A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04" name="Text Box 1">
          <a:extLst>
            <a:ext uri="{FF2B5EF4-FFF2-40B4-BE49-F238E27FC236}">
              <a16:creationId xmlns:a16="http://schemas.microsoft.com/office/drawing/2014/main" id="{31B9B93E-1EE1-49B3-B63B-F7A2C5FC870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05" name="Text Box 1">
          <a:extLst>
            <a:ext uri="{FF2B5EF4-FFF2-40B4-BE49-F238E27FC236}">
              <a16:creationId xmlns:a16="http://schemas.microsoft.com/office/drawing/2014/main" id="{5149C11F-BB5A-4D83-B79E-2AEE38BFA89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06" name="Text Box 1">
          <a:extLst>
            <a:ext uri="{FF2B5EF4-FFF2-40B4-BE49-F238E27FC236}">
              <a16:creationId xmlns:a16="http://schemas.microsoft.com/office/drawing/2014/main" id="{D4531EEB-D1D9-4AED-A6B5-1935434A323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07" name="Text Box 1">
          <a:extLst>
            <a:ext uri="{FF2B5EF4-FFF2-40B4-BE49-F238E27FC236}">
              <a16:creationId xmlns:a16="http://schemas.microsoft.com/office/drawing/2014/main" id="{4093F5AF-C7B4-436D-8928-1DEE5B42115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08" name="Text Box 1">
          <a:extLst>
            <a:ext uri="{FF2B5EF4-FFF2-40B4-BE49-F238E27FC236}">
              <a16:creationId xmlns:a16="http://schemas.microsoft.com/office/drawing/2014/main" id="{3273A378-7BDA-45F8-8CBD-E6A5E688634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09" name="Text Box 1">
          <a:extLst>
            <a:ext uri="{FF2B5EF4-FFF2-40B4-BE49-F238E27FC236}">
              <a16:creationId xmlns:a16="http://schemas.microsoft.com/office/drawing/2014/main" id="{3C0E8E6D-236D-41D5-8701-1792DFCEE17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10" name="Text Box 1">
          <a:extLst>
            <a:ext uri="{FF2B5EF4-FFF2-40B4-BE49-F238E27FC236}">
              <a16:creationId xmlns:a16="http://schemas.microsoft.com/office/drawing/2014/main" id="{956D3794-2C38-4B4D-9C74-71D39D626AA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11" name="Text Box 1">
          <a:extLst>
            <a:ext uri="{FF2B5EF4-FFF2-40B4-BE49-F238E27FC236}">
              <a16:creationId xmlns:a16="http://schemas.microsoft.com/office/drawing/2014/main" id="{22654DB2-E684-4DD9-99BE-4BA4B69E88D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12" name="Text Box 1">
          <a:extLst>
            <a:ext uri="{FF2B5EF4-FFF2-40B4-BE49-F238E27FC236}">
              <a16:creationId xmlns:a16="http://schemas.microsoft.com/office/drawing/2014/main" id="{2BCA6494-48DF-46DB-A57E-29196292DC4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13" name="Text Box 1">
          <a:extLst>
            <a:ext uri="{FF2B5EF4-FFF2-40B4-BE49-F238E27FC236}">
              <a16:creationId xmlns:a16="http://schemas.microsoft.com/office/drawing/2014/main" id="{C7506017-2430-4E67-AF79-6935926F9AB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14" name="Text Box 1">
          <a:extLst>
            <a:ext uri="{FF2B5EF4-FFF2-40B4-BE49-F238E27FC236}">
              <a16:creationId xmlns:a16="http://schemas.microsoft.com/office/drawing/2014/main" id="{9F65BEAC-2554-40ED-A1F0-CFCB4EDA9A9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15" name="Text Box 1">
          <a:extLst>
            <a:ext uri="{FF2B5EF4-FFF2-40B4-BE49-F238E27FC236}">
              <a16:creationId xmlns:a16="http://schemas.microsoft.com/office/drawing/2014/main" id="{A348C0CE-2A03-4D96-A2DD-18F25E04E26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16" name="Text Box 1">
          <a:extLst>
            <a:ext uri="{FF2B5EF4-FFF2-40B4-BE49-F238E27FC236}">
              <a16:creationId xmlns:a16="http://schemas.microsoft.com/office/drawing/2014/main" id="{8D6586AA-E821-44B1-B3DB-267B7EB4105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17" name="Text Box 1">
          <a:extLst>
            <a:ext uri="{FF2B5EF4-FFF2-40B4-BE49-F238E27FC236}">
              <a16:creationId xmlns:a16="http://schemas.microsoft.com/office/drawing/2014/main" id="{15A5D0CE-C256-422D-8224-F7BDEA01E22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18" name="Text Box 1">
          <a:extLst>
            <a:ext uri="{FF2B5EF4-FFF2-40B4-BE49-F238E27FC236}">
              <a16:creationId xmlns:a16="http://schemas.microsoft.com/office/drawing/2014/main" id="{E7FE062B-AC95-4448-98E4-5EE17CABBFC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19" name="Text Box 1">
          <a:extLst>
            <a:ext uri="{FF2B5EF4-FFF2-40B4-BE49-F238E27FC236}">
              <a16:creationId xmlns:a16="http://schemas.microsoft.com/office/drawing/2014/main" id="{FBE2C074-0F05-45DC-9BB2-45A0D3EF45B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20" name="Text Box 1">
          <a:extLst>
            <a:ext uri="{FF2B5EF4-FFF2-40B4-BE49-F238E27FC236}">
              <a16:creationId xmlns:a16="http://schemas.microsoft.com/office/drawing/2014/main" id="{47DCF8DB-389E-48D0-B98E-49A8D1C0EDA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21" name="Text Box 1">
          <a:extLst>
            <a:ext uri="{FF2B5EF4-FFF2-40B4-BE49-F238E27FC236}">
              <a16:creationId xmlns:a16="http://schemas.microsoft.com/office/drawing/2014/main" id="{23FA1368-5109-4C85-A7CD-2D00B639820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22" name="Text Box 1">
          <a:extLst>
            <a:ext uri="{FF2B5EF4-FFF2-40B4-BE49-F238E27FC236}">
              <a16:creationId xmlns:a16="http://schemas.microsoft.com/office/drawing/2014/main" id="{CEB3F135-ACFF-459F-9C1E-4C3D2AFC8D6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23" name="Text Box 1">
          <a:extLst>
            <a:ext uri="{FF2B5EF4-FFF2-40B4-BE49-F238E27FC236}">
              <a16:creationId xmlns:a16="http://schemas.microsoft.com/office/drawing/2014/main" id="{A484F314-7050-45CE-8DC1-CAE62212C1E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24" name="Text Box 1">
          <a:extLst>
            <a:ext uri="{FF2B5EF4-FFF2-40B4-BE49-F238E27FC236}">
              <a16:creationId xmlns:a16="http://schemas.microsoft.com/office/drawing/2014/main" id="{7A04BFA6-0FC0-4A66-ACB2-AE6FC4EA351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25" name="Text Box 1">
          <a:extLst>
            <a:ext uri="{FF2B5EF4-FFF2-40B4-BE49-F238E27FC236}">
              <a16:creationId xmlns:a16="http://schemas.microsoft.com/office/drawing/2014/main" id="{02783F99-6EC1-4688-86D0-61CB8436015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26" name="Text Box 1">
          <a:extLst>
            <a:ext uri="{FF2B5EF4-FFF2-40B4-BE49-F238E27FC236}">
              <a16:creationId xmlns:a16="http://schemas.microsoft.com/office/drawing/2014/main" id="{731FC274-2ADA-4BFA-965D-9A35BCCB8C5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27" name="Text Box 1">
          <a:extLst>
            <a:ext uri="{FF2B5EF4-FFF2-40B4-BE49-F238E27FC236}">
              <a16:creationId xmlns:a16="http://schemas.microsoft.com/office/drawing/2014/main" id="{FFED687C-0073-4C56-A1E1-126BAA515E9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28" name="Text Box 1">
          <a:extLst>
            <a:ext uri="{FF2B5EF4-FFF2-40B4-BE49-F238E27FC236}">
              <a16:creationId xmlns:a16="http://schemas.microsoft.com/office/drawing/2014/main" id="{19796A74-1AE8-4609-B761-82E58AB4236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29" name="Text Box 1">
          <a:extLst>
            <a:ext uri="{FF2B5EF4-FFF2-40B4-BE49-F238E27FC236}">
              <a16:creationId xmlns:a16="http://schemas.microsoft.com/office/drawing/2014/main" id="{CE677071-3601-4DCD-9B83-5456DDF1C4C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30" name="Text Box 1">
          <a:extLst>
            <a:ext uri="{FF2B5EF4-FFF2-40B4-BE49-F238E27FC236}">
              <a16:creationId xmlns:a16="http://schemas.microsoft.com/office/drawing/2014/main" id="{E128AF00-1253-42BA-9D1C-2A10472C3DE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31" name="Text Box 1">
          <a:extLst>
            <a:ext uri="{FF2B5EF4-FFF2-40B4-BE49-F238E27FC236}">
              <a16:creationId xmlns:a16="http://schemas.microsoft.com/office/drawing/2014/main" id="{B8CFA6F1-72D2-4AA7-83B1-41A36B1DA73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32" name="Text Box 1">
          <a:extLst>
            <a:ext uri="{FF2B5EF4-FFF2-40B4-BE49-F238E27FC236}">
              <a16:creationId xmlns:a16="http://schemas.microsoft.com/office/drawing/2014/main" id="{1D7B22B2-1711-4ACE-80E9-97A98218F67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33" name="Text Box 1">
          <a:extLst>
            <a:ext uri="{FF2B5EF4-FFF2-40B4-BE49-F238E27FC236}">
              <a16:creationId xmlns:a16="http://schemas.microsoft.com/office/drawing/2014/main" id="{4FBE5494-3CA3-40E9-8E1D-C459450671B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34" name="Text Box 1">
          <a:extLst>
            <a:ext uri="{FF2B5EF4-FFF2-40B4-BE49-F238E27FC236}">
              <a16:creationId xmlns:a16="http://schemas.microsoft.com/office/drawing/2014/main" id="{A948717D-1C32-43A6-9F55-09A91C17D4B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35" name="Text Box 1">
          <a:extLst>
            <a:ext uri="{FF2B5EF4-FFF2-40B4-BE49-F238E27FC236}">
              <a16:creationId xmlns:a16="http://schemas.microsoft.com/office/drawing/2014/main" id="{F62C22BE-916D-4BDF-9874-761B92946D9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36" name="Text Box 1">
          <a:extLst>
            <a:ext uri="{FF2B5EF4-FFF2-40B4-BE49-F238E27FC236}">
              <a16:creationId xmlns:a16="http://schemas.microsoft.com/office/drawing/2014/main" id="{84BCE67A-4F16-4802-AEC8-DD153B5D86E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37" name="Text Box 1">
          <a:extLst>
            <a:ext uri="{FF2B5EF4-FFF2-40B4-BE49-F238E27FC236}">
              <a16:creationId xmlns:a16="http://schemas.microsoft.com/office/drawing/2014/main" id="{A3797C2D-58F1-47E0-8550-285B977A40C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38" name="Text Box 1">
          <a:extLst>
            <a:ext uri="{FF2B5EF4-FFF2-40B4-BE49-F238E27FC236}">
              <a16:creationId xmlns:a16="http://schemas.microsoft.com/office/drawing/2014/main" id="{40EA9ACC-0BA5-4CFC-820F-7D110CC4B40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39" name="Text Box 1">
          <a:extLst>
            <a:ext uri="{FF2B5EF4-FFF2-40B4-BE49-F238E27FC236}">
              <a16:creationId xmlns:a16="http://schemas.microsoft.com/office/drawing/2014/main" id="{11298181-1B62-4833-B784-AA50273616D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40" name="Text Box 1">
          <a:extLst>
            <a:ext uri="{FF2B5EF4-FFF2-40B4-BE49-F238E27FC236}">
              <a16:creationId xmlns:a16="http://schemas.microsoft.com/office/drawing/2014/main" id="{94A5AB5D-AC47-4E52-907E-CB8863BF860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41" name="Text Box 1">
          <a:extLst>
            <a:ext uri="{FF2B5EF4-FFF2-40B4-BE49-F238E27FC236}">
              <a16:creationId xmlns:a16="http://schemas.microsoft.com/office/drawing/2014/main" id="{DF8BE7DA-F58B-4A81-B62D-D5BC8EF4957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42" name="Text Box 1">
          <a:extLst>
            <a:ext uri="{FF2B5EF4-FFF2-40B4-BE49-F238E27FC236}">
              <a16:creationId xmlns:a16="http://schemas.microsoft.com/office/drawing/2014/main" id="{90EC11FA-3868-44E5-8A65-071D4657097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43" name="Text Box 1">
          <a:extLst>
            <a:ext uri="{FF2B5EF4-FFF2-40B4-BE49-F238E27FC236}">
              <a16:creationId xmlns:a16="http://schemas.microsoft.com/office/drawing/2014/main" id="{65530A2E-0F23-4BEB-821B-384431B0CDE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44" name="Text Box 1">
          <a:extLst>
            <a:ext uri="{FF2B5EF4-FFF2-40B4-BE49-F238E27FC236}">
              <a16:creationId xmlns:a16="http://schemas.microsoft.com/office/drawing/2014/main" id="{7537DC88-DA14-4AF5-9ABF-44751243763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45" name="Text Box 1">
          <a:extLst>
            <a:ext uri="{FF2B5EF4-FFF2-40B4-BE49-F238E27FC236}">
              <a16:creationId xmlns:a16="http://schemas.microsoft.com/office/drawing/2014/main" id="{F5751405-49DB-4F2D-838F-0873DEAB2B5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46" name="Text Box 1">
          <a:extLst>
            <a:ext uri="{FF2B5EF4-FFF2-40B4-BE49-F238E27FC236}">
              <a16:creationId xmlns:a16="http://schemas.microsoft.com/office/drawing/2014/main" id="{F16F0B41-2B9A-4EFF-9491-B77684AF156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47" name="Text Box 1">
          <a:extLst>
            <a:ext uri="{FF2B5EF4-FFF2-40B4-BE49-F238E27FC236}">
              <a16:creationId xmlns:a16="http://schemas.microsoft.com/office/drawing/2014/main" id="{18B9A90E-997B-444D-94B3-16915C3BC89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48" name="Text Box 1">
          <a:extLst>
            <a:ext uri="{FF2B5EF4-FFF2-40B4-BE49-F238E27FC236}">
              <a16:creationId xmlns:a16="http://schemas.microsoft.com/office/drawing/2014/main" id="{6450D44E-3693-4A4E-A53B-3BF4AEE8E31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49" name="Text Box 1">
          <a:extLst>
            <a:ext uri="{FF2B5EF4-FFF2-40B4-BE49-F238E27FC236}">
              <a16:creationId xmlns:a16="http://schemas.microsoft.com/office/drawing/2014/main" id="{FA671DB8-4333-4582-B69F-3397FC7ED5A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50" name="Text Box 1">
          <a:extLst>
            <a:ext uri="{FF2B5EF4-FFF2-40B4-BE49-F238E27FC236}">
              <a16:creationId xmlns:a16="http://schemas.microsoft.com/office/drawing/2014/main" id="{FDC91663-F280-4374-A87E-F66E5AE7D91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51" name="Text Box 1">
          <a:extLst>
            <a:ext uri="{FF2B5EF4-FFF2-40B4-BE49-F238E27FC236}">
              <a16:creationId xmlns:a16="http://schemas.microsoft.com/office/drawing/2014/main" id="{BF3266C8-BCE3-46D4-A3A6-7FA50F521BA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52" name="Text Box 1">
          <a:extLst>
            <a:ext uri="{FF2B5EF4-FFF2-40B4-BE49-F238E27FC236}">
              <a16:creationId xmlns:a16="http://schemas.microsoft.com/office/drawing/2014/main" id="{5464280C-1897-4923-A844-78038BBE2AF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53" name="Text Box 1">
          <a:extLst>
            <a:ext uri="{FF2B5EF4-FFF2-40B4-BE49-F238E27FC236}">
              <a16:creationId xmlns:a16="http://schemas.microsoft.com/office/drawing/2014/main" id="{84EE8B70-FE6A-4425-BEAF-BED07FBCD79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54" name="Text Box 1">
          <a:extLst>
            <a:ext uri="{FF2B5EF4-FFF2-40B4-BE49-F238E27FC236}">
              <a16:creationId xmlns:a16="http://schemas.microsoft.com/office/drawing/2014/main" id="{467813A4-B020-435D-92BA-836CD214FD9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55" name="Text Box 1">
          <a:extLst>
            <a:ext uri="{FF2B5EF4-FFF2-40B4-BE49-F238E27FC236}">
              <a16:creationId xmlns:a16="http://schemas.microsoft.com/office/drawing/2014/main" id="{3696D040-F595-4EF7-B56C-175C3C07C16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56" name="Text Box 1">
          <a:extLst>
            <a:ext uri="{FF2B5EF4-FFF2-40B4-BE49-F238E27FC236}">
              <a16:creationId xmlns:a16="http://schemas.microsoft.com/office/drawing/2014/main" id="{653ABBFC-22C5-4390-A040-57E5622C367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57" name="Text Box 1">
          <a:extLst>
            <a:ext uri="{FF2B5EF4-FFF2-40B4-BE49-F238E27FC236}">
              <a16:creationId xmlns:a16="http://schemas.microsoft.com/office/drawing/2014/main" id="{3BD4F3F2-73AA-4F35-8345-E00907E8EE2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58" name="Text Box 1">
          <a:extLst>
            <a:ext uri="{FF2B5EF4-FFF2-40B4-BE49-F238E27FC236}">
              <a16:creationId xmlns:a16="http://schemas.microsoft.com/office/drawing/2014/main" id="{7F365269-6876-495A-8C19-2B6A227D210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59" name="Text Box 1">
          <a:extLst>
            <a:ext uri="{FF2B5EF4-FFF2-40B4-BE49-F238E27FC236}">
              <a16:creationId xmlns:a16="http://schemas.microsoft.com/office/drawing/2014/main" id="{F96A2DAD-1388-4222-B6F8-77521DE8788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60" name="Text Box 1">
          <a:extLst>
            <a:ext uri="{FF2B5EF4-FFF2-40B4-BE49-F238E27FC236}">
              <a16:creationId xmlns:a16="http://schemas.microsoft.com/office/drawing/2014/main" id="{19E4654D-7DDE-4F1D-B55E-9554DBEC104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61" name="Text Box 1">
          <a:extLst>
            <a:ext uri="{FF2B5EF4-FFF2-40B4-BE49-F238E27FC236}">
              <a16:creationId xmlns:a16="http://schemas.microsoft.com/office/drawing/2014/main" id="{E7F504EF-A8C1-4CF7-BEB6-1C88A249B47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62" name="Text Box 1">
          <a:extLst>
            <a:ext uri="{FF2B5EF4-FFF2-40B4-BE49-F238E27FC236}">
              <a16:creationId xmlns:a16="http://schemas.microsoft.com/office/drawing/2014/main" id="{58948C81-BD83-46FD-93BC-A4D722A072C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63" name="Text Box 1">
          <a:extLst>
            <a:ext uri="{FF2B5EF4-FFF2-40B4-BE49-F238E27FC236}">
              <a16:creationId xmlns:a16="http://schemas.microsoft.com/office/drawing/2014/main" id="{68448683-9AEE-4C3E-B047-0F80A79BFB0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64" name="Text Box 1">
          <a:extLst>
            <a:ext uri="{FF2B5EF4-FFF2-40B4-BE49-F238E27FC236}">
              <a16:creationId xmlns:a16="http://schemas.microsoft.com/office/drawing/2014/main" id="{7E520507-AF6E-452C-A2EC-D70E0B04033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65" name="Text Box 1">
          <a:extLst>
            <a:ext uri="{FF2B5EF4-FFF2-40B4-BE49-F238E27FC236}">
              <a16:creationId xmlns:a16="http://schemas.microsoft.com/office/drawing/2014/main" id="{DAB9BE73-66E3-4D89-8FF6-DE5C00957D4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66" name="Text Box 1">
          <a:extLst>
            <a:ext uri="{FF2B5EF4-FFF2-40B4-BE49-F238E27FC236}">
              <a16:creationId xmlns:a16="http://schemas.microsoft.com/office/drawing/2014/main" id="{672A4259-C28E-4035-BB4D-32720B44CA8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67" name="Text Box 1">
          <a:extLst>
            <a:ext uri="{FF2B5EF4-FFF2-40B4-BE49-F238E27FC236}">
              <a16:creationId xmlns:a16="http://schemas.microsoft.com/office/drawing/2014/main" id="{158139BE-D8D2-49CF-ACCD-E2AB1DDBFD1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68" name="Text Box 1">
          <a:extLst>
            <a:ext uri="{FF2B5EF4-FFF2-40B4-BE49-F238E27FC236}">
              <a16:creationId xmlns:a16="http://schemas.microsoft.com/office/drawing/2014/main" id="{86F86339-5370-40A6-A26E-8A8844A7F04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69" name="Text Box 1">
          <a:extLst>
            <a:ext uri="{FF2B5EF4-FFF2-40B4-BE49-F238E27FC236}">
              <a16:creationId xmlns:a16="http://schemas.microsoft.com/office/drawing/2014/main" id="{054A5E7B-8CF8-45BF-B480-9CB1C89E369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70" name="Text Box 1">
          <a:extLst>
            <a:ext uri="{FF2B5EF4-FFF2-40B4-BE49-F238E27FC236}">
              <a16:creationId xmlns:a16="http://schemas.microsoft.com/office/drawing/2014/main" id="{0E2B05E5-EB7A-4854-A1AA-060C985E4B1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71" name="Text Box 1">
          <a:extLst>
            <a:ext uri="{FF2B5EF4-FFF2-40B4-BE49-F238E27FC236}">
              <a16:creationId xmlns:a16="http://schemas.microsoft.com/office/drawing/2014/main" id="{B6A84F64-AB14-4CDB-8F29-8BC59EC7EA2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72" name="Text Box 1">
          <a:extLst>
            <a:ext uri="{FF2B5EF4-FFF2-40B4-BE49-F238E27FC236}">
              <a16:creationId xmlns:a16="http://schemas.microsoft.com/office/drawing/2014/main" id="{77A74131-B030-41EA-8C90-8F454D7418D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73" name="Text Box 1">
          <a:extLst>
            <a:ext uri="{FF2B5EF4-FFF2-40B4-BE49-F238E27FC236}">
              <a16:creationId xmlns:a16="http://schemas.microsoft.com/office/drawing/2014/main" id="{39ED9C28-5642-4E0D-875B-433320CD76D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74" name="Text Box 1">
          <a:extLst>
            <a:ext uri="{FF2B5EF4-FFF2-40B4-BE49-F238E27FC236}">
              <a16:creationId xmlns:a16="http://schemas.microsoft.com/office/drawing/2014/main" id="{59EC76AA-ED22-4FC6-A584-4692C0803B2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75" name="Text Box 1">
          <a:extLst>
            <a:ext uri="{FF2B5EF4-FFF2-40B4-BE49-F238E27FC236}">
              <a16:creationId xmlns:a16="http://schemas.microsoft.com/office/drawing/2014/main" id="{D53B1593-EF94-4283-A76C-593F04C3F59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76" name="Text Box 1">
          <a:extLst>
            <a:ext uri="{FF2B5EF4-FFF2-40B4-BE49-F238E27FC236}">
              <a16:creationId xmlns:a16="http://schemas.microsoft.com/office/drawing/2014/main" id="{FB230100-08EE-4586-BF1E-EC2D6523E25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77" name="Text Box 1">
          <a:extLst>
            <a:ext uri="{FF2B5EF4-FFF2-40B4-BE49-F238E27FC236}">
              <a16:creationId xmlns:a16="http://schemas.microsoft.com/office/drawing/2014/main" id="{FCC5122D-F75E-4621-9C54-0D9A07699B6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78" name="Text Box 1">
          <a:extLst>
            <a:ext uri="{FF2B5EF4-FFF2-40B4-BE49-F238E27FC236}">
              <a16:creationId xmlns:a16="http://schemas.microsoft.com/office/drawing/2014/main" id="{622A7629-6BCF-4469-B114-B9173D621AA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79" name="Text Box 1">
          <a:extLst>
            <a:ext uri="{FF2B5EF4-FFF2-40B4-BE49-F238E27FC236}">
              <a16:creationId xmlns:a16="http://schemas.microsoft.com/office/drawing/2014/main" id="{0296E72D-52ED-4403-AC93-AC13DAF51A2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80" name="Text Box 1">
          <a:extLst>
            <a:ext uri="{FF2B5EF4-FFF2-40B4-BE49-F238E27FC236}">
              <a16:creationId xmlns:a16="http://schemas.microsoft.com/office/drawing/2014/main" id="{605BC340-95E6-4A53-9898-5CFC6113485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81" name="Text Box 1">
          <a:extLst>
            <a:ext uri="{FF2B5EF4-FFF2-40B4-BE49-F238E27FC236}">
              <a16:creationId xmlns:a16="http://schemas.microsoft.com/office/drawing/2014/main" id="{A1365325-A649-4630-8C4F-B17A22634FC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82" name="Text Box 1">
          <a:extLst>
            <a:ext uri="{FF2B5EF4-FFF2-40B4-BE49-F238E27FC236}">
              <a16:creationId xmlns:a16="http://schemas.microsoft.com/office/drawing/2014/main" id="{1BBE4DD2-1661-4D57-A664-E15AC8992D0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83" name="Text Box 1">
          <a:extLst>
            <a:ext uri="{FF2B5EF4-FFF2-40B4-BE49-F238E27FC236}">
              <a16:creationId xmlns:a16="http://schemas.microsoft.com/office/drawing/2014/main" id="{6C1FA2A1-66A5-490B-AB33-8DF64D2F001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84" name="Text Box 1">
          <a:extLst>
            <a:ext uri="{FF2B5EF4-FFF2-40B4-BE49-F238E27FC236}">
              <a16:creationId xmlns:a16="http://schemas.microsoft.com/office/drawing/2014/main" id="{8367670D-CE79-4DB2-9C3C-F4E3D03A9A8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85" name="Text Box 1">
          <a:extLst>
            <a:ext uri="{FF2B5EF4-FFF2-40B4-BE49-F238E27FC236}">
              <a16:creationId xmlns:a16="http://schemas.microsoft.com/office/drawing/2014/main" id="{883FA8C4-6A7F-407A-BA8C-9C15A2D205F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86" name="Text Box 1">
          <a:extLst>
            <a:ext uri="{FF2B5EF4-FFF2-40B4-BE49-F238E27FC236}">
              <a16:creationId xmlns:a16="http://schemas.microsoft.com/office/drawing/2014/main" id="{4A4A15FD-C34E-43EA-980D-13802A5961F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87" name="Text Box 1">
          <a:extLst>
            <a:ext uri="{FF2B5EF4-FFF2-40B4-BE49-F238E27FC236}">
              <a16:creationId xmlns:a16="http://schemas.microsoft.com/office/drawing/2014/main" id="{9689894F-1C9C-4DC9-8761-B8A7F0B396B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88" name="Text Box 1">
          <a:extLst>
            <a:ext uri="{FF2B5EF4-FFF2-40B4-BE49-F238E27FC236}">
              <a16:creationId xmlns:a16="http://schemas.microsoft.com/office/drawing/2014/main" id="{0DF8DC3A-7939-4E52-9C83-78792E78BD2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89" name="Text Box 1">
          <a:extLst>
            <a:ext uri="{FF2B5EF4-FFF2-40B4-BE49-F238E27FC236}">
              <a16:creationId xmlns:a16="http://schemas.microsoft.com/office/drawing/2014/main" id="{E3BA04F8-86B5-47B1-B2AC-3FC3BFE2907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90" name="Text Box 1">
          <a:extLst>
            <a:ext uri="{FF2B5EF4-FFF2-40B4-BE49-F238E27FC236}">
              <a16:creationId xmlns:a16="http://schemas.microsoft.com/office/drawing/2014/main" id="{4302575B-ABBB-45EC-8283-755320DDA68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91" name="Text Box 1">
          <a:extLst>
            <a:ext uri="{FF2B5EF4-FFF2-40B4-BE49-F238E27FC236}">
              <a16:creationId xmlns:a16="http://schemas.microsoft.com/office/drawing/2014/main" id="{F0CA52FD-C32C-4830-B8DB-33811E69DD0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92" name="Text Box 1">
          <a:extLst>
            <a:ext uri="{FF2B5EF4-FFF2-40B4-BE49-F238E27FC236}">
              <a16:creationId xmlns:a16="http://schemas.microsoft.com/office/drawing/2014/main" id="{379F6BE3-7F1D-44B8-96DB-DA3A0B0DD18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93" name="Text Box 1">
          <a:extLst>
            <a:ext uri="{FF2B5EF4-FFF2-40B4-BE49-F238E27FC236}">
              <a16:creationId xmlns:a16="http://schemas.microsoft.com/office/drawing/2014/main" id="{6845FEA6-FC64-4569-AEDB-DF00657D4DB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94" name="Text Box 1">
          <a:extLst>
            <a:ext uri="{FF2B5EF4-FFF2-40B4-BE49-F238E27FC236}">
              <a16:creationId xmlns:a16="http://schemas.microsoft.com/office/drawing/2014/main" id="{2D904473-35D0-47AD-B49B-E5E24168293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95" name="Text Box 1">
          <a:extLst>
            <a:ext uri="{FF2B5EF4-FFF2-40B4-BE49-F238E27FC236}">
              <a16:creationId xmlns:a16="http://schemas.microsoft.com/office/drawing/2014/main" id="{2E44375F-6399-403C-9E93-1078BF00853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96" name="Text Box 1">
          <a:extLst>
            <a:ext uri="{FF2B5EF4-FFF2-40B4-BE49-F238E27FC236}">
              <a16:creationId xmlns:a16="http://schemas.microsoft.com/office/drawing/2014/main" id="{20ED55FC-37DD-4F85-980B-7F01FA0659F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97" name="Text Box 1">
          <a:extLst>
            <a:ext uri="{FF2B5EF4-FFF2-40B4-BE49-F238E27FC236}">
              <a16:creationId xmlns:a16="http://schemas.microsoft.com/office/drawing/2014/main" id="{6731A3A4-AE68-4F82-BC8E-685343143DC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98" name="Text Box 1">
          <a:extLst>
            <a:ext uri="{FF2B5EF4-FFF2-40B4-BE49-F238E27FC236}">
              <a16:creationId xmlns:a16="http://schemas.microsoft.com/office/drawing/2014/main" id="{35D73154-9DF9-4549-9867-86A4E59277E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4999" name="Text Box 1">
          <a:extLst>
            <a:ext uri="{FF2B5EF4-FFF2-40B4-BE49-F238E27FC236}">
              <a16:creationId xmlns:a16="http://schemas.microsoft.com/office/drawing/2014/main" id="{2D2D357B-D1A6-49AA-8BFD-AEDC71CF6A2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00" name="Text Box 1">
          <a:extLst>
            <a:ext uri="{FF2B5EF4-FFF2-40B4-BE49-F238E27FC236}">
              <a16:creationId xmlns:a16="http://schemas.microsoft.com/office/drawing/2014/main" id="{58DAB602-8C7F-464E-B77C-359EBD89DEC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01" name="Text Box 1">
          <a:extLst>
            <a:ext uri="{FF2B5EF4-FFF2-40B4-BE49-F238E27FC236}">
              <a16:creationId xmlns:a16="http://schemas.microsoft.com/office/drawing/2014/main" id="{2A18E8B3-3F9F-42E0-BC55-AD4A487B31F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02" name="Text Box 1">
          <a:extLst>
            <a:ext uri="{FF2B5EF4-FFF2-40B4-BE49-F238E27FC236}">
              <a16:creationId xmlns:a16="http://schemas.microsoft.com/office/drawing/2014/main" id="{B248129F-FC0A-4A9A-8876-501A7331294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03" name="Text Box 1">
          <a:extLst>
            <a:ext uri="{FF2B5EF4-FFF2-40B4-BE49-F238E27FC236}">
              <a16:creationId xmlns:a16="http://schemas.microsoft.com/office/drawing/2014/main" id="{8B9FB0C4-FE32-4D3D-B7A8-82F91602A10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04" name="Text Box 1">
          <a:extLst>
            <a:ext uri="{FF2B5EF4-FFF2-40B4-BE49-F238E27FC236}">
              <a16:creationId xmlns:a16="http://schemas.microsoft.com/office/drawing/2014/main" id="{C816EBFA-0F53-4C49-AF42-86F778F70B2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05" name="Text Box 1">
          <a:extLst>
            <a:ext uri="{FF2B5EF4-FFF2-40B4-BE49-F238E27FC236}">
              <a16:creationId xmlns:a16="http://schemas.microsoft.com/office/drawing/2014/main" id="{6D23607F-79CE-4A83-9453-53368E42D02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06" name="Text Box 1">
          <a:extLst>
            <a:ext uri="{FF2B5EF4-FFF2-40B4-BE49-F238E27FC236}">
              <a16:creationId xmlns:a16="http://schemas.microsoft.com/office/drawing/2014/main" id="{2DB8298F-00C8-4F3E-A72A-7254541088A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07" name="Text Box 1">
          <a:extLst>
            <a:ext uri="{FF2B5EF4-FFF2-40B4-BE49-F238E27FC236}">
              <a16:creationId xmlns:a16="http://schemas.microsoft.com/office/drawing/2014/main" id="{384C5D9C-3B66-482C-A527-CC4CB2EC8FC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08" name="Text Box 1">
          <a:extLst>
            <a:ext uri="{FF2B5EF4-FFF2-40B4-BE49-F238E27FC236}">
              <a16:creationId xmlns:a16="http://schemas.microsoft.com/office/drawing/2014/main" id="{38A74399-BF9B-462A-8D5A-3CE042CA67D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09" name="Text Box 1">
          <a:extLst>
            <a:ext uri="{FF2B5EF4-FFF2-40B4-BE49-F238E27FC236}">
              <a16:creationId xmlns:a16="http://schemas.microsoft.com/office/drawing/2014/main" id="{8713B84A-8072-4971-A5AB-7EF7737644D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10" name="Text Box 1">
          <a:extLst>
            <a:ext uri="{FF2B5EF4-FFF2-40B4-BE49-F238E27FC236}">
              <a16:creationId xmlns:a16="http://schemas.microsoft.com/office/drawing/2014/main" id="{236A4FE9-CE1A-446E-9C62-AF924171E74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11" name="Text Box 1">
          <a:extLst>
            <a:ext uri="{FF2B5EF4-FFF2-40B4-BE49-F238E27FC236}">
              <a16:creationId xmlns:a16="http://schemas.microsoft.com/office/drawing/2014/main" id="{85C3ACDB-3646-403C-A82D-5E1E9C0E35F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12" name="Text Box 1">
          <a:extLst>
            <a:ext uri="{FF2B5EF4-FFF2-40B4-BE49-F238E27FC236}">
              <a16:creationId xmlns:a16="http://schemas.microsoft.com/office/drawing/2014/main" id="{FF5EE37B-6371-4487-BD33-641BD3EB935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13" name="Text Box 1">
          <a:extLst>
            <a:ext uri="{FF2B5EF4-FFF2-40B4-BE49-F238E27FC236}">
              <a16:creationId xmlns:a16="http://schemas.microsoft.com/office/drawing/2014/main" id="{9BEC000B-DEC5-4D0F-AB80-04D645235E4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14" name="Text Box 1">
          <a:extLst>
            <a:ext uri="{FF2B5EF4-FFF2-40B4-BE49-F238E27FC236}">
              <a16:creationId xmlns:a16="http://schemas.microsoft.com/office/drawing/2014/main" id="{0752642A-92B9-435E-847D-06832183236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15" name="Text Box 1">
          <a:extLst>
            <a:ext uri="{FF2B5EF4-FFF2-40B4-BE49-F238E27FC236}">
              <a16:creationId xmlns:a16="http://schemas.microsoft.com/office/drawing/2014/main" id="{6DC7CEC3-482A-4F11-AD76-EF532123DA1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16" name="Text Box 1">
          <a:extLst>
            <a:ext uri="{FF2B5EF4-FFF2-40B4-BE49-F238E27FC236}">
              <a16:creationId xmlns:a16="http://schemas.microsoft.com/office/drawing/2014/main" id="{9A7C6C74-643B-4B8D-83EE-2B375A86B8C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17" name="Text Box 1">
          <a:extLst>
            <a:ext uri="{FF2B5EF4-FFF2-40B4-BE49-F238E27FC236}">
              <a16:creationId xmlns:a16="http://schemas.microsoft.com/office/drawing/2014/main" id="{5AF8BC3E-6569-4E13-9E15-95CB159DB6A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18" name="Text Box 1">
          <a:extLst>
            <a:ext uri="{FF2B5EF4-FFF2-40B4-BE49-F238E27FC236}">
              <a16:creationId xmlns:a16="http://schemas.microsoft.com/office/drawing/2014/main" id="{90A9A2CB-FD44-44CC-A531-264B3A5245E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19" name="Text Box 1">
          <a:extLst>
            <a:ext uri="{FF2B5EF4-FFF2-40B4-BE49-F238E27FC236}">
              <a16:creationId xmlns:a16="http://schemas.microsoft.com/office/drawing/2014/main" id="{75B3C8E8-5B21-4CE9-A7B3-CF991C902A7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20" name="Text Box 1">
          <a:extLst>
            <a:ext uri="{FF2B5EF4-FFF2-40B4-BE49-F238E27FC236}">
              <a16:creationId xmlns:a16="http://schemas.microsoft.com/office/drawing/2014/main" id="{B217D07B-9932-43DF-9199-AE995C9C8A0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21" name="Text Box 1">
          <a:extLst>
            <a:ext uri="{FF2B5EF4-FFF2-40B4-BE49-F238E27FC236}">
              <a16:creationId xmlns:a16="http://schemas.microsoft.com/office/drawing/2014/main" id="{E3C52CCB-FF6A-4D88-BC1D-8676728077B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22" name="Text Box 1">
          <a:extLst>
            <a:ext uri="{FF2B5EF4-FFF2-40B4-BE49-F238E27FC236}">
              <a16:creationId xmlns:a16="http://schemas.microsoft.com/office/drawing/2014/main" id="{F921A8C9-2486-4BD1-8A66-297B5148586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23" name="Text Box 1">
          <a:extLst>
            <a:ext uri="{FF2B5EF4-FFF2-40B4-BE49-F238E27FC236}">
              <a16:creationId xmlns:a16="http://schemas.microsoft.com/office/drawing/2014/main" id="{F8ABB219-DE15-41FD-BE9A-B370128E877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24" name="Text Box 1">
          <a:extLst>
            <a:ext uri="{FF2B5EF4-FFF2-40B4-BE49-F238E27FC236}">
              <a16:creationId xmlns:a16="http://schemas.microsoft.com/office/drawing/2014/main" id="{C5CB0CC7-5A61-4256-93C7-ED3786E8BBF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25" name="Text Box 1">
          <a:extLst>
            <a:ext uri="{FF2B5EF4-FFF2-40B4-BE49-F238E27FC236}">
              <a16:creationId xmlns:a16="http://schemas.microsoft.com/office/drawing/2014/main" id="{1B8248DD-EBD0-4381-8581-AB16ACDD347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26" name="Text Box 1">
          <a:extLst>
            <a:ext uri="{FF2B5EF4-FFF2-40B4-BE49-F238E27FC236}">
              <a16:creationId xmlns:a16="http://schemas.microsoft.com/office/drawing/2014/main" id="{1A4C88AC-9219-447B-9192-7C0EDC95A74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27" name="Text Box 1">
          <a:extLst>
            <a:ext uri="{FF2B5EF4-FFF2-40B4-BE49-F238E27FC236}">
              <a16:creationId xmlns:a16="http://schemas.microsoft.com/office/drawing/2014/main" id="{6D10BBC4-2895-463E-ACF3-30049849E10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28" name="Text Box 1">
          <a:extLst>
            <a:ext uri="{FF2B5EF4-FFF2-40B4-BE49-F238E27FC236}">
              <a16:creationId xmlns:a16="http://schemas.microsoft.com/office/drawing/2014/main" id="{97082971-101B-4D35-A511-891232E5E02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29" name="Text Box 1">
          <a:extLst>
            <a:ext uri="{FF2B5EF4-FFF2-40B4-BE49-F238E27FC236}">
              <a16:creationId xmlns:a16="http://schemas.microsoft.com/office/drawing/2014/main" id="{85DEBF26-2B35-4941-AD69-4C959EF7D9D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30" name="Text Box 1">
          <a:extLst>
            <a:ext uri="{FF2B5EF4-FFF2-40B4-BE49-F238E27FC236}">
              <a16:creationId xmlns:a16="http://schemas.microsoft.com/office/drawing/2014/main" id="{C7DD744A-8D97-4A59-BB13-7494941AE96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31" name="Text Box 1">
          <a:extLst>
            <a:ext uri="{FF2B5EF4-FFF2-40B4-BE49-F238E27FC236}">
              <a16:creationId xmlns:a16="http://schemas.microsoft.com/office/drawing/2014/main" id="{4DBCC798-F753-4C8A-B279-73F18588F6E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32" name="Text Box 1">
          <a:extLst>
            <a:ext uri="{FF2B5EF4-FFF2-40B4-BE49-F238E27FC236}">
              <a16:creationId xmlns:a16="http://schemas.microsoft.com/office/drawing/2014/main" id="{27756385-298D-4AD1-B3EF-916719EF142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33" name="Text Box 1">
          <a:extLst>
            <a:ext uri="{FF2B5EF4-FFF2-40B4-BE49-F238E27FC236}">
              <a16:creationId xmlns:a16="http://schemas.microsoft.com/office/drawing/2014/main" id="{949028EA-4D55-4306-AB74-642004D81A4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34" name="Text Box 1">
          <a:extLst>
            <a:ext uri="{FF2B5EF4-FFF2-40B4-BE49-F238E27FC236}">
              <a16:creationId xmlns:a16="http://schemas.microsoft.com/office/drawing/2014/main" id="{9DBE4235-B455-43C6-84C7-FBD760DB7E5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35" name="Text Box 1">
          <a:extLst>
            <a:ext uri="{FF2B5EF4-FFF2-40B4-BE49-F238E27FC236}">
              <a16:creationId xmlns:a16="http://schemas.microsoft.com/office/drawing/2014/main" id="{96F1933A-F933-4F32-9C7D-C9BBC0985B9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36" name="Text Box 1">
          <a:extLst>
            <a:ext uri="{FF2B5EF4-FFF2-40B4-BE49-F238E27FC236}">
              <a16:creationId xmlns:a16="http://schemas.microsoft.com/office/drawing/2014/main" id="{D8113C01-AA36-440A-9514-D8225005FD3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37" name="Text Box 1">
          <a:extLst>
            <a:ext uri="{FF2B5EF4-FFF2-40B4-BE49-F238E27FC236}">
              <a16:creationId xmlns:a16="http://schemas.microsoft.com/office/drawing/2014/main" id="{A15929CE-B0BF-48C8-9ED8-613205D06E8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38" name="Text Box 1">
          <a:extLst>
            <a:ext uri="{FF2B5EF4-FFF2-40B4-BE49-F238E27FC236}">
              <a16:creationId xmlns:a16="http://schemas.microsoft.com/office/drawing/2014/main" id="{3AA5DB7E-619E-46A3-AA93-AFD0705D579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39" name="Text Box 1">
          <a:extLst>
            <a:ext uri="{FF2B5EF4-FFF2-40B4-BE49-F238E27FC236}">
              <a16:creationId xmlns:a16="http://schemas.microsoft.com/office/drawing/2014/main" id="{2D795D9F-1C08-4E2C-9A51-FFF03F8644F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40" name="Text Box 1">
          <a:extLst>
            <a:ext uri="{FF2B5EF4-FFF2-40B4-BE49-F238E27FC236}">
              <a16:creationId xmlns:a16="http://schemas.microsoft.com/office/drawing/2014/main" id="{3373EAEC-3C03-41C3-AF65-F17F03155F9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41" name="Text Box 1">
          <a:extLst>
            <a:ext uri="{FF2B5EF4-FFF2-40B4-BE49-F238E27FC236}">
              <a16:creationId xmlns:a16="http://schemas.microsoft.com/office/drawing/2014/main" id="{D43FD195-03B9-4968-8C2E-7595EDE2D17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42" name="Text Box 1">
          <a:extLst>
            <a:ext uri="{FF2B5EF4-FFF2-40B4-BE49-F238E27FC236}">
              <a16:creationId xmlns:a16="http://schemas.microsoft.com/office/drawing/2014/main" id="{47CD8689-9C32-49D1-BC23-AA6B80A3699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43" name="Text Box 1">
          <a:extLst>
            <a:ext uri="{FF2B5EF4-FFF2-40B4-BE49-F238E27FC236}">
              <a16:creationId xmlns:a16="http://schemas.microsoft.com/office/drawing/2014/main" id="{C47985DF-92DB-4B51-87DE-044DB21E6D6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44" name="Text Box 1">
          <a:extLst>
            <a:ext uri="{FF2B5EF4-FFF2-40B4-BE49-F238E27FC236}">
              <a16:creationId xmlns:a16="http://schemas.microsoft.com/office/drawing/2014/main" id="{70D6AC64-4459-43A7-BF1D-B081AF270C0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45" name="Text Box 1">
          <a:extLst>
            <a:ext uri="{FF2B5EF4-FFF2-40B4-BE49-F238E27FC236}">
              <a16:creationId xmlns:a16="http://schemas.microsoft.com/office/drawing/2014/main" id="{D4447CF9-1D37-4D82-A8F1-36A49B133A5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46" name="Text Box 1">
          <a:extLst>
            <a:ext uri="{FF2B5EF4-FFF2-40B4-BE49-F238E27FC236}">
              <a16:creationId xmlns:a16="http://schemas.microsoft.com/office/drawing/2014/main" id="{4AF2F58C-FCB3-42A9-889A-A5180C76F1A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47" name="Text Box 1">
          <a:extLst>
            <a:ext uri="{FF2B5EF4-FFF2-40B4-BE49-F238E27FC236}">
              <a16:creationId xmlns:a16="http://schemas.microsoft.com/office/drawing/2014/main" id="{15283A98-33D7-49DE-84A2-9F4EE047559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48" name="Text Box 1">
          <a:extLst>
            <a:ext uri="{FF2B5EF4-FFF2-40B4-BE49-F238E27FC236}">
              <a16:creationId xmlns:a16="http://schemas.microsoft.com/office/drawing/2014/main" id="{C150184F-787E-49C5-9C27-83DA38E1D19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49" name="Text Box 1">
          <a:extLst>
            <a:ext uri="{FF2B5EF4-FFF2-40B4-BE49-F238E27FC236}">
              <a16:creationId xmlns:a16="http://schemas.microsoft.com/office/drawing/2014/main" id="{3D7A5CB2-FD37-4BD1-8187-B3C6CE5090A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50" name="Text Box 1">
          <a:extLst>
            <a:ext uri="{FF2B5EF4-FFF2-40B4-BE49-F238E27FC236}">
              <a16:creationId xmlns:a16="http://schemas.microsoft.com/office/drawing/2014/main" id="{36E6EA88-2C60-4D25-933F-2406816FFA1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51" name="Text Box 1">
          <a:extLst>
            <a:ext uri="{FF2B5EF4-FFF2-40B4-BE49-F238E27FC236}">
              <a16:creationId xmlns:a16="http://schemas.microsoft.com/office/drawing/2014/main" id="{6BF1CBD8-9131-401F-A278-983B88EEA37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52" name="Text Box 1">
          <a:extLst>
            <a:ext uri="{FF2B5EF4-FFF2-40B4-BE49-F238E27FC236}">
              <a16:creationId xmlns:a16="http://schemas.microsoft.com/office/drawing/2014/main" id="{5CC46250-F110-459C-A1F0-A3EE54891B3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53" name="Text Box 1">
          <a:extLst>
            <a:ext uri="{FF2B5EF4-FFF2-40B4-BE49-F238E27FC236}">
              <a16:creationId xmlns:a16="http://schemas.microsoft.com/office/drawing/2014/main" id="{5205A9B3-3A16-4DF0-BAEE-BEE1FAA7E39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54" name="Text Box 1">
          <a:extLst>
            <a:ext uri="{FF2B5EF4-FFF2-40B4-BE49-F238E27FC236}">
              <a16:creationId xmlns:a16="http://schemas.microsoft.com/office/drawing/2014/main" id="{259D92EA-199A-4544-A85A-26B29DCC7D4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55" name="Text Box 1">
          <a:extLst>
            <a:ext uri="{FF2B5EF4-FFF2-40B4-BE49-F238E27FC236}">
              <a16:creationId xmlns:a16="http://schemas.microsoft.com/office/drawing/2014/main" id="{65C92DD4-BEF7-4520-A0DA-9521275898F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56" name="Text Box 1">
          <a:extLst>
            <a:ext uri="{FF2B5EF4-FFF2-40B4-BE49-F238E27FC236}">
              <a16:creationId xmlns:a16="http://schemas.microsoft.com/office/drawing/2014/main" id="{029222CC-FE3E-4BB0-947A-F438D296AE6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57" name="Text Box 1">
          <a:extLst>
            <a:ext uri="{FF2B5EF4-FFF2-40B4-BE49-F238E27FC236}">
              <a16:creationId xmlns:a16="http://schemas.microsoft.com/office/drawing/2014/main" id="{C78C94FC-BF37-4C50-A8A8-E1A3AF2854B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58" name="Text Box 1">
          <a:extLst>
            <a:ext uri="{FF2B5EF4-FFF2-40B4-BE49-F238E27FC236}">
              <a16:creationId xmlns:a16="http://schemas.microsoft.com/office/drawing/2014/main" id="{2BF1E23D-3F8F-4EAF-9154-7CB486015E9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59" name="Text Box 1">
          <a:extLst>
            <a:ext uri="{FF2B5EF4-FFF2-40B4-BE49-F238E27FC236}">
              <a16:creationId xmlns:a16="http://schemas.microsoft.com/office/drawing/2014/main" id="{486ACFFA-5381-4870-9D99-AD48ACC3646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60" name="Text Box 1">
          <a:extLst>
            <a:ext uri="{FF2B5EF4-FFF2-40B4-BE49-F238E27FC236}">
              <a16:creationId xmlns:a16="http://schemas.microsoft.com/office/drawing/2014/main" id="{9A1D96B6-9A83-45BE-86D1-4F030BF2E59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61" name="Text Box 1">
          <a:extLst>
            <a:ext uri="{FF2B5EF4-FFF2-40B4-BE49-F238E27FC236}">
              <a16:creationId xmlns:a16="http://schemas.microsoft.com/office/drawing/2014/main" id="{407F47F4-179E-42D6-A3F8-2F76CF52B29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62" name="Text Box 1">
          <a:extLst>
            <a:ext uri="{FF2B5EF4-FFF2-40B4-BE49-F238E27FC236}">
              <a16:creationId xmlns:a16="http://schemas.microsoft.com/office/drawing/2014/main" id="{0C815671-B07A-42AE-BF3C-1558A0180F5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63" name="Text Box 1">
          <a:extLst>
            <a:ext uri="{FF2B5EF4-FFF2-40B4-BE49-F238E27FC236}">
              <a16:creationId xmlns:a16="http://schemas.microsoft.com/office/drawing/2014/main" id="{3B4847CA-B3C7-421D-BE67-2CF8A6D5E52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64" name="Text Box 1">
          <a:extLst>
            <a:ext uri="{FF2B5EF4-FFF2-40B4-BE49-F238E27FC236}">
              <a16:creationId xmlns:a16="http://schemas.microsoft.com/office/drawing/2014/main" id="{486C9B6F-8E63-4365-8D73-E05C5D5FC42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65" name="Text Box 1">
          <a:extLst>
            <a:ext uri="{FF2B5EF4-FFF2-40B4-BE49-F238E27FC236}">
              <a16:creationId xmlns:a16="http://schemas.microsoft.com/office/drawing/2014/main" id="{1AE6577B-3111-410D-9F74-0DB618ED5DC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66" name="Text Box 1">
          <a:extLst>
            <a:ext uri="{FF2B5EF4-FFF2-40B4-BE49-F238E27FC236}">
              <a16:creationId xmlns:a16="http://schemas.microsoft.com/office/drawing/2014/main" id="{102BB512-79BC-45AD-AA8A-7A00A93BF1C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67" name="Text Box 1">
          <a:extLst>
            <a:ext uri="{FF2B5EF4-FFF2-40B4-BE49-F238E27FC236}">
              <a16:creationId xmlns:a16="http://schemas.microsoft.com/office/drawing/2014/main" id="{3B3FC231-D48C-40AC-96C0-C6EADAF61C3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68" name="Text Box 1">
          <a:extLst>
            <a:ext uri="{FF2B5EF4-FFF2-40B4-BE49-F238E27FC236}">
              <a16:creationId xmlns:a16="http://schemas.microsoft.com/office/drawing/2014/main" id="{3FACEC1C-0022-409E-84C0-2D427681172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69" name="Text Box 1">
          <a:extLst>
            <a:ext uri="{FF2B5EF4-FFF2-40B4-BE49-F238E27FC236}">
              <a16:creationId xmlns:a16="http://schemas.microsoft.com/office/drawing/2014/main" id="{03E09481-467A-41AF-B25F-4DA915A0E51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70" name="Text Box 1">
          <a:extLst>
            <a:ext uri="{FF2B5EF4-FFF2-40B4-BE49-F238E27FC236}">
              <a16:creationId xmlns:a16="http://schemas.microsoft.com/office/drawing/2014/main" id="{5F4033E5-11CD-490E-802B-7AA41A981B7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71" name="Text Box 1">
          <a:extLst>
            <a:ext uri="{FF2B5EF4-FFF2-40B4-BE49-F238E27FC236}">
              <a16:creationId xmlns:a16="http://schemas.microsoft.com/office/drawing/2014/main" id="{4E1F0082-701E-4836-AFBF-CA504FAD793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72" name="Text Box 1">
          <a:extLst>
            <a:ext uri="{FF2B5EF4-FFF2-40B4-BE49-F238E27FC236}">
              <a16:creationId xmlns:a16="http://schemas.microsoft.com/office/drawing/2014/main" id="{179D8F00-1EF9-4AB6-9191-48FAD10F2368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73" name="Text Box 1">
          <a:extLst>
            <a:ext uri="{FF2B5EF4-FFF2-40B4-BE49-F238E27FC236}">
              <a16:creationId xmlns:a16="http://schemas.microsoft.com/office/drawing/2014/main" id="{B164A5DC-7A63-41DB-89C9-37B5BCABF15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74" name="Text Box 1">
          <a:extLst>
            <a:ext uri="{FF2B5EF4-FFF2-40B4-BE49-F238E27FC236}">
              <a16:creationId xmlns:a16="http://schemas.microsoft.com/office/drawing/2014/main" id="{A091B468-5E8B-4D38-8EAB-FE3F5C321A5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75" name="Text Box 1">
          <a:extLst>
            <a:ext uri="{FF2B5EF4-FFF2-40B4-BE49-F238E27FC236}">
              <a16:creationId xmlns:a16="http://schemas.microsoft.com/office/drawing/2014/main" id="{F884F14C-6A07-470D-BA43-908F36638E1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76" name="Text Box 1">
          <a:extLst>
            <a:ext uri="{FF2B5EF4-FFF2-40B4-BE49-F238E27FC236}">
              <a16:creationId xmlns:a16="http://schemas.microsoft.com/office/drawing/2014/main" id="{D8232493-2481-47C3-B889-356110D3A95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77" name="Text Box 1">
          <a:extLst>
            <a:ext uri="{FF2B5EF4-FFF2-40B4-BE49-F238E27FC236}">
              <a16:creationId xmlns:a16="http://schemas.microsoft.com/office/drawing/2014/main" id="{0C69A9C9-71BB-41C2-920F-0D42853D52C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78" name="Text Box 1">
          <a:extLst>
            <a:ext uri="{FF2B5EF4-FFF2-40B4-BE49-F238E27FC236}">
              <a16:creationId xmlns:a16="http://schemas.microsoft.com/office/drawing/2014/main" id="{DB729417-55C2-47D6-8DF6-D3B79FC655D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79" name="Text Box 1">
          <a:extLst>
            <a:ext uri="{FF2B5EF4-FFF2-40B4-BE49-F238E27FC236}">
              <a16:creationId xmlns:a16="http://schemas.microsoft.com/office/drawing/2014/main" id="{6D51356B-5B54-4914-A7E6-50A7ACEDEFB9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80" name="Text Box 1">
          <a:extLst>
            <a:ext uri="{FF2B5EF4-FFF2-40B4-BE49-F238E27FC236}">
              <a16:creationId xmlns:a16="http://schemas.microsoft.com/office/drawing/2014/main" id="{E91299ED-97B8-4E14-BE50-C3E79C7F4F6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81" name="Text Box 1">
          <a:extLst>
            <a:ext uri="{FF2B5EF4-FFF2-40B4-BE49-F238E27FC236}">
              <a16:creationId xmlns:a16="http://schemas.microsoft.com/office/drawing/2014/main" id="{704BDE88-2735-4C40-8E7D-E4B1E74F4F5D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82" name="Text Box 1">
          <a:extLst>
            <a:ext uri="{FF2B5EF4-FFF2-40B4-BE49-F238E27FC236}">
              <a16:creationId xmlns:a16="http://schemas.microsoft.com/office/drawing/2014/main" id="{72D6FB0B-16BA-4F7A-A871-C38C2757D08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83" name="Text Box 1">
          <a:extLst>
            <a:ext uri="{FF2B5EF4-FFF2-40B4-BE49-F238E27FC236}">
              <a16:creationId xmlns:a16="http://schemas.microsoft.com/office/drawing/2014/main" id="{9CA55F5F-7F4B-49B7-889C-0D01828144A7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84" name="Text Box 1">
          <a:extLst>
            <a:ext uri="{FF2B5EF4-FFF2-40B4-BE49-F238E27FC236}">
              <a16:creationId xmlns:a16="http://schemas.microsoft.com/office/drawing/2014/main" id="{81E43069-1A01-4059-A95B-249F1F1BB79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85" name="Text Box 1">
          <a:extLst>
            <a:ext uri="{FF2B5EF4-FFF2-40B4-BE49-F238E27FC236}">
              <a16:creationId xmlns:a16="http://schemas.microsoft.com/office/drawing/2014/main" id="{FF10A616-A7BA-494E-ABEA-91985642629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86" name="Text Box 1">
          <a:extLst>
            <a:ext uri="{FF2B5EF4-FFF2-40B4-BE49-F238E27FC236}">
              <a16:creationId xmlns:a16="http://schemas.microsoft.com/office/drawing/2014/main" id="{8D586170-D491-4E26-9B04-91DDF066A79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87" name="Text Box 1">
          <a:extLst>
            <a:ext uri="{FF2B5EF4-FFF2-40B4-BE49-F238E27FC236}">
              <a16:creationId xmlns:a16="http://schemas.microsoft.com/office/drawing/2014/main" id="{8E26D083-37B0-405B-87A0-4013925BB5C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88" name="Text Box 1">
          <a:extLst>
            <a:ext uri="{FF2B5EF4-FFF2-40B4-BE49-F238E27FC236}">
              <a16:creationId xmlns:a16="http://schemas.microsoft.com/office/drawing/2014/main" id="{DC4FEF08-BB67-421D-AC53-BAE72873A3C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89" name="Text Box 1">
          <a:extLst>
            <a:ext uri="{FF2B5EF4-FFF2-40B4-BE49-F238E27FC236}">
              <a16:creationId xmlns:a16="http://schemas.microsoft.com/office/drawing/2014/main" id="{6C16FB3C-24B0-4260-9881-15C18FEFB58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90" name="Text Box 1">
          <a:extLst>
            <a:ext uri="{FF2B5EF4-FFF2-40B4-BE49-F238E27FC236}">
              <a16:creationId xmlns:a16="http://schemas.microsoft.com/office/drawing/2014/main" id="{2ED15AA0-88BE-4A9D-9F97-B7DDBA6D4EC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91" name="Text Box 1">
          <a:extLst>
            <a:ext uri="{FF2B5EF4-FFF2-40B4-BE49-F238E27FC236}">
              <a16:creationId xmlns:a16="http://schemas.microsoft.com/office/drawing/2014/main" id="{7633AAC2-8B7F-48A8-A8E2-F6A37B7374E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92" name="Text Box 1">
          <a:extLst>
            <a:ext uri="{FF2B5EF4-FFF2-40B4-BE49-F238E27FC236}">
              <a16:creationId xmlns:a16="http://schemas.microsoft.com/office/drawing/2014/main" id="{A9DACCF8-ECB9-4A37-AE8C-AA75780C0C6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93" name="Text Box 1">
          <a:extLst>
            <a:ext uri="{FF2B5EF4-FFF2-40B4-BE49-F238E27FC236}">
              <a16:creationId xmlns:a16="http://schemas.microsoft.com/office/drawing/2014/main" id="{88E217D9-2A77-45BB-A295-F44FD36E147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94" name="Text Box 1">
          <a:extLst>
            <a:ext uri="{FF2B5EF4-FFF2-40B4-BE49-F238E27FC236}">
              <a16:creationId xmlns:a16="http://schemas.microsoft.com/office/drawing/2014/main" id="{A71776D7-6ACA-4040-B595-CDA39FA72CC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95" name="Text Box 1">
          <a:extLst>
            <a:ext uri="{FF2B5EF4-FFF2-40B4-BE49-F238E27FC236}">
              <a16:creationId xmlns:a16="http://schemas.microsoft.com/office/drawing/2014/main" id="{31532C9B-C47F-410B-BD6D-8B67D264798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96" name="Text Box 1">
          <a:extLst>
            <a:ext uri="{FF2B5EF4-FFF2-40B4-BE49-F238E27FC236}">
              <a16:creationId xmlns:a16="http://schemas.microsoft.com/office/drawing/2014/main" id="{6D0195C4-860F-4EE8-8A57-6A8E5C3C69F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97" name="Text Box 1">
          <a:extLst>
            <a:ext uri="{FF2B5EF4-FFF2-40B4-BE49-F238E27FC236}">
              <a16:creationId xmlns:a16="http://schemas.microsoft.com/office/drawing/2014/main" id="{91F081BC-1B47-4221-AFF5-AC2C4307029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98" name="Text Box 1">
          <a:extLst>
            <a:ext uri="{FF2B5EF4-FFF2-40B4-BE49-F238E27FC236}">
              <a16:creationId xmlns:a16="http://schemas.microsoft.com/office/drawing/2014/main" id="{2B7D3BBC-C8D9-46CE-9F4A-2E8B6605042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099" name="Text Box 1">
          <a:extLst>
            <a:ext uri="{FF2B5EF4-FFF2-40B4-BE49-F238E27FC236}">
              <a16:creationId xmlns:a16="http://schemas.microsoft.com/office/drawing/2014/main" id="{8A5221E0-B48D-4ED6-957C-30C093E90E31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00" name="Text Box 1">
          <a:extLst>
            <a:ext uri="{FF2B5EF4-FFF2-40B4-BE49-F238E27FC236}">
              <a16:creationId xmlns:a16="http://schemas.microsoft.com/office/drawing/2014/main" id="{C4EF247C-3B76-48E5-A555-D5EB51E69BC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01" name="Text Box 1">
          <a:extLst>
            <a:ext uri="{FF2B5EF4-FFF2-40B4-BE49-F238E27FC236}">
              <a16:creationId xmlns:a16="http://schemas.microsoft.com/office/drawing/2014/main" id="{76C79048-A1C2-4A2D-B523-79CA7683520F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02" name="Text Box 1">
          <a:extLst>
            <a:ext uri="{FF2B5EF4-FFF2-40B4-BE49-F238E27FC236}">
              <a16:creationId xmlns:a16="http://schemas.microsoft.com/office/drawing/2014/main" id="{3318FE90-11DB-4C2E-8788-752804B5C48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03" name="Text Box 1">
          <a:extLst>
            <a:ext uri="{FF2B5EF4-FFF2-40B4-BE49-F238E27FC236}">
              <a16:creationId xmlns:a16="http://schemas.microsoft.com/office/drawing/2014/main" id="{6DC82958-919F-40F1-87D5-DB51BFC37302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04" name="Text Box 1">
          <a:extLst>
            <a:ext uri="{FF2B5EF4-FFF2-40B4-BE49-F238E27FC236}">
              <a16:creationId xmlns:a16="http://schemas.microsoft.com/office/drawing/2014/main" id="{4B01B3CE-D4D2-450B-B55D-5AB211C27AE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05" name="Text Box 1">
          <a:extLst>
            <a:ext uri="{FF2B5EF4-FFF2-40B4-BE49-F238E27FC236}">
              <a16:creationId xmlns:a16="http://schemas.microsoft.com/office/drawing/2014/main" id="{15A01727-9C97-42E4-8974-0A251D75657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06" name="Text Box 1">
          <a:extLst>
            <a:ext uri="{FF2B5EF4-FFF2-40B4-BE49-F238E27FC236}">
              <a16:creationId xmlns:a16="http://schemas.microsoft.com/office/drawing/2014/main" id="{83542CDF-4F10-49C5-B001-8BCD3B73C2B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07" name="Text Box 1">
          <a:extLst>
            <a:ext uri="{FF2B5EF4-FFF2-40B4-BE49-F238E27FC236}">
              <a16:creationId xmlns:a16="http://schemas.microsoft.com/office/drawing/2014/main" id="{947AA73F-E64F-4552-9C3F-35C315C2026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08" name="Text Box 1">
          <a:extLst>
            <a:ext uri="{FF2B5EF4-FFF2-40B4-BE49-F238E27FC236}">
              <a16:creationId xmlns:a16="http://schemas.microsoft.com/office/drawing/2014/main" id="{61C9F56F-811D-49BC-99C1-02A57154540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09" name="Text Box 1">
          <a:extLst>
            <a:ext uri="{FF2B5EF4-FFF2-40B4-BE49-F238E27FC236}">
              <a16:creationId xmlns:a16="http://schemas.microsoft.com/office/drawing/2014/main" id="{DA6B2B16-3FED-4A3C-9AF5-629660B7E27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10" name="Text Box 1">
          <a:extLst>
            <a:ext uri="{FF2B5EF4-FFF2-40B4-BE49-F238E27FC236}">
              <a16:creationId xmlns:a16="http://schemas.microsoft.com/office/drawing/2014/main" id="{9A4B6E40-7F68-4819-9541-E4635D69B0F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11" name="Text Box 1">
          <a:extLst>
            <a:ext uri="{FF2B5EF4-FFF2-40B4-BE49-F238E27FC236}">
              <a16:creationId xmlns:a16="http://schemas.microsoft.com/office/drawing/2014/main" id="{CBD995F0-3BB6-4475-BF01-1CED0505329B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12" name="Text Box 1">
          <a:extLst>
            <a:ext uri="{FF2B5EF4-FFF2-40B4-BE49-F238E27FC236}">
              <a16:creationId xmlns:a16="http://schemas.microsoft.com/office/drawing/2014/main" id="{3A1FE3D7-97E1-466A-A7FE-6080CCDA6A05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13" name="Text Box 1">
          <a:extLst>
            <a:ext uri="{FF2B5EF4-FFF2-40B4-BE49-F238E27FC236}">
              <a16:creationId xmlns:a16="http://schemas.microsoft.com/office/drawing/2014/main" id="{E39A200E-56E1-4DE8-AF25-F6E3C76ABDDC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14" name="Text Box 1">
          <a:extLst>
            <a:ext uri="{FF2B5EF4-FFF2-40B4-BE49-F238E27FC236}">
              <a16:creationId xmlns:a16="http://schemas.microsoft.com/office/drawing/2014/main" id="{0D466924-BDC8-41C3-9FAA-91B33B24C674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15" name="Text Box 1">
          <a:extLst>
            <a:ext uri="{FF2B5EF4-FFF2-40B4-BE49-F238E27FC236}">
              <a16:creationId xmlns:a16="http://schemas.microsoft.com/office/drawing/2014/main" id="{ABEC73E4-E5E0-4CB9-BE61-D9A9DD1B8B5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16" name="Text Box 1">
          <a:extLst>
            <a:ext uri="{FF2B5EF4-FFF2-40B4-BE49-F238E27FC236}">
              <a16:creationId xmlns:a16="http://schemas.microsoft.com/office/drawing/2014/main" id="{31A551A1-6110-4EA5-9E0F-EC84559B52E3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17" name="Text Box 1">
          <a:extLst>
            <a:ext uri="{FF2B5EF4-FFF2-40B4-BE49-F238E27FC236}">
              <a16:creationId xmlns:a16="http://schemas.microsoft.com/office/drawing/2014/main" id="{38F13819-8D13-46F8-AFB8-5F62A173CB8E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18" name="Text Box 1">
          <a:extLst>
            <a:ext uri="{FF2B5EF4-FFF2-40B4-BE49-F238E27FC236}">
              <a16:creationId xmlns:a16="http://schemas.microsoft.com/office/drawing/2014/main" id="{6BF65314-D30D-4159-925C-EE64710A473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19" name="Text Box 1">
          <a:extLst>
            <a:ext uri="{FF2B5EF4-FFF2-40B4-BE49-F238E27FC236}">
              <a16:creationId xmlns:a16="http://schemas.microsoft.com/office/drawing/2014/main" id="{50E2607A-F4B4-484D-9A0D-A7F86070DE7A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20" name="Text Box 1">
          <a:extLst>
            <a:ext uri="{FF2B5EF4-FFF2-40B4-BE49-F238E27FC236}">
              <a16:creationId xmlns:a16="http://schemas.microsoft.com/office/drawing/2014/main" id="{922ADBD9-F5FC-4143-B2D8-D984B569F666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21" name="Text Box 1">
          <a:extLst>
            <a:ext uri="{FF2B5EF4-FFF2-40B4-BE49-F238E27FC236}">
              <a16:creationId xmlns:a16="http://schemas.microsoft.com/office/drawing/2014/main" id="{71767193-246F-423F-A858-C53865A8F12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22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23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24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25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26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27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28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29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30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31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32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33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34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35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36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37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38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39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40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41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42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43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44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45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46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47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48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49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50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51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52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53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54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55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56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57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58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59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60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61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62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63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64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65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66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67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68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69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70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71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72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73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74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75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76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77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78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79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80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81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82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83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84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85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86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87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88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89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90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91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92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93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94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95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96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97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98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199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00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01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02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03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04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05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06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07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08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09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10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11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12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13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14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15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16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17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18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19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20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21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22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23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24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25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26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27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28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29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30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31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32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33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34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35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36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37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38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39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40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41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42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43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44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45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46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47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48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49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50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51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52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53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54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55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56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57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58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59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60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61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62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63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64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65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66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67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68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69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70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71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72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73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74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75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76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77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78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79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80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81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82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83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84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85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86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87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88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89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90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91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92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93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94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95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96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97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98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299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00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01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02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03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04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05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06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07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08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09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10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11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12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13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14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15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16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17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18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19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20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21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22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23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24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25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26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27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28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29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30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31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32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33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34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35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36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37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38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39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40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41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42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43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44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45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46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47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48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49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50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51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52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53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54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55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56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57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58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59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60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61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62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63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64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65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66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67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68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69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70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71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72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73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74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75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76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0" cy="28575"/>
    <xdr:sp macro="" textlink="">
      <xdr:nvSpPr>
        <xdr:cNvPr id="5377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905125" y="1952529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344</xdr:row>
      <xdr:rowOff>0</xdr:rowOff>
    </xdr:from>
    <xdr:ext cx="1462367" cy="285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857500" y="195252975"/>
          <a:ext cx="1462367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344</xdr:row>
      <xdr:rowOff>0</xdr:rowOff>
    </xdr:from>
    <xdr:ext cx="1414742" cy="2857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905125" y="195252975"/>
          <a:ext cx="1414742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376</xdr:row>
      <xdr:rowOff>0</xdr:rowOff>
    </xdr:from>
    <xdr:to>
      <xdr:col>2</xdr:col>
      <xdr:colOff>1476375</xdr:colOff>
      <xdr:row>376</xdr:row>
      <xdr:rowOff>28575</xdr:rowOff>
    </xdr:to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905125" y="2084355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3276600" y="13373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905125" y="42748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905125" y="42748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905125" y="42748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905125" y="42748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905125" y="42748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905125" y="42748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905125" y="42748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905125" y="42748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905125" y="47167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905125" y="47853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905125" y="49168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905125" y="50082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905125" y="49853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3276600" y="18859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3276600" y="18859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3276600" y="18859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3276600" y="18859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3276600" y="18859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3276600" y="18859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3276600" y="18859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3276600" y="18859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3276600" y="3350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3276600" y="3350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3276600" y="3350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3276600" y="3350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3276600" y="3350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3276600" y="3350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3276600" y="3350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3276600" y="33508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3276600" y="45681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3276600" y="45681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3276600" y="45681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3276600" y="45681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3276600" y="45681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3276600" y="45681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3276600" y="45681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3276600" y="45681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3276600" y="59188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3276600" y="59188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3276600" y="59188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3276600" y="59188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3276600" y="59188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3276600" y="59188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3276600" y="59188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3276600" y="59188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3028950" y="786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3276600" y="2510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3276600" y="2510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3276600" y="2510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3276600" y="2510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3276600" y="2510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3276600" y="2510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3276600" y="2510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3276600" y="25107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3276600" y="2910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3276600" y="297942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3276600" y="308610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3276600" y="38157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3276600" y="38157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3276600" y="38157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3276600" y="38157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3276600" y="38157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3276600" y="38157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3276600" y="38157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3276600" y="38157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3276600" y="42157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3276600" y="428434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3276600" y="44138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3276600" y="4505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3276600" y="4482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3276600" y="52806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3276600" y="52806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3276600" y="52806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3276600" y="52806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3276600" y="52806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3276600" y="52806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3276600" y="52806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3276600" y="52806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3276600" y="5680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3276600" y="57492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3276600" y="58788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3276600" y="59702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3276600" y="594741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3276600" y="67456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3276600" y="67456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3276600" y="67456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3276600" y="67456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3276600" y="67456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3276600" y="67456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3276600" y="67456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3276600" y="67456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3276600" y="7145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3276600" y="72142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3276600" y="73437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3276600" y="741235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22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23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24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25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26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27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28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29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30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31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32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33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34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35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36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37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38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39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40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41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42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43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44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45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46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47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48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49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50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51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52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53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54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55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56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57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58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59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60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61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62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63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64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65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66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67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68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69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70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71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72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73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74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75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76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77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78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79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80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81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82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83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84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585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78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79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80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81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82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83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84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85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86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87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88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89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90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91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92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93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94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95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96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97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98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799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00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01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02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03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04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05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06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07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08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09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10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11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12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13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14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15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16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17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18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19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20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21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22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23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24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25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26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27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28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29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30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31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32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33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34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35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36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37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38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39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40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41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42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43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44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45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46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47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48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49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50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51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52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53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54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55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56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57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58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59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60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61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62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63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64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65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66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67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68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69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70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71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72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73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74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75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76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77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78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79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80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81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82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83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84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85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86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87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88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89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90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91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92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93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94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95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96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97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98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899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900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901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902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903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904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7905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098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099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00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01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02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03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04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05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06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07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08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09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10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11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12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13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14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15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16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17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18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19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20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21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22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23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24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25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26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27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28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29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30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31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32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33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34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35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36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37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38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39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40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41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42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43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44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45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46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47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48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49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50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51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52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53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54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55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56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57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58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59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60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61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62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63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64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65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66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67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68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69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70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71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72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73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74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75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76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77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78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79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80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81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82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83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84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85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86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87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88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89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90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91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92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94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95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96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97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98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199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00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01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02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03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04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05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06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07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08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09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10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11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12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13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14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15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16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17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18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19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20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21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22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23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24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225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26</xdr:row>
      <xdr:rowOff>0</xdr:rowOff>
    </xdr:from>
    <xdr:to>
      <xdr:col>2</xdr:col>
      <xdr:colOff>1476375</xdr:colOff>
      <xdr:row>26</xdr:row>
      <xdr:rowOff>28575</xdr:rowOff>
    </xdr:to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18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19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20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21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22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23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24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25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26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27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28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29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30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31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32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33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34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35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36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37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38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39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40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41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42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43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44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45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46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47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48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49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50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51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52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53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54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55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56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57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58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59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60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61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62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63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64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65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66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67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68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69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70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71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72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73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74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75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76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77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78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79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80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26</xdr:row>
      <xdr:rowOff>0</xdr:rowOff>
    </xdr:from>
    <xdr:ext cx="0" cy="28575"/>
    <xdr:sp macro="" textlink="">
      <xdr:nvSpPr>
        <xdr:cNvPr id="8481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048000" y="14763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3276600" y="2276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3276600" y="2276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3276600" y="2276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3276600" y="2276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3276600" y="2276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3276600" y="2276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3276600" y="2276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3276600" y="22764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3276600" y="26765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3276600" y="27451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3276600" y="28517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4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4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4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4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4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5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5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5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5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5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5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5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5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5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5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6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6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6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6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6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6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6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6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6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6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7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7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7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7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7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7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7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7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7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8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8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8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8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8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8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8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8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8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8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9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9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9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9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9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9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9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9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9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69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0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0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0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0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0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0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0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0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0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0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1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1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1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1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1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1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1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1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1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2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2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2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2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2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2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2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2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2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2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3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3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3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3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3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3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3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3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3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3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4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4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4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4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4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4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4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4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4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4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5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5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5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5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5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5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5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5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5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5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6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6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6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6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6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6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6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6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6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6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7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7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7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7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7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7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7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7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7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7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8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8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8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8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8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8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8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8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8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8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9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9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9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9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9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9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9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9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9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79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0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0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0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0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0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0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0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0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0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0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1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1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1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1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1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1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1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1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1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1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2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2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2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2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2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2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2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2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2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2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3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3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3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3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3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3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3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3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3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3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4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4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4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4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4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4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4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4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4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4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5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5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5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5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5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5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5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5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5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5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6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6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6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6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6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6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6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6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6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6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7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7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7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7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7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7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7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7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7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7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8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8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8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8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8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8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8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8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8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8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9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9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9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9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9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9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9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9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9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89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0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0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0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0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0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0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0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0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0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0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1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1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1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1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1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1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1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1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1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1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2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2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2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2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2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2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2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2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2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2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3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3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3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3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3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3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3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3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3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3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4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4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4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4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4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4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4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4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4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4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5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5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5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5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5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5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5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5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5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5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6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6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6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6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6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6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6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6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6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6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7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7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7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7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7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7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7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7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7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7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8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8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8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8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8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8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8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8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8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8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9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9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9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9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9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9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9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9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9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899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0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0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0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0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0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0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0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0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0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1420346</xdr:colOff>
      <xdr:row>145</xdr:row>
      <xdr:rowOff>0</xdr:rowOff>
    </xdr:from>
    <xdr:ext cx="0" cy="28575"/>
    <xdr:sp macro="" textlink="">
      <xdr:nvSpPr>
        <xdr:cNvPr id="9009" name="Text Box 1"/>
        <xdr:cNvSpPr txBox="1">
          <a:spLocks noChangeArrowheads="1"/>
        </xdr:cNvSpPr>
      </xdr:nvSpPr>
      <xdr:spPr bwMode="auto">
        <a:xfrm>
          <a:off x="3220571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1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1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1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1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1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1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1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1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1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1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2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2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2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2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2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2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2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2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2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2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3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3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3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3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3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3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3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3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3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3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4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4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4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4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4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4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4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4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4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4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5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5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5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5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5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5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5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5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5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5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6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6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6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6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6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6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6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6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6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6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7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7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7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7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7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7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7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7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7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7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8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8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8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8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8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8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8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8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8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8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9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9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9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9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9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9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9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9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9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09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0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0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0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0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0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0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0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0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0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0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1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1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1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1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14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15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16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17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18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19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20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21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22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23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24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25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26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27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28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29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30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31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32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33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34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35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36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37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38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39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40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41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42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43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44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45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46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47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48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49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50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51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52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53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54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55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56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57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58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59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60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61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62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63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64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65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66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67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68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69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70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71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72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73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74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75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76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77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76600" y="1135951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78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79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80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81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82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83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84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85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86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87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88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89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90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91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92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93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94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95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96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97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98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199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00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01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02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03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04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05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06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07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08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09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10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11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12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13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14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15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16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18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19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20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21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22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23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24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25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26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27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28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29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30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31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32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33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34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35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36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37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38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39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40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41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42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43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44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45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46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47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48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49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50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51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52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53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54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55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56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57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58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59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60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61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62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63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64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65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66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67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68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69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70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71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72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73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74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75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76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77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78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79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80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81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82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83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84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85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86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87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88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89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90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91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92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93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94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95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96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97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98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299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00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01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02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03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04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05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125653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06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07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08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09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10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11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12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13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14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15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16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17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18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19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20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21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22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23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24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25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26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27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28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29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30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31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32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33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34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35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36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37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38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39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40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41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42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43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44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45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46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47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48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49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50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51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52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53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54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55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56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57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58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59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60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61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62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63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64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65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66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67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68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69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70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71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72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73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74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75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76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77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78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79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80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81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82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83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84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85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86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87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88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89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90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91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92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93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94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95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96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97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98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399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00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01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02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03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04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05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06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07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08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09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10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11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12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13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14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15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16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17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18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19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20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21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22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23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24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25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26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27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28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29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30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31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32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33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276600" y="1242822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34" name="Text Box 1"/>
        <xdr:cNvSpPr txBox="1">
          <a:spLocks noChangeArrowheads="1"/>
        </xdr:cNvSpPr>
      </xdr:nvSpPr>
      <xdr:spPr bwMode="auto">
        <a:xfrm>
          <a:off x="3276600" y="92735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35" name="Text Box 1"/>
        <xdr:cNvSpPr txBox="1">
          <a:spLocks noChangeArrowheads="1"/>
        </xdr:cNvSpPr>
      </xdr:nvSpPr>
      <xdr:spPr bwMode="auto">
        <a:xfrm>
          <a:off x="3276600" y="92735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36" name="Text Box 1"/>
        <xdr:cNvSpPr txBox="1">
          <a:spLocks noChangeArrowheads="1"/>
        </xdr:cNvSpPr>
      </xdr:nvSpPr>
      <xdr:spPr bwMode="auto">
        <a:xfrm>
          <a:off x="3276600" y="92735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37" name="Text Box 1"/>
        <xdr:cNvSpPr txBox="1">
          <a:spLocks noChangeArrowheads="1"/>
        </xdr:cNvSpPr>
      </xdr:nvSpPr>
      <xdr:spPr bwMode="auto">
        <a:xfrm>
          <a:off x="3276600" y="92735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38" name="Text Box 1"/>
        <xdr:cNvSpPr txBox="1">
          <a:spLocks noChangeArrowheads="1"/>
        </xdr:cNvSpPr>
      </xdr:nvSpPr>
      <xdr:spPr bwMode="auto">
        <a:xfrm>
          <a:off x="3276600" y="92735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39" name="Text Box 1"/>
        <xdr:cNvSpPr txBox="1">
          <a:spLocks noChangeArrowheads="1"/>
        </xdr:cNvSpPr>
      </xdr:nvSpPr>
      <xdr:spPr bwMode="auto">
        <a:xfrm>
          <a:off x="3276600" y="92735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40" name="Text Box 1"/>
        <xdr:cNvSpPr txBox="1">
          <a:spLocks noChangeArrowheads="1"/>
        </xdr:cNvSpPr>
      </xdr:nvSpPr>
      <xdr:spPr bwMode="auto">
        <a:xfrm>
          <a:off x="3276600" y="92735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41" name="Text Box 1"/>
        <xdr:cNvSpPr txBox="1">
          <a:spLocks noChangeArrowheads="1"/>
        </xdr:cNvSpPr>
      </xdr:nvSpPr>
      <xdr:spPr bwMode="auto">
        <a:xfrm>
          <a:off x="3276600" y="92735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42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43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44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45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46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47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48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49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50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51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52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53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54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55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56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57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58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59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60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61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62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63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64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65" name="Text Box 1"/>
        <xdr:cNvSpPr txBox="1">
          <a:spLocks noChangeArrowheads="1"/>
        </xdr:cNvSpPr>
      </xdr:nvSpPr>
      <xdr:spPr bwMode="auto">
        <a:xfrm>
          <a:off x="3276600" y="967359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66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67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68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69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70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71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72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73" name="Text Box 1"/>
        <xdr:cNvSpPr txBox="1">
          <a:spLocks noChangeArrowheads="1"/>
        </xdr:cNvSpPr>
      </xdr:nvSpPr>
      <xdr:spPr bwMode="auto">
        <a:xfrm>
          <a:off x="3276600" y="9742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74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75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76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77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78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79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80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81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82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83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84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85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86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87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88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89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90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91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92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93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94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95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96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97" name="Text Box 1"/>
        <xdr:cNvSpPr txBox="1">
          <a:spLocks noChangeArrowheads="1"/>
        </xdr:cNvSpPr>
      </xdr:nvSpPr>
      <xdr:spPr bwMode="auto">
        <a:xfrm>
          <a:off x="3276600" y="98717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98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499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00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01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02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03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04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05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06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07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08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09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10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11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12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13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14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15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16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17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18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19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20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21" name="Text Box 1"/>
        <xdr:cNvSpPr txBox="1">
          <a:spLocks noChangeArrowheads="1"/>
        </xdr:cNvSpPr>
      </xdr:nvSpPr>
      <xdr:spPr bwMode="auto">
        <a:xfrm>
          <a:off x="3276600" y="99631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22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23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24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25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26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27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28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29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30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31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32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33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34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35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36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37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38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39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40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41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42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43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44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45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46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47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48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49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50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51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52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53" name="Text Box 1"/>
        <xdr:cNvSpPr txBox="1">
          <a:spLocks noChangeArrowheads="1"/>
        </xdr:cNvSpPr>
      </xdr:nvSpPr>
      <xdr:spPr bwMode="auto">
        <a:xfrm>
          <a:off x="3276600" y="99402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5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5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5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5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5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5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6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6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6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6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6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6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6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6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6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6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7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7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7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7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7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7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7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7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7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7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8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8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8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8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8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8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8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8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8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8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9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9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9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9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9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9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9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9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9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59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0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0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0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0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0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0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0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0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0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0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1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1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1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1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1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1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1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1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1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1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2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2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2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2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2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2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2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2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2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2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3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3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3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3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3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3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3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3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3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3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4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4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4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4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4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4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4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4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4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4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5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5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5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5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5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5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5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5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5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5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6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6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6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6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6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6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6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6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6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6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7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7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7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7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7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7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7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7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7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7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8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8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8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8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8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8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8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8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8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8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9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9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9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9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9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9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9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9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9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69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0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0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0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0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0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0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0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0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0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0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1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1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1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1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1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1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1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1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1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1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2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2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2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2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2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2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2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2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2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2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3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3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3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3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3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3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3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3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3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3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4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4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4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4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4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4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4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4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4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4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5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5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5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5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5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5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5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5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5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5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6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6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6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6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6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6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6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6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6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6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7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7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7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7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7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7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7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7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7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7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8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8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8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8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8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8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8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8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8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8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9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9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9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9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9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9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9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9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9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79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0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0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0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0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0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0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0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0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0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0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1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1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1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1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1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1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1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1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1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1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2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2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2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2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2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2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2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2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2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2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3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3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3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3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3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3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3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3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3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3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4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4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4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4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4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4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4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4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4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4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5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5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5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5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5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5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5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5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5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5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6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6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6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6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6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6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6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6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6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6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7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7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7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7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7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7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7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7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7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7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8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8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8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8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8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8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8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8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8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8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9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9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9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9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9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9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9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9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9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89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0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0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0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0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0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0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0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0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0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0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1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1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1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1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1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1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1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1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1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1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2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2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2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2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2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2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2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2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2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2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3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3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3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3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3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3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3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3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3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3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4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4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4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4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4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4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4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4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4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4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5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5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5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5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5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5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5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5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5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5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6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1420346</xdr:colOff>
      <xdr:row>145</xdr:row>
      <xdr:rowOff>0</xdr:rowOff>
    </xdr:from>
    <xdr:ext cx="0" cy="28575"/>
    <xdr:sp macro="" textlink="">
      <xdr:nvSpPr>
        <xdr:cNvPr id="9961" name="Text Box 1"/>
        <xdr:cNvSpPr txBox="1">
          <a:spLocks noChangeArrowheads="1"/>
        </xdr:cNvSpPr>
      </xdr:nvSpPr>
      <xdr:spPr bwMode="auto">
        <a:xfrm>
          <a:off x="3220571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6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6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6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6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6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6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6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6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7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7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7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7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7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7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7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7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7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7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8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8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8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8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8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8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8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8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8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8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9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9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9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9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9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9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9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9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9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999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0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0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0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0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0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0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0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0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0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0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1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1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1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1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1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1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1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1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1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1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2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2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2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2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2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2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2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2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2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2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3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3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3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3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3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3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3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3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3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3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4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4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4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4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4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4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4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4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4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4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5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5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5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5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5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5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56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57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58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59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60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61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62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63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64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65" name="Text Box 1"/>
        <xdr:cNvSpPr txBox="1">
          <a:spLocks noChangeArrowheads="1"/>
        </xdr:cNvSpPr>
      </xdr:nvSpPr>
      <xdr:spPr bwMode="auto">
        <a:xfrm>
          <a:off x="3276600" y="2920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6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6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6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6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7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7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7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7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7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7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7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7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7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7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8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8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8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8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8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8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8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8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8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8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9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9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9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9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9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9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9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9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9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09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0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0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0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0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0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0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0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0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0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0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1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1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1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1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1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1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1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1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1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1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2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2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2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2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2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2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2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2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2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2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3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3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3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3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3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3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3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3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3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3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4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4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4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4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4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4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4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4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4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4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5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5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5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5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5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5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5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5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5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5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6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6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6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6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6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6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6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6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6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6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7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7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7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7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7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7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76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77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78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79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80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81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82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83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84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85" name="Text Box 1"/>
        <xdr:cNvSpPr txBox="1">
          <a:spLocks noChangeArrowheads="1"/>
        </xdr:cNvSpPr>
      </xdr:nvSpPr>
      <xdr:spPr bwMode="auto">
        <a:xfrm>
          <a:off x="3276600" y="1362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8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8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8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8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9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9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9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9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9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9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9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9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9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19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0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0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0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0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0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0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0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0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0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0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1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1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1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1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1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1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1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1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1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1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2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2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2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2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2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2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26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27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28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29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30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31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32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33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34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35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36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37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38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39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40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45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46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47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48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49" name="Text Box 1"/>
        <xdr:cNvSpPr txBox="1">
          <a:spLocks noChangeArrowheads="1"/>
        </xdr:cNvSpPr>
      </xdr:nvSpPr>
      <xdr:spPr bwMode="auto">
        <a:xfrm>
          <a:off x="3276600" y="16802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50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51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52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53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54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55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56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57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58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59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60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61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62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63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64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65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66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67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68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69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70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71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72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73" name="Text Box 1"/>
        <xdr:cNvSpPr txBox="1">
          <a:spLocks noChangeArrowheads="1"/>
        </xdr:cNvSpPr>
      </xdr:nvSpPr>
      <xdr:spPr bwMode="auto">
        <a:xfrm>
          <a:off x="3276600" y="17716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74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75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76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77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78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79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80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81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82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83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84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85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86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87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88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89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90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91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92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93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94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95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96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97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98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299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00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01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02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03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04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05" name="Text Box 1"/>
        <xdr:cNvSpPr txBox="1">
          <a:spLocks noChangeArrowheads="1"/>
        </xdr:cNvSpPr>
      </xdr:nvSpPr>
      <xdr:spPr bwMode="auto">
        <a:xfrm>
          <a:off x="3276600" y="174879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0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0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0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0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1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1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1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1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1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1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1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1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1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1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2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2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2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2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2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2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2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2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2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2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3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3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3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3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3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3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3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3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3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3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4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4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4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4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4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4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4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4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4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4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5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5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5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5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5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5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5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5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5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5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6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6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6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6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6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6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6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6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6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6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7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7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7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7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7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7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7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7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7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7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8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8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8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8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8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8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8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8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8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8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9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9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9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9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9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9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9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9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9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39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0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0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0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0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0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0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0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0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0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0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1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1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1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1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1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1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1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1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1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1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2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2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2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2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2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2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2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2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2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2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3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3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3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3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3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3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3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3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3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3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4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4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4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4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4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4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4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4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4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4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5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5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5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5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5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5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5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5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5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5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6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6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6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6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6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6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6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6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6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6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7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7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7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7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7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7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7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7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7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7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8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8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8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8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8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8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8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8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8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8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9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9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9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9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9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9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9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9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9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49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0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0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0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0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0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0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0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0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0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0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1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1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1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1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1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1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1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1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1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1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2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2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2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2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2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2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2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2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2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2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3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3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3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3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3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3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3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3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3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3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4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4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4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4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4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4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4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4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4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4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5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5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5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5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5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5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5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5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5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5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6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6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6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6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6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6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6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6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6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6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7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7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7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7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7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7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7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7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7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7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8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8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8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8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8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8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8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8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8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8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9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9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9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9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9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9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9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9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9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59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0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0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0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0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0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0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0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0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0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0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1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1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1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1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1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1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1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1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1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1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2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2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2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2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2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2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2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2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2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2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3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3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3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3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3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3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3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3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3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3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4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4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4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4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4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4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4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4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4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4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5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5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5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5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5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5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5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5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5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5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6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6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6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6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6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6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6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6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6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6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7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7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7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7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7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7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7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7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7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7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8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8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8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8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8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8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8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8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8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8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9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9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9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9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9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9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9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9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9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69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0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0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0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0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0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0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0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0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0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0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1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1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1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1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1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1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1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1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1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1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2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2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2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2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2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2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2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2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2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2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3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3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3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3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3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3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3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3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3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3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4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4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4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4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4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4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4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4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4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4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5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5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5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5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5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5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5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5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5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5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6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6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6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6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6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6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6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6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6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6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7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7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7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7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7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7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7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7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7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7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8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8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8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8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8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8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8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8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8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8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9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9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9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9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9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9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9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9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9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79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0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0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0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0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0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0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0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0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0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0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1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1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1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1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1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1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1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1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1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1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2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2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2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2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2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2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2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2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2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2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3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3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3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1420346</xdr:colOff>
      <xdr:row>145</xdr:row>
      <xdr:rowOff>0</xdr:rowOff>
    </xdr:from>
    <xdr:ext cx="0" cy="28575"/>
    <xdr:sp macro="" textlink="">
      <xdr:nvSpPr>
        <xdr:cNvPr id="10833" name="Text Box 1"/>
        <xdr:cNvSpPr txBox="1">
          <a:spLocks noChangeArrowheads="1"/>
        </xdr:cNvSpPr>
      </xdr:nvSpPr>
      <xdr:spPr bwMode="auto">
        <a:xfrm>
          <a:off x="3220571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3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3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3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3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3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3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4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4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4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4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4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4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4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4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4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4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5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5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5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5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5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5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5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5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5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5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6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6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6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6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6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6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6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6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6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6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7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7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7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7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7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7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7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7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7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7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8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8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8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8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8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8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8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8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8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8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9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9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9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9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9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9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9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9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9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89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0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0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0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0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0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0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0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0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0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0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1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1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1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1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1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1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1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1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1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1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2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2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2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2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2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2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2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2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28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29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30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31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32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33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34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35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36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37" name="Text Box 1"/>
        <xdr:cNvSpPr txBox="1">
          <a:spLocks noChangeArrowheads="1"/>
        </xdr:cNvSpPr>
      </xdr:nvSpPr>
      <xdr:spPr bwMode="auto">
        <a:xfrm>
          <a:off x="3276600" y="14077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38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39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40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41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42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43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44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45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46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47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48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49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50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51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52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53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54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55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56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57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58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59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60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61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62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63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64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65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66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67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68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69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70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71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72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73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74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75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76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77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78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79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80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81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82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83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84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85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86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87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88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89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90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91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92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93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94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95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96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97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98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0999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00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01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02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03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04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05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06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07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08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09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10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11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12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13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14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15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16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17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18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19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20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21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22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23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24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25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26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27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28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29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30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31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32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33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34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35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36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37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38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39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40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41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42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43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44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45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46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47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48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49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50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51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52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53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54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55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56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57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58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59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60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61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62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63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64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65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66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67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68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69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70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71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72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73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74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75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76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77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78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79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80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81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82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83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84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85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86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87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88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89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90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91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92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93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94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95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96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97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98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099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00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01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02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03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04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05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06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07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08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09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10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11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12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13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14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15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16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17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18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19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20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21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22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23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24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25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26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27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28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29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30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31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32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33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34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35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36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37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38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39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40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41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42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43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44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45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46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47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48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49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50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51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52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53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54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55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56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57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58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59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60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61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62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63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64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65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66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67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68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69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70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71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72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73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74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75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76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77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78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79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80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81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82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83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84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85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86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87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88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89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90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91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92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93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94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95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96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97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98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199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00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01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02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03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04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05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06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07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08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09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10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11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12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13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14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15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16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17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18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19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20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21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22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23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24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25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26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27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28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29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30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31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32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33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34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35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36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37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38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39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40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41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42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43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44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45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46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47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48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49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50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51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52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53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54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55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56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57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5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5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6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6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6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6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6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6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7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7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7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7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7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7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7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7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7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7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8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8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8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8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8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8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8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8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8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8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9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9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9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9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9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9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9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9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9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29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0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0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0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0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0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0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0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0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0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0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1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1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1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1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1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1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1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1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1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1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2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2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2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2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2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2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2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2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2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2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3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3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3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3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3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3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3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3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3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3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4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4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4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4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4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4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4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4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4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4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5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5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5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5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5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5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5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5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5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5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6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6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6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6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6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6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6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6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6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6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7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7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7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7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7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7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7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7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7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7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8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8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8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8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8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8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8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8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8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8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9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9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9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9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9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9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9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9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9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39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0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0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0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0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0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0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0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0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0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0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1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1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1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1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1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1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1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1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1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1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2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2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2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2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2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2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2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2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2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2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3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3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3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3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3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3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3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3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3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3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4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4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4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4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4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4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4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4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4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4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5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5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5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5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5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5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5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5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5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5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6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6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6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6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6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6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6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6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6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6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7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7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7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7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7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7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7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7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7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7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8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8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8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8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8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8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8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8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8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8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9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9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9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9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9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9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9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9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9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49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0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0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0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0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0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0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0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0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0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0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1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1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1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1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1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1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1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1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1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1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2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2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2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2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2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2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2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2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2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2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3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3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3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3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3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3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3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3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3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3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4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4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4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4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4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4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4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4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4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4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5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5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5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5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5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5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5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5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5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5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6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6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6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6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6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6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6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6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6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6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7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7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7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7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7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7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7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7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7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7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8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8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8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8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8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8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8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8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8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8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9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9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9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9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9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9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9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9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9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59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0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0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0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0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0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0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0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0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0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0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1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1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1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1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1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1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1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1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1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1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2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2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2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2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2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2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2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2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2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2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3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3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3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3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3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3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3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3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3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3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4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4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4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4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4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4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4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4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4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4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5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5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5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5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5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5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5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5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5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5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6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6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6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6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6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1420346</xdr:colOff>
      <xdr:row>145</xdr:row>
      <xdr:rowOff>0</xdr:rowOff>
    </xdr:from>
    <xdr:ext cx="0" cy="28575"/>
    <xdr:sp macro="" textlink="">
      <xdr:nvSpPr>
        <xdr:cNvPr id="11665" name="Text Box 1"/>
        <xdr:cNvSpPr txBox="1">
          <a:spLocks noChangeArrowheads="1"/>
        </xdr:cNvSpPr>
      </xdr:nvSpPr>
      <xdr:spPr bwMode="auto">
        <a:xfrm>
          <a:off x="3220571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6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6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6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6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7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7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7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7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7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7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7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7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7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7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8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8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8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8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8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8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8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8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8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8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9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9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9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9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9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9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9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9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9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69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0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0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0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0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0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0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0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0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0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0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1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1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1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1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1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1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1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1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1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1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2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2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2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2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2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2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2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2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2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2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3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3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3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3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3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3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3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3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3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3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4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4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4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4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4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4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4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4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4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4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5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5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5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5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5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5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5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5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5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5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60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61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62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63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64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65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66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67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68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1769" name="Text Box 1"/>
        <xdr:cNvSpPr txBox="1">
          <a:spLocks noChangeArrowheads="1"/>
        </xdr:cNvSpPr>
      </xdr:nvSpPr>
      <xdr:spPr bwMode="auto">
        <a:xfrm>
          <a:off x="3276600" y="16573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7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7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7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7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7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7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7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7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7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7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8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8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8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8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8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8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8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8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8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8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9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9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9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9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9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9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9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9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9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79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0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0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0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0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0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0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0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0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0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0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1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1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1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1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1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1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1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1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1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1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2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2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2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2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2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2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2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2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2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2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3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3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3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3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3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3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3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3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3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3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4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4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4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4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4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4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4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4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4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4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5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5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5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5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5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5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5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5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5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5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6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6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6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6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6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6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6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6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6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6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7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7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7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7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7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7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7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7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7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7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8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8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8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8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8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8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8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8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8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8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9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9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9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9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9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9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9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9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9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89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0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0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0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0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0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0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0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0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0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0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1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1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1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1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1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1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1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1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1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1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2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2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2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2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2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2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2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2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2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2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3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3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3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3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3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3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3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3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3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3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4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4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4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4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4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4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4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4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4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4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5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5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5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5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5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5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5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5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5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5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6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196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62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63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64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65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66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67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68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69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70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71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72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73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74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75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76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77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78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79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80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81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82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83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84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85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86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87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88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89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90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91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92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93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94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95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96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97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98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1999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00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01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02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03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04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05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06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07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08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09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10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11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12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13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14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15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16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17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18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19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20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21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22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23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24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025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2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2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2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2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3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3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3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3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3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3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3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3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3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3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4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4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4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4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4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4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4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4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4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4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5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5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5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5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5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5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5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5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5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5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6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6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6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6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6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6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6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6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6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6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7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7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7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7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7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7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7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7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7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7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8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8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8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8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8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8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8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8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8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8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9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9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9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9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9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9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9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9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9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09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0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0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0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0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0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0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0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0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0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0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1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1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1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1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1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1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1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1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1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1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2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2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2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2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2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2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2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2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2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2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3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3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3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3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3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3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3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3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3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3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4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4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4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4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4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4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4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4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4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4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5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5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5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5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5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5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5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5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5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5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6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6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6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6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6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6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6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6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6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6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7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7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7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7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7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7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7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7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7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7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8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8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8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8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8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8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8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8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8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8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9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9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9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9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9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9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9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9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9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19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0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0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0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0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0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0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0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0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0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0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1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1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1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1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1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1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1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21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18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19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20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21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22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23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24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25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26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27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28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29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30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31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32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33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34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35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36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37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38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39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40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41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42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43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44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45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46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47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48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49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50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51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52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53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54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55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56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57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58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59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60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61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62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63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64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65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66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67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68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69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70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71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72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73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74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75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76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77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78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79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80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81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82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83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84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85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86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87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88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89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90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91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92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93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94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95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96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97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98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299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00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01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02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03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04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05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06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07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08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09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10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11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12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13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14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15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16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17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18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19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20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21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22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23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24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25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26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27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28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29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30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31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32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33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34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35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36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37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38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39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40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41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42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43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44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345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4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4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4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4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5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5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5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5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5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5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5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5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5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5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6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6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6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6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6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6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6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6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6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6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7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7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7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7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7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7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7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7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7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7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8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8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8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8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8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8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8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8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8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8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9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9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9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9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9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9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9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9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9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39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0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0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0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0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0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0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0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0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0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0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1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1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1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1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1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1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1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1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1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1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2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2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2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2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2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2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2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2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2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2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3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3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3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3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3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3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3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3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3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3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4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4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4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4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4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4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4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4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4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4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5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5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5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5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5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5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5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5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5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5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6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6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6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6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6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6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6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6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6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6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7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7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7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7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7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7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7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7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7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7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8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8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8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8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8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8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8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8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8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8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9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9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9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9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9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9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9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9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9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49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0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0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0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0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0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0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0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0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0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0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1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1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1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1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1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1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1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1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1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1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2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2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2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2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2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2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2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2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2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2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3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3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3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3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3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3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3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53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38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39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40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41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42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43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44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45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46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47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48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49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50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51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52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53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54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55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56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57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58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59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60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61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62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63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64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65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66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67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68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69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70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71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72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73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74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75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76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77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78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79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80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81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82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83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84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85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86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87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88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89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90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91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92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93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94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95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96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97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98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599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00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01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02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03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04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05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06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07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08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09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10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11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12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13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14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15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16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17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18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19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20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21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22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23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24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25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26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27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28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29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30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31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32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33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34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35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36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37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38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39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40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41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42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43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44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45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46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47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48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49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50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51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52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53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54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55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56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57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58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59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60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61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62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63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64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665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6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6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6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6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7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7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7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7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7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7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7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7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7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7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8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8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8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8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8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8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8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8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8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8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9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9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9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9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9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9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9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9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9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69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0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0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0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0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0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0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0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0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0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0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1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1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1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1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1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1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1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1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1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1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2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2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2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2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2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2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2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2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2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2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3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3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3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3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3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3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3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3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3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3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4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4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4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4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4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4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4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4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4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4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5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5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5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5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5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5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5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5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5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5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6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6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6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6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6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6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6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6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6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6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7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7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7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7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7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7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7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7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7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7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8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8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8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8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8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8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8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8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8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8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9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9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9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9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9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9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9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9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9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79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0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0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0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0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0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0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0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0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0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0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1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1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1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1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1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1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1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1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1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1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2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2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2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2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2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2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2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2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2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2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3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3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3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3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3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3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3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3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3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3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4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4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4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4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4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4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4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4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48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49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50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51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52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53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54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55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56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56</xdr:row>
      <xdr:rowOff>0</xdr:rowOff>
    </xdr:from>
    <xdr:to>
      <xdr:col>2</xdr:col>
      <xdr:colOff>1476375</xdr:colOff>
      <xdr:row>56</xdr:row>
      <xdr:rowOff>28575</xdr:rowOff>
    </xdr:to>
    <xdr:sp macro="" textlink="">
      <xdr:nvSpPr>
        <xdr:cNvPr id="12857" name="Text Box 1"/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58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59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60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61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62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63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64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65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66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67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68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69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70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71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72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73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74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75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76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77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78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79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80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81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82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83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84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85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86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87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88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89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90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91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92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93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94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95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96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97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98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899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00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01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02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03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04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05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06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07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08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09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10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11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12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13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14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15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16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17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18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19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20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56</xdr:row>
      <xdr:rowOff>0</xdr:rowOff>
    </xdr:from>
    <xdr:ext cx="0" cy="28575"/>
    <xdr:sp macro="" textlink="">
      <xdr:nvSpPr>
        <xdr:cNvPr id="12921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76600" y="7181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22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23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24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25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26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27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28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29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30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31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32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33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34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35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36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37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38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39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40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41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42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43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44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45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46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47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48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49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50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51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52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53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54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55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56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57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58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59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60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61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62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63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64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65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66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67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68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69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70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71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72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73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74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75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76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77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78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79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80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81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82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83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84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85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86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87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88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89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90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91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92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93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94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95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96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97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98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2999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00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01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02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03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04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05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06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07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08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09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10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11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12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13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14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15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16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17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18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19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20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21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22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23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24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25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26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27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28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29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30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31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32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33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34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35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36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37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38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39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40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41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42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43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44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45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46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47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48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49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50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51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52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53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54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55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56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57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58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59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60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61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62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63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64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65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66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67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68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69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70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71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72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73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74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75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76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77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78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79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80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81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82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83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84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85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86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87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88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89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90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91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92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93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94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95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96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97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98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099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00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01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02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03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04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05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06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07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08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09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10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11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12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13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14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15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16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17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18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19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20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21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22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23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24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25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26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27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28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29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30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31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32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33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34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35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36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37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38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39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40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41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42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43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44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45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46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47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48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49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50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51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52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53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54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55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56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57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58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59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60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61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62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63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64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65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66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67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68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69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70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71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72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73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74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75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76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77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78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79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80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81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82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83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84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85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86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87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88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89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90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91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92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93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94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95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96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97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98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199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00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01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02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03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04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05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06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07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08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09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10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11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12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13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14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15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16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17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18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19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20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21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22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23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24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25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26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27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28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29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30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31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32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33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34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35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36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37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38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39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40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41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42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43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44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45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46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47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48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49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50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51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52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53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54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55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56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57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58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59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60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61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62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63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64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65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66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67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68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69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70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71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72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73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74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75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76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77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78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79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80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81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82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83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84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85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86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87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88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89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90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91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92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93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94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95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96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97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98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299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00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01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02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03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04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05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06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07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08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09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10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11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12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13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14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15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16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17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18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19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20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21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22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23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24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25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26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27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28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29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30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31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32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33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34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35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36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37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38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39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40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41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42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43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44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45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46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47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48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49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50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51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52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53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54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55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56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57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58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59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60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61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62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63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64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65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66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67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68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69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70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71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72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73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74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75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76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77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78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79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80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81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82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83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84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85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86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87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88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89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90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91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92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93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94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95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96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97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98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399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00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01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02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03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04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05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06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07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08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09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10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11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12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13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14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15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16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17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18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19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20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21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22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23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24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25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26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27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28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29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30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31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32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33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34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35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36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37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38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39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40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41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42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43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44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45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46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47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48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49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50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51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52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53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54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55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56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57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58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59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60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61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62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63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64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65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66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67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68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69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70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71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72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73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74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75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76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77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78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79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80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81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82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83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84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85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86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87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88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89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90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91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92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93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94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95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96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97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98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499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00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01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02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03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04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05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06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07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08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09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10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11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12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13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14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15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16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17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18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19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20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21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22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23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24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25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26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27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28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29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30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31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32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33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34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35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36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37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38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39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40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41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42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43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44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45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46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47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48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49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50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51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52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53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54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55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56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57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58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59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60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61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62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63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64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65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66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67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68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69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70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71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72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73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74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75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76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77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78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79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80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81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82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83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84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85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86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87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88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89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90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91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92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93" name="Text Box 1"/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94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95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96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97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98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599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00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01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02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03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04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05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06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07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08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09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10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11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12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13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14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15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16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17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18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19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20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21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22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23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24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25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26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27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28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29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30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31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32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33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34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35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36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37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38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39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40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41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42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43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44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45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46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47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48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49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50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51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52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53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54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55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56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57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58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59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60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61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62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63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64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65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66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67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68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69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70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71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72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73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74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75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76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77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78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79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80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81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82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83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84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85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86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87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88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89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90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91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92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93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94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95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96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97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98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699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00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01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02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03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04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05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06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07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08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09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10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11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12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13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14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15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16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17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18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19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20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21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3758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22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23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24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25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26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27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28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29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30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31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32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33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34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35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36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37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38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39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40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41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42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43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44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45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46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47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48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49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50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51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52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53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54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55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56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57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58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59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60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61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62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63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64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65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66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67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68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69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70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71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72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73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74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75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76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77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78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79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80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81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82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83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84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85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86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87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88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89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90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91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92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93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94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95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96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97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98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799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00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01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02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03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04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05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06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07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08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09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10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11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12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13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14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15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16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17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18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19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20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21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22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23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24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25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26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27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28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29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30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31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32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33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34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35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36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37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38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39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40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41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42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43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44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45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46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47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48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49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50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51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52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53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54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55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56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57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58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59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60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61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62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63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64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65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66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67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68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69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70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71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72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73" name="Text Box 1"/>
        <xdr:cNvSpPr txBox="1">
          <a:spLocks noChangeArrowheads="1"/>
        </xdr:cNvSpPr>
      </xdr:nvSpPr>
      <xdr:spPr bwMode="auto">
        <a:xfrm>
          <a:off x="3276600" y="40100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74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75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76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77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78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79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80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81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82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83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84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85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86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87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88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89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90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91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92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93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94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95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96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97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98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899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00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01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02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03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04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05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06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07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08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09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10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11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12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13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14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15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16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17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18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19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20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21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22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23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24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25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26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27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28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29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30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31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32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33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34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35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36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37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38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39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40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41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42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43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44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45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46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47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48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49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50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51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52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53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54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55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56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57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58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59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60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61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62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63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64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65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66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67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68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69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70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71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72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73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74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75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76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77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78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79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80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81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82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83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84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85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86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87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88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89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90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91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92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93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94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95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96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97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98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3999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4000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</xdr:row>
      <xdr:rowOff>0</xdr:rowOff>
    </xdr:from>
    <xdr:ext cx="0" cy="28575"/>
    <xdr:sp macro="" textlink="">
      <xdr:nvSpPr>
        <xdr:cNvPr id="14001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3895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02" name="Text Box 1"/>
        <xdr:cNvSpPr txBox="1">
          <a:spLocks noChangeArrowheads="1"/>
        </xdr:cNvSpPr>
      </xdr:nvSpPr>
      <xdr:spPr bwMode="auto">
        <a:xfrm>
          <a:off x="3276600" y="6410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03" name="Text Box 1"/>
        <xdr:cNvSpPr txBox="1">
          <a:spLocks noChangeArrowheads="1"/>
        </xdr:cNvSpPr>
      </xdr:nvSpPr>
      <xdr:spPr bwMode="auto">
        <a:xfrm>
          <a:off x="3276600" y="6410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04" name="Text Box 1"/>
        <xdr:cNvSpPr txBox="1">
          <a:spLocks noChangeArrowheads="1"/>
        </xdr:cNvSpPr>
      </xdr:nvSpPr>
      <xdr:spPr bwMode="auto">
        <a:xfrm>
          <a:off x="3276600" y="6410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05" name="Text Box 1"/>
        <xdr:cNvSpPr txBox="1">
          <a:spLocks noChangeArrowheads="1"/>
        </xdr:cNvSpPr>
      </xdr:nvSpPr>
      <xdr:spPr bwMode="auto">
        <a:xfrm>
          <a:off x="3276600" y="6410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06" name="Text Box 1"/>
        <xdr:cNvSpPr txBox="1">
          <a:spLocks noChangeArrowheads="1"/>
        </xdr:cNvSpPr>
      </xdr:nvSpPr>
      <xdr:spPr bwMode="auto">
        <a:xfrm>
          <a:off x="3276600" y="6410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07" name="Text Box 1"/>
        <xdr:cNvSpPr txBox="1">
          <a:spLocks noChangeArrowheads="1"/>
        </xdr:cNvSpPr>
      </xdr:nvSpPr>
      <xdr:spPr bwMode="auto">
        <a:xfrm>
          <a:off x="3276600" y="6410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08" name="Text Box 1"/>
        <xdr:cNvSpPr txBox="1">
          <a:spLocks noChangeArrowheads="1"/>
        </xdr:cNvSpPr>
      </xdr:nvSpPr>
      <xdr:spPr bwMode="auto">
        <a:xfrm>
          <a:off x="3276600" y="6410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09" name="Text Box 1"/>
        <xdr:cNvSpPr txBox="1">
          <a:spLocks noChangeArrowheads="1"/>
        </xdr:cNvSpPr>
      </xdr:nvSpPr>
      <xdr:spPr bwMode="auto">
        <a:xfrm>
          <a:off x="3276600" y="64103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10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11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12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13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14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15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16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17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18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19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20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21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22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23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24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25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26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27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28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29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30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31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32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33" name="Text Box 1"/>
        <xdr:cNvSpPr txBox="1">
          <a:spLocks noChangeArrowheads="1"/>
        </xdr:cNvSpPr>
      </xdr:nvSpPr>
      <xdr:spPr bwMode="auto">
        <a:xfrm>
          <a:off x="3276600" y="681037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34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35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36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37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38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39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40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41" name="Text Box 1"/>
        <xdr:cNvSpPr txBox="1">
          <a:spLocks noChangeArrowheads="1"/>
        </xdr:cNvSpPr>
      </xdr:nvSpPr>
      <xdr:spPr bwMode="auto">
        <a:xfrm>
          <a:off x="3276600" y="68789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42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43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44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45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46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47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48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49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50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51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52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53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54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55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56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57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58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59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60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61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62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63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64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65" name="Text Box 1"/>
        <xdr:cNvSpPr txBox="1">
          <a:spLocks noChangeArrowheads="1"/>
        </xdr:cNvSpPr>
      </xdr:nvSpPr>
      <xdr:spPr bwMode="auto">
        <a:xfrm>
          <a:off x="3276600" y="700849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66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67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68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69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70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71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72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73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74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75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76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77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78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79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80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81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82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83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84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85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86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87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88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89" name="Text Box 1"/>
        <xdr:cNvSpPr txBox="1">
          <a:spLocks noChangeArrowheads="1"/>
        </xdr:cNvSpPr>
      </xdr:nvSpPr>
      <xdr:spPr bwMode="auto">
        <a:xfrm>
          <a:off x="3276600" y="709993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90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91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92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93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94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95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96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97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98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099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00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01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02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03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04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05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06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07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08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09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10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11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12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13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14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15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16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17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18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19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20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21" name="Text Box 1"/>
        <xdr:cNvSpPr txBox="1">
          <a:spLocks noChangeArrowheads="1"/>
        </xdr:cNvSpPr>
      </xdr:nvSpPr>
      <xdr:spPr bwMode="auto">
        <a:xfrm>
          <a:off x="3276600" y="707707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22" name="Text Box 1"/>
        <xdr:cNvSpPr txBox="1">
          <a:spLocks noChangeArrowheads="1"/>
        </xdr:cNvSpPr>
      </xdr:nvSpPr>
      <xdr:spPr bwMode="auto">
        <a:xfrm>
          <a:off x="3276600" y="2573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23" name="Text Box 1"/>
        <xdr:cNvSpPr txBox="1">
          <a:spLocks noChangeArrowheads="1"/>
        </xdr:cNvSpPr>
      </xdr:nvSpPr>
      <xdr:spPr bwMode="auto">
        <a:xfrm>
          <a:off x="3276600" y="2573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24" name="Text Box 1"/>
        <xdr:cNvSpPr txBox="1">
          <a:spLocks noChangeArrowheads="1"/>
        </xdr:cNvSpPr>
      </xdr:nvSpPr>
      <xdr:spPr bwMode="auto">
        <a:xfrm>
          <a:off x="3276600" y="2573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25" name="Text Box 1"/>
        <xdr:cNvSpPr txBox="1">
          <a:spLocks noChangeArrowheads="1"/>
        </xdr:cNvSpPr>
      </xdr:nvSpPr>
      <xdr:spPr bwMode="auto">
        <a:xfrm>
          <a:off x="3276600" y="2573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26" name="Text Box 1"/>
        <xdr:cNvSpPr txBox="1">
          <a:spLocks noChangeArrowheads="1"/>
        </xdr:cNvSpPr>
      </xdr:nvSpPr>
      <xdr:spPr bwMode="auto">
        <a:xfrm>
          <a:off x="3276600" y="2573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27" name="Text Box 1"/>
        <xdr:cNvSpPr txBox="1">
          <a:spLocks noChangeArrowheads="1"/>
        </xdr:cNvSpPr>
      </xdr:nvSpPr>
      <xdr:spPr bwMode="auto">
        <a:xfrm>
          <a:off x="3276600" y="2573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28" name="Text Box 1"/>
        <xdr:cNvSpPr txBox="1">
          <a:spLocks noChangeArrowheads="1"/>
        </xdr:cNvSpPr>
      </xdr:nvSpPr>
      <xdr:spPr bwMode="auto">
        <a:xfrm>
          <a:off x="3276600" y="2573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29" name="Text Box 1"/>
        <xdr:cNvSpPr txBox="1">
          <a:spLocks noChangeArrowheads="1"/>
        </xdr:cNvSpPr>
      </xdr:nvSpPr>
      <xdr:spPr bwMode="auto">
        <a:xfrm>
          <a:off x="3276600" y="257365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30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31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32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33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34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35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36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37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38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39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40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41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42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43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44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45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46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47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48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49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50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51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52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53" name="Text Box 1"/>
        <xdr:cNvSpPr txBox="1">
          <a:spLocks noChangeArrowheads="1"/>
        </xdr:cNvSpPr>
      </xdr:nvSpPr>
      <xdr:spPr bwMode="auto">
        <a:xfrm>
          <a:off x="3276600" y="297370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54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55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56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57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58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59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60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61" name="Text Box 1"/>
        <xdr:cNvSpPr txBox="1">
          <a:spLocks noChangeArrowheads="1"/>
        </xdr:cNvSpPr>
      </xdr:nvSpPr>
      <xdr:spPr bwMode="auto">
        <a:xfrm>
          <a:off x="3276600" y="304228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62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63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64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65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66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67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68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69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70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71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72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73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74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75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76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77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78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79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80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81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82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83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84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85" name="Text Box 1"/>
        <xdr:cNvSpPr txBox="1">
          <a:spLocks noChangeArrowheads="1"/>
        </xdr:cNvSpPr>
      </xdr:nvSpPr>
      <xdr:spPr bwMode="auto">
        <a:xfrm>
          <a:off x="3276600" y="317182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86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87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88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89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90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91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92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93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94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95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96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97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98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199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00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01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02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03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04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05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06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07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08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09" name="Text Box 1"/>
        <xdr:cNvSpPr txBox="1">
          <a:spLocks noChangeArrowheads="1"/>
        </xdr:cNvSpPr>
      </xdr:nvSpPr>
      <xdr:spPr bwMode="auto">
        <a:xfrm>
          <a:off x="3276600" y="32632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10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11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12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13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14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15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16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17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18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19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20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21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22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23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24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25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26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27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28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29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30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31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32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33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34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35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36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37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38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39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40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145</xdr:row>
      <xdr:rowOff>0</xdr:rowOff>
    </xdr:from>
    <xdr:ext cx="0" cy="28575"/>
    <xdr:sp macro="" textlink="">
      <xdr:nvSpPr>
        <xdr:cNvPr id="14241" name="Text Box 1"/>
        <xdr:cNvSpPr txBox="1">
          <a:spLocks noChangeArrowheads="1"/>
        </xdr:cNvSpPr>
      </xdr:nvSpPr>
      <xdr:spPr bwMode="auto">
        <a:xfrm>
          <a:off x="3276600" y="32404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4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4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4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4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4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4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4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4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5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5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5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5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5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5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5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5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5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5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6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6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6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6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6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6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6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6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6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6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7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7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7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7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7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7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7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7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7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7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8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8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8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8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8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8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8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8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8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8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9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9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9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9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9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9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9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9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9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29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0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0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0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0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0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0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0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0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0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0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1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1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1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1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1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1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1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1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1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1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2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2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2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2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2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2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2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2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2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2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3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3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3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3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3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3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3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3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3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4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4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4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4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4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4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4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4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4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4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5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5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5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5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5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5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5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5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5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5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6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6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6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6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6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6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6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6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6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6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7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7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7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7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7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7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7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7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7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7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8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8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8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8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8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8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8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8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8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8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9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9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9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9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9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9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9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9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9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39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0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0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0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0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0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0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0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0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0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0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1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1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1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1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1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1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1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1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1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1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2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2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2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2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2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2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2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2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2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2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3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3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3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3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3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3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3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3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3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3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4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4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4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4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4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4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4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4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4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4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5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5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5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5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5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5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5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5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5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5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6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6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6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6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6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6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6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6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6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6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7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7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7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7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7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7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7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7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7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7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8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8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8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8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8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8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8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8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8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8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9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9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9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9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9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9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9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9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9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49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0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0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0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0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0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0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0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0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0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0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1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1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1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1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1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1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1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1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1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1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2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2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2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2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2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2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2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2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2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2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3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3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3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3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3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3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3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3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3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3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4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4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4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4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4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4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4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4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4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4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5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5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52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53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54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55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56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57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58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59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60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25</xdr:row>
      <xdr:rowOff>0</xdr:rowOff>
    </xdr:from>
    <xdr:to>
      <xdr:col>2</xdr:col>
      <xdr:colOff>1476375</xdr:colOff>
      <xdr:row>25</xdr:row>
      <xdr:rowOff>28575</xdr:rowOff>
    </xdr:to>
    <xdr:sp macro="" textlink="">
      <xdr:nvSpPr>
        <xdr:cNvPr id="14561" name="Text Box 1"/>
        <xdr:cNvSpPr txBox="1">
          <a:spLocks noChangeArrowheads="1"/>
        </xdr:cNvSpPr>
      </xdr:nvSpPr>
      <xdr:spPr bwMode="auto">
        <a:xfrm>
          <a:off x="3276600" y="76581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62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63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64" name="Text Box 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65" name="Text Box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66" name="Text Box 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67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68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69" name="Text Box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70" name="Text Box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71" name="Text Box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72" name="Text Box 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73" name="Text Box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74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75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76" name="Text Box 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77" name="Text Box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78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79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80" name="Text Box 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81" name="Text Box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82" name="Text Box 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83" name="Text Box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84" name="Text Box 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85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86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87" name="Text Box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88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89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90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91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92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93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94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95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96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97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98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599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00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01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02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03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04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05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06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07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08" name="Text Box 1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09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10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11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12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13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14" name="Text Box 1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15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16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17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18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19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20" name="Text Box 1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21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22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23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24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158</xdr:row>
      <xdr:rowOff>0</xdr:rowOff>
    </xdr:from>
    <xdr:ext cx="0" cy="28575"/>
    <xdr:sp macro="" textlink="">
      <xdr:nvSpPr>
        <xdr:cNvPr id="14625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3276600" y="192024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6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7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8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29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0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1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2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3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4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5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6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7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8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39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0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1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2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3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4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5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6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7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8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49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0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1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2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3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4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5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6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7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8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59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0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1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2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3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4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5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6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7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8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69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0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1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2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3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4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5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6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7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8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79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0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1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2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3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4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5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6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7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8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89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0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1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2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3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4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5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6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7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8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699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0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1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2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3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4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5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6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7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8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09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0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1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2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3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4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5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6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7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8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19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0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1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2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3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4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5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6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7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8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29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0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1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2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3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4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5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6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7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8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39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0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1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2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3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4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5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6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7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8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49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0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1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2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53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54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55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56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57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58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59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60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61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62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63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64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65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66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67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68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769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0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1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2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3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4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5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6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7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8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79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0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1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2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3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4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5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6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7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8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89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0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1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2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3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4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5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6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7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8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799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0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1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2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3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4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5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6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7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8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09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0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1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2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3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4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5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6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7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8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19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0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1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2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3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4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5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6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7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8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29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0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1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2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3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4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5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6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7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8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39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0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1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2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3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4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5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7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8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49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0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1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2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3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4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5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6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7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8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59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0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1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2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3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4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5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6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7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8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69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0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1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2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3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4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5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6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7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8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79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0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1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2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3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4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5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6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7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8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89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0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1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2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3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4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5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6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897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898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899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900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901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902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903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904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189</xdr:row>
      <xdr:rowOff>0</xdr:rowOff>
    </xdr:from>
    <xdr:ext cx="0" cy="28575"/>
    <xdr:sp macro="" textlink="">
      <xdr:nvSpPr>
        <xdr:cNvPr id="14905" name="Text Box 1"/>
        <xdr:cNvSpPr txBox="1">
          <a:spLocks noChangeArrowheads="1"/>
        </xdr:cNvSpPr>
      </xdr:nvSpPr>
      <xdr:spPr bwMode="auto">
        <a:xfrm>
          <a:off x="3276600" y="28079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6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7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8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09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0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1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2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3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4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5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6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7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8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19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0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1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2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3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4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5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6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7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8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29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0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1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2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3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4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5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6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7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8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39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0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1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2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3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4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5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6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7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8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49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0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1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2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3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4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5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6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7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8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59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0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1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2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3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4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5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6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7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8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69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0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1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2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3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4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5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6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7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8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79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0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1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2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3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4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5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6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7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8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89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0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1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2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3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4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5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6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7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8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4999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0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1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2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3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4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5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6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7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8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09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0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1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2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3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4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5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6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7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8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19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0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1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2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3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4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5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6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7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8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29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0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1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2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185</xdr:row>
      <xdr:rowOff>0</xdr:rowOff>
    </xdr:from>
    <xdr:ext cx="0" cy="28575"/>
    <xdr:sp macro="" textlink="">
      <xdr:nvSpPr>
        <xdr:cNvPr id="15033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26936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3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3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3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3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3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3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4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4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4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4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4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4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4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4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4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4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5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5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5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5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5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5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5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5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5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5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6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6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6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6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6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6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6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6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6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6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7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7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7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7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7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7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7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7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7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7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8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8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8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8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8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8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8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8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8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8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9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9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9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9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9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9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9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9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9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09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0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0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0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0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0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0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0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0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0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0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1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1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1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1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1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1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1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1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1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1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2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2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2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2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2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2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2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2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2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2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3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3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3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3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3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3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3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3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3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3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4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4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4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4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44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45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46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47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48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49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50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51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52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98</xdr:row>
      <xdr:rowOff>0</xdr:rowOff>
    </xdr:from>
    <xdr:ext cx="0" cy="28575"/>
    <xdr:sp macro="" textlink="">
      <xdr:nvSpPr>
        <xdr:cNvPr id="15153" name="Text Box 1"/>
        <xdr:cNvSpPr txBox="1">
          <a:spLocks noChangeArrowheads="1"/>
        </xdr:cNvSpPr>
      </xdr:nvSpPr>
      <xdr:spPr bwMode="auto">
        <a:xfrm>
          <a:off x="3276600" y="180975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5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5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5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5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5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5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6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6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6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6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6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6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6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6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6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6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7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7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7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7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7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7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7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7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7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7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8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8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8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8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8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8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8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8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8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8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9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9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9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9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9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9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9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9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9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19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0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0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0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0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0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0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0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0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0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0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1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1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1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1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1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1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1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1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1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1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2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2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2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2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2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2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2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2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2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2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3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3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3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3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3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3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3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3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3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3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4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4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4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4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4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4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4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4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4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4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5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5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5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5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5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5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5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5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5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5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6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6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6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6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6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6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6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6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6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6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7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7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7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7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7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7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7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7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7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7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8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8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8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8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8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8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8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8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8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8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9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9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9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9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9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9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9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9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9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29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0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0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0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0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0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0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0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0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0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0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1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1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1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1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1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1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1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1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1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1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2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2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2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2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2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2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2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2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2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2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3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3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3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3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3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3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3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3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3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3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4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4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4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4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4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4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4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4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4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4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5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5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5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5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5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5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5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5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5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5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6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6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6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6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6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6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6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6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6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7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7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7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7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7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7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7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7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7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7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8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8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8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8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8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8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8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8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8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8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9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9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9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39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9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9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9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9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9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9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0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0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0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0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0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0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0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0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0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0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1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1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1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1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1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1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1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1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1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1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2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2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2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2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2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2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2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2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2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2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3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3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3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3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3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3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3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3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3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3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4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4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4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4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4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4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4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4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4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4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5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5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5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5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5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5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5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5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5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6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6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6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6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6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6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6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6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6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6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7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7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7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7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7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7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7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7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7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7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8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8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8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8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8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8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8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8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8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8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9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9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9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9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9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9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9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9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9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49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0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0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0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0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0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0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0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0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0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0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1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1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1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1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1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1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1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1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1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1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2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2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2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2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2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2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2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2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2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2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3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3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3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3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3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3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3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3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3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3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4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4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4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4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4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4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4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4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4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4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5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5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5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5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5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5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5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5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5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5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6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6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6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6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6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6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6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6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6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6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7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7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7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7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7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7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7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7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7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7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8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8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8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8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8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8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8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8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8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8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9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9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9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9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9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9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9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9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9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59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0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0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0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0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0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0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0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0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0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0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1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1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1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1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1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1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1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1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1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1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2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2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2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2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2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2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2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2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2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2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3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3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3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3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3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3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3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3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3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3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4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4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4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4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4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4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4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4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4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4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5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5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5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5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5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5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5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5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5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5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6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6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6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6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6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6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6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6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6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6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7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7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7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7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7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7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7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7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7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7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8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8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8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8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8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8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8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8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8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8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9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9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9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9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9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9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9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9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9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69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0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0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0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0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0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0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0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0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0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0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1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1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1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1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1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1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1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1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1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1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2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2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2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2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2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2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2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2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2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2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3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3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3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3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3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3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3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3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3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3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4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4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4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4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4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4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4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4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4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4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5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5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5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5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5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5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5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5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5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5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6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6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6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6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6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6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6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6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6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6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7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7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7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7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7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7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7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7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7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7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8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8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8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8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8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8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8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8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8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8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9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9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9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9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9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9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9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9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9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79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0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1420346</xdr:colOff>
      <xdr:row>105</xdr:row>
      <xdr:rowOff>0</xdr:rowOff>
    </xdr:from>
    <xdr:ext cx="0" cy="28575"/>
    <xdr:sp macro="" textlink="">
      <xdr:nvSpPr>
        <xdr:cNvPr id="15801" name="Text Box 1"/>
        <xdr:cNvSpPr txBox="1">
          <a:spLocks noChangeArrowheads="1"/>
        </xdr:cNvSpPr>
      </xdr:nvSpPr>
      <xdr:spPr bwMode="auto">
        <a:xfrm>
          <a:off x="3220571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0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0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0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0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0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0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0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0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1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1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1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1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1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1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1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1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1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1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2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2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2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2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2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2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2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2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2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2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3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3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3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3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3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3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3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3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3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3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4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4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4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4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4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4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4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4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4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4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5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5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5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5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5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5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5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5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5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5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6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6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6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6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6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6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6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6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6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6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7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7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7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7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7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7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7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7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7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7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8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8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8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8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8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8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8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8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8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8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9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9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9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9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9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9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96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97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98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899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900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901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902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903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904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905" name="Text Box 1"/>
        <xdr:cNvSpPr txBox="1">
          <a:spLocks noChangeArrowheads="1"/>
        </xdr:cNvSpPr>
      </xdr:nvSpPr>
      <xdr:spPr bwMode="auto">
        <a:xfrm>
          <a:off x="3276600" y="18554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06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07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08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09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10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11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12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13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14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15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16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17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18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19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20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21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22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23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24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25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26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27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28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29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30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31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32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33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34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35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36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37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38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39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40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41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42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43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44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45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46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47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48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49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50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51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52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53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54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55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56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57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58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59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60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61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62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63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64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65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66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67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68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69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70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71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72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73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74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75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76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77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78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79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80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81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82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83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84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85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86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87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88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89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90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91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92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93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94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95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96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97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98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5999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00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01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02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03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04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05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06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07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08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09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10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11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12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13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14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15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16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17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18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19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20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21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22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23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24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25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26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27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28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29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30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31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32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33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34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35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36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37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38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39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40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41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42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43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44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45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46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47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48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49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50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51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52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53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54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55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56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57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58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59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60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61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62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63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64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65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66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67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68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69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70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71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72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73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74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75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76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77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78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79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80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81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82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83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84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85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86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87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88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89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90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91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92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93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94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95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96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97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98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099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00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01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02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03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04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05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06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07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08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09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10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11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12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13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14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15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16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17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18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19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20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21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22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23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24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25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26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27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28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29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30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31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32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33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34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35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36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37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38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39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40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41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42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43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44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45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46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47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48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49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50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51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52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53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54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55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56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57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58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59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60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61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62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63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64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65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66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67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68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69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70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71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72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73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74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75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76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77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78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79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80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81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82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83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84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85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86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87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88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89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90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91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92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93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94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95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96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97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98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199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00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01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02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03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04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05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06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07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08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09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10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11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12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13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14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15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16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17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18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19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20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21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22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23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24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25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2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2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2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2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3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3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3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3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3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3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3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3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3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3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4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4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4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4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4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4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4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4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4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4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5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5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5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5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5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5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5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5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5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5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6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6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6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6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6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6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6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6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6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6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7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7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7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7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7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7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7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7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7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7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8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8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8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8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8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8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8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8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8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8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9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9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9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9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9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9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9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9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9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29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0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0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0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0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0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0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0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0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0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0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1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1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1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1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1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1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1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1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1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1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2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2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2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2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2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2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2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2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2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2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3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3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3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3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3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3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3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3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3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3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4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4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4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4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4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4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4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4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4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4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5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5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5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5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5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5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5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5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5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5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6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6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6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6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6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6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6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6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6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6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7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7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7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7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7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7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7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7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7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7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8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8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8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8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8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8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8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8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8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9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9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9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9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9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9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9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9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9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39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0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0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0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0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0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0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0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0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0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0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1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1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1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1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1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1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1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1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1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1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2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2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2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2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2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2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2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2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2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2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3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3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3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3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3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3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3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3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3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3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4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4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4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4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4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4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4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4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4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4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5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5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5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5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5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5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5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5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5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5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6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6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6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6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6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6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6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6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6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6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7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7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7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7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7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7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7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7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7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7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8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8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8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8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8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8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8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8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8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8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9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9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9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9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9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9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9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9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9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49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0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0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0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0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0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0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0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0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0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0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1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1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1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1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1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1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1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1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1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1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2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2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2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2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2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2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2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2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2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2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3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3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3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3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3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3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3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3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3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3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4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4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4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4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4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4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4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4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4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4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5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5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5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5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5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5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5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5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5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5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6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6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6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6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6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6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6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6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6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6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7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7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7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7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7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7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7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7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7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7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8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8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8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8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8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8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8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8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8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8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9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9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9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9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9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9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9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9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9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59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0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0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0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0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0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0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0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0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0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0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1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1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1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1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1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1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1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1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1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1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2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2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2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2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2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2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2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2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2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2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3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3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3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1420346</xdr:colOff>
      <xdr:row>143</xdr:row>
      <xdr:rowOff>0</xdr:rowOff>
    </xdr:from>
    <xdr:ext cx="0" cy="28575"/>
    <xdr:sp macro="" textlink="">
      <xdr:nvSpPr>
        <xdr:cNvPr id="16633" name="Text Box 1"/>
        <xdr:cNvSpPr txBox="1">
          <a:spLocks noChangeArrowheads="1"/>
        </xdr:cNvSpPr>
      </xdr:nvSpPr>
      <xdr:spPr bwMode="auto">
        <a:xfrm>
          <a:off x="3220571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3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3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3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3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3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3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4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4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4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4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4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4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4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4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4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4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5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5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5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5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5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5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5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5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5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5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6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6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6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6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6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6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6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6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6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6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7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7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7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7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7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7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7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7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7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7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8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8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8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8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8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8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8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8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8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8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9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9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9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9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9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9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9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9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9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69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0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0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0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0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0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0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0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0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0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0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1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1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1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1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1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1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1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1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1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1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2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2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2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2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2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2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2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2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28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29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30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31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32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33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34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35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36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143</xdr:row>
      <xdr:rowOff>0</xdr:rowOff>
    </xdr:from>
    <xdr:ext cx="0" cy="28575"/>
    <xdr:sp macro="" textlink="">
      <xdr:nvSpPr>
        <xdr:cNvPr id="16737" name="Text Box 1"/>
        <xdr:cNvSpPr txBox="1">
          <a:spLocks noChangeArrowheads="1"/>
        </xdr:cNvSpPr>
      </xdr:nvSpPr>
      <xdr:spPr bwMode="auto">
        <a:xfrm>
          <a:off x="3276600" y="333756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16738" name="Text Box 1"/>
        <xdr:cNvSpPr txBox="1">
          <a:spLocks noChangeArrowheads="1"/>
        </xdr:cNvSpPr>
      </xdr:nvSpPr>
      <xdr:spPr bwMode="auto">
        <a:xfrm>
          <a:off x="3276600" y="2602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16739" name="Text Box 1"/>
        <xdr:cNvSpPr txBox="1">
          <a:spLocks noChangeArrowheads="1"/>
        </xdr:cNvSpPr>
      </xdr:nvSpPr>
      <xdr:spPr bwMode="auto">
        <a:xfrm>
          <a:off x="3276600" y="2602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16740" name="Text Box 1"/>
        <xdr:cNvSpPr txBox="1">
          <a:spLocks noChangeArrowheads="1"/>
        </xdr:cNvSpPr>
      </xdr:nvSpPr>
      <xdr:spPr bwMode="auto">
        <a:xfrm>
          <a:off x="3276600" y="2602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16741" name="Text Box 1"/>
        <xdr:cNvSpPr txBox="1">
          <a:spLocks noChangeArrowheads="1"/>
        </xdr:cNvSpPr>
      </xdr:nvSpPr>
      <xdr:spPr bwMode="auto">
        <a:xfrm>
          <a:off x="3276600" y="2602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16742" name="Text Box 1"/>
        <xdr:cNvSpPr txBox="1">
          <a:spLocks noChangeArrowheads="1"/>
        </xdr:cNvSpPr>
      </xdr:nvSpPr>
      <xdr:spPr bwMode="auto">
        <a:xfrm>
          <a:off x="3276600" y="2602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16743" name="Text Box 1"/>
        <xdr:cNvSpPr txBox="1">
          <a:spLocks noChangeArrowheads="1"/>
        </xdr:cNvSpPr>
      </xdr:nvSpPr>
      <xdr:spPr bwMode="auto">
        <a:xfrm>
          <a:off x="3276600" y="2602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16744" name="Text Box 1"/>
        <xdr:cNvSpPr txBox="1">
          <a:spLocks noChangeArrowheads="1"/>
        </xdr:cNvSpPr>
      </xdr:nvSpPr>
      <xdr:spPr bwMode="auto">
        <a:xfrm>
          <a:off x="3276600" y="2602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120</xdr:row>
      <xdr:rowOff>0</xdr:rowOff>
    </xdr:from>
    <xdr:ext cx="0" cy="28575"/>
    <xdr:sp macro="" textlink="">
      <xdr:nvSpPr>
        <xdr:cNvPr id="16745" name="Text Box 1"/>
        <xdr:cNvSpPr txBox="1">
          <a:spLocks noChangeArrowheads="1"/>
        </xdr:cNvSpPr>
      </xdr:nvSpPr>
      <xdr:spPr bwMode="auto">
        <a:xfrm>
          <a:off x="3276600" y="260223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46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47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48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49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50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51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52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53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54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55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56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57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58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59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60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61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62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63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64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65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66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67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68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132</xdr:row>
      <xdr:rowOff>0</xdr:rowOff>
    </xdr:from>
    <xdr:ext cx="0" cy="28575"/>
    <xdr:sp macro="" textlink="">
      <xdr:nvSpPr>
        <xdr:cNvPr id="16769" name="Text Box 1"/>
        <xdr:cNvSpPr txBox="1">
          <a:spLocks noChangeArrowheads="1"/>
        </xdr:cNvSpPr>
      </xdr:nvSpPr>
      <xdr:spPr bwMode="auto">
        <a:xfrm>
          <a:off x="3276600" y="30022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70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71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72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73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74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75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76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135</xdr:row>
      <xdr:rowOff>0</xdr:rowOff>
    </xdr:from>
    <xdr:ext cx="0" cy="28575"/>
    <xdr:sp macro="" textlink="">
      <xdr:nvSpPr>
        <xdr:cNvPr id="16777" name="Text Box 1"/>
        <xdr:cNvSpPr txBox="1">
          <a:spLocks noChangeArrowheads="1"/>
        </xdr:cNvSpPr>
      </xdr:nvSpPr>
      <xdr:spPr bwMode="auto">
        <a:xfrm>
          <a:off x="3276600" y="30708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78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79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80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81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82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83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84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85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786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787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788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789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790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791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792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793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94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95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96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97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98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799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800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138</xdr:row>
      <xdr:rowOff>0</xdr:rowOff>
    </xdr:from>
    <xdr:ext cx="0" cy="28575"/>
    <xdr:sp macro="" textlink="">
      <xdr:nvSpPr>
        <xdr:cNvPr id="16801" name="Text Box 1"/>
        <xdr:cNvSpPr txBox="1">
          <a:spLocks noChangeArrowheads="1"/>
        </xdr:cNvSpPr>
      </xdr:nvSpPr>
      <xdr:spPr bwMode="auto">
        <a:xfrm>
          <a:off x="3276600" y="320040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02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03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04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05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06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07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08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09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10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11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12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13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14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15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16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17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18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19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20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21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22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23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24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142</xdr:row>
      <xdr:rowOff>0</xdr:rowOff>
    </xdr:from>
    <xdr:ext cx="0" cy="28575"/>
    <xdr:sp macro="" textlink="">
      <xdr:nvSpPr>
        <xdr:cNvPr id="16825" name="Text Box 1"/>
        <xdr:cNvSpPr txBox="1">
          <a:spLocks noChangeArrowheads="1"/>
        </xdr:cNvSpPr>
      </xdr:nvSpPr>
      <xdr:spPr bwMode="auto">
        <a:xfrm>
          <a:off x="3276600" y="32918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26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27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28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29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30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31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32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33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34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35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36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37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38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39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40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41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42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43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44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45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46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47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48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49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50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51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52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53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54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55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56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141</xdr:row>
      <xdr:rowOff>0</xdr:rowOff>
    </xdr:from>
    <xdr:ext cx="0" cy="28575"/>
    <xdr:sp macro="" textlink="">
      <xdr:nvSpPr>
        <xdr:cNvPr id="16857" name="Text Box 1"/>
        <xdr:cNvSpPr txBox="1">
          <a:spLocks noChangeArrowheads="1"/>
        </xdr:cNvSpPr>
      </xdr:nvSpPr>
      <xdr:spPr bwMode="auto">
        <a:xfrm>
          <a:off x="3276600" y="32689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58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59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60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61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62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63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64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65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66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67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68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69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70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71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72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73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74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75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76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77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78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79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80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81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82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83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84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85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86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87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88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89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90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91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92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93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94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95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96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97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98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899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00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01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02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03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04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05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06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07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08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09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10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11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12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13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14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15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16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17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18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19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20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254</xdr:row>
      <xdr:rowOff>0</xdr:rowOff>
    </xdr:from>
    <xdr:ext cx="0" cy="28575"/>
    <xdr:sp macro="" textlink="">
      <xdr:nvSpPr>
        <xdr:cNvPr id="16921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3276600" y="60445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22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23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24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25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26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27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28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29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30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31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32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33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34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35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36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37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38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39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40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41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42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43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44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45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46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47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48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49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50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51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52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53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54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55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56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57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58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59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60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61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62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63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64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65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66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67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68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69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70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71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72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73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74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75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76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77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78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79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80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81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82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83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84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85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86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87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88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89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90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91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92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93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94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95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96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97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98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6999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00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01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02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03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04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05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06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07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08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09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10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11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12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13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14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15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16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17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18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19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20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21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22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23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24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25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26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27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28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29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30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31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32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33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34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35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36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37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38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39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40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41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42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43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44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45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46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47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48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293</xdr:row>
      <xdr:rowOff>0</xdr:rowOff>
    </xdr:from>
    <xdr:ext cx="0" cy="28575"/>
    <xdr:sp macro="" textlink="">
      <xdr:nvSpPr>
        <xdr:cNvPr id="17049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3276600" y="725043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50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51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52" name="Text Box 1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53" name="Text Box 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54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55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56" name="Text Box 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57" name="Text Box 1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58" name="Text Box 1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59" name="Text Box 1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60" name="Text Box 1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61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62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63" name="Text Box 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64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65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66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67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68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69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70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71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72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73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74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75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76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77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78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79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80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81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82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83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84" name="Text Box 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85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86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87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88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89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90" name="Text Box 1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91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92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93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94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95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96" name="Text Box 1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97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98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099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00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01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02" name="Text Box 1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03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04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05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06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07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08" name="Text Box 1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09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10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11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12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13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14" name="Text Box 1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15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16" name="Text Box 1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17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18" name="Text Box 1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19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20" name="Text Box 1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21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22" name="Text Box 1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23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24" name="Text Box 1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25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26" name="Text Box 1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27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28" name="Text Box 1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29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30" name="Text Box 1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31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32" name="Text Box 1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33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34" name="Text Box 1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35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36" name="Text Box 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37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38" name="Text Box 1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39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40" name="Text Box 1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41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42" name="Text Box 1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43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44" name="Text Box 1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45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46" name="Text Box 1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47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48" name="Text Box 1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49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50" name="Text Box 1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51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52" name="Text Box 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53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54" name="Text Box 1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55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56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57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58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59" name="Text Box 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60" name="Text Box 1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61" name="Text Box 1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62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63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64" name="Text Box 1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65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66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67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68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69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70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71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72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73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74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75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76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290</xdr:row>
      <xdr:rowOff>0</xdr:rowOff>
    </xdr:from>
    <xdr:ext cx="0" cy="28575"/>
    <xdr:sp macro="" textlink="">
      <xdr:nvSpPr>
        <xdr:cNvPr id="17177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3276600" y="71132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7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7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8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8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8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8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8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8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8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8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8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8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9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9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9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9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9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9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9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9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9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19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0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0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0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0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0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0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0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0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0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0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1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1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1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1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1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1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1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1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1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1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2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2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2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2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2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2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2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2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2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2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3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3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3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3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3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3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3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3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3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3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4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4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4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4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4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4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4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4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4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4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5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5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5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5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5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5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5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5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5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5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6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6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6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6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6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6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6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6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6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6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7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7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7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7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7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7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7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7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7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7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8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8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8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8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8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8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8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8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8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8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9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9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9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9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9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9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9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9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9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29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0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0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0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0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0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0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0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0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0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0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1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1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1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1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1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1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1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1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1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1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2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2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2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2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2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2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2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2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2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2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3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3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3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3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3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3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3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3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3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3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4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4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4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4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4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4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4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4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4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4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5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5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5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5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5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5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5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5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5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5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6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6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6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6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6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6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6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6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6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1428750</xdr:colOff>
      <xdr:row>299</xdr:row>
      <xdr:rowOff>0</xdr:rowOff>
    </xdr:from>
    <xdr:ext cx="0" cy="28575"/>
    <xdr:sp macro="" textlink="">
      <xdr:nvSpPr>
        <xdr:cNvPr id="17369" name="Text Box 1"/>
        <xdr:cNvSpPr txBox="1">
          <a:spLocks noChangeArrowheads="1"/>
        </xdr:cNvSpPr>
      </xdr:nvSpPr>
      <xdr:spPr bwMode="auto">
        <a:xfrm>
          <a:off x="3228975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7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7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7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7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7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7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7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7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7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7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8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8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8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8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8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8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8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8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8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8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9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9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9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9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9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9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9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9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9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39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0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0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0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0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0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0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0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0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0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1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1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1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1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1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1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1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1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1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1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2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2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2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2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2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2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2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2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2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2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3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3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3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3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3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3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3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3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3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3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4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4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4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4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4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4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4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4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4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4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5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5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5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5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5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5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5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5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5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5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6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6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6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6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6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6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6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6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6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6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7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7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7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7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7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7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7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7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7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7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8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8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8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8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8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8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8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8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8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8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9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9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9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9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9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9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9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9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9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49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0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0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0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0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0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0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0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0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0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0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1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1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1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1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1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1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1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1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1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1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2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2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2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2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2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2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2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2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2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2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3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3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3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3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3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3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3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3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3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3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4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4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4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4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4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4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4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4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4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4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5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5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5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5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5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5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5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5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5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5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6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6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6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6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6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6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6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6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6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6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7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7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7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7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7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7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7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7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7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7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8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8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8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8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8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8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8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8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8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8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9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9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9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9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9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9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9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9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9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59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0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0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0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0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0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0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0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0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0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0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1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1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1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1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1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1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1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1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1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1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2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2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2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2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2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2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2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2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2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2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3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3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3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3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3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3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3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3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3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3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4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4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4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4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4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4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4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4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4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4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5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5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5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5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5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5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5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5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5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5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6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6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6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6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6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6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6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6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6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6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7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7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7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7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7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7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7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7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7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7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8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8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8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8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8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8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8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8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8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8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9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9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9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9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9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9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9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9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9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69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0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0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0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0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0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0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0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0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0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0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1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1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1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1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1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1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1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1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1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1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2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2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2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2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2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2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2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2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2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2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3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3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3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3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3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3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3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3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3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3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4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4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4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4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4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4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4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4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4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4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5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5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5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5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5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5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5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5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5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5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6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6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6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6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6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6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6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6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6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6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7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7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7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7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7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7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7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7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7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7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8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8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8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8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8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8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8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8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8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8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9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9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9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9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9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9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9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9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9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79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0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0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0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0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0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0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0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0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0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0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1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1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1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1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1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1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1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1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1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1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2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2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2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2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2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2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2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2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2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2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3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3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3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3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3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3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3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3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3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3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4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4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4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4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4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4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4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4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4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4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5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5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5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5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5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5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5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5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5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5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6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6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6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6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6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6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6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6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6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6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7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7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72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73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74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75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76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77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78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79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80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299</xdr:row>
      <xdr:rowOff>0</xdr:rowOff>
    </xdr:from>
    <xdr:ext cx="0" cy="28575"/>
    <xdr:sp macro="" textlink="">
      <xdr:nvSpPr>
        <xdr:cNvPr id="17881" name="Text Box 1"/>
        <xdr:cNvSpPr txBox="1">
          <a:spLocks noChangeArrowheads="1"/>
        </xdr:cNvSpPr>
      </xdr:nvSpPr>
      <xdr:spPr bwMode="auto">
        <a:xfrm>
          <a:off x="3276600" y="743521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9"/>
  <sheetViews>
    <sheetView tabSelected="1" view="pageBreakPreview" zoomScaleNormal="100" zoomScaleSheetLayoutView="100" workbookViewId="0">
      <pane ySplit="9" topLeftCell="A374" activePane="bottomLeft" state="frozen"/>
      <selection pane="bottomLeft" activeCell="E383" sqref="E383"/>
    </sheetView>
  </sheetViews>
  <sheetFormatPr defaultRowHeight="15" x14ac:dyDescent="0.25"/>
  <cols>
    <col min="1" max="1" width="6.7109375" style="6" customWidth="1"/>
    <col min="2" max="2" width="20.28515625" style="6" customWidth="1"/>
    <col min="3" max="3" width="57.140625" style="6" customWidth="1"/>
    <col min="4" max="4" width="12.28515625" style="6" customWidth="1"/>
    <col min="5" max="5" width="12.42578125" style="6" bestFit="1" customWidth="1"/>
    <col min="6" max="6" width="14.28515625" style="6" customWidth="1"/>
    <col min="7" max="7" width="11.85546875" style="6" bestFit="1" customWidth="1"/>
    <col min="8" max="8" width="15.85546875" style="6" bestFit="1" customWidth="1"/>
    <col min="9" max="9" width="11.85546875" style="6" bestFit="1" customWidth="1"/>
    <col min="10" max="10" width="13.85546875" style="6" bestFit="1" customWidth="1"/>
    <col min="11" max="11" width="16.85546875" style="6" customWidth="1"/>
    <col min="12" max="12" width="15.140625" style="6" bestFit="1" customWidth="1"/>
    <col min="13" max="13" width="15.85546875" style="6" bestFit="1" customWidth="1"/>
    <col min="14" max="16384" width="9.140625" style="6"/>
  </cols>
  <sheetData>
    <row r="1" spans="1:13" x14ac:dyDescent="0.25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8" x14ac:dyDescent="0.25">
      <c r="A2" s="223" t="s">
        <v>137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13" ht="18" x14ac:dyDescent="0.25">
      <c r="A3" s="224" t="s">
        <v>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</row>
    <row r="4" spans="1:13" ht="18" x14ac:dyDescent="0.25">
      <c r="A4" s="224" t="s">
        <v>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</row>
    <row r="5" spans="1:13" ht="72" customHeight="1" x14ac:dyDescent="0.25">
      <c r="A5" s="225" t="s">
        <v>150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</row>
    <row r="6" spans="1:13" ht="18" x14ac:dyDescent="0.35">
      <c r="A6" s="215" t="s">
        <v>2</v>
      </c>
      <c r="B6" s="218"/>
      <c r="C6" s="218"/>
      <c r="D6" s="214">
        <f>M387</f>
        <v>0</v>
      </c>
      <c r="E6" s="214"/>
      <c r="F6" s="83" t="s">
        <v>3</v>
      </c>
      <c r="G6" s="215" t="s">
        <v>151</v>
      </c>
      <c r="H6" s="215"/>
      <c r="I6" s="215"/>
      <c r="J6" s="215"/>
      <c r="K6" s="215"/>
      <c r="L6" s="215"/>
      <c r="M6" s="84"/>
    </row>
    <row r="7" spans="1:13" ht="35.25" customHeight="1" x14ac:dyDescent="0.25">
      <c r="A7" s="216" t="s">
        <v>4</v>
      </c>
      <c r="B7" s="216" t="s">
        <v>5</v>
      </c>
      <c r="C7" s="216" t="s">
        <v>6</v>
      </c>
      <c r="D7" s="221" t="s">
        <v>7</v>
      </c>
      <c r="E7" s="221" t="s">
        <v>8</v>
      </c>
      <c r="F7" s="216" t="s">
        <v>9</v>
      </c>
      <c r="G7" s="216" t="s">
        <v>10</v>
      </c>
      <c r="H7" s="217"/>
      <c r="I7" s="216" t="s">
        <v>11</v>
      </c>
      <c r="J7" s="217"/>
      <c r="K7" s="216" t="s">
        <v>12</v>
      </c>
      <c r="L7" s="217"/>
      <c r="M7" s="85" t="s">
        <v>13</v>
      </c>
    </row>
    <row r="8" spans="1:13" ht="18" x14ac:dyDescent="0.25">
      <c r="A8" s="217"/>
      <c r="B8" s="217"/>
      <c r="C8" s="217"/>
      <c r="D8" s="217"/>
      <c r="E8" s="217"/>
      <c r="F8" s="217"/>
      <c r="G8" s="85" t="s">
        <v>14</v>
      </c>
      <c r="H8" s="85" t="s">
        <v>15</v>
      </c>
      <c r="I8" s="85" t="s">
        <v>14</v>
      </c>
      <c r="J8" s="85" t="s">
        <v>15</v>
      </c>
      <c r="K8" s="85" t="s">
        <v>14</v>
      </c>
      <c r="L8" s="85" t="s">
        <v>15</v>
      </c>
      <c r="M8" s="85" t="s">
        <v>16</v>
      </c>
    </row>
    <row r="9" spans="1:13" ht="18" x14ac:dyDescent="0.25">
      <c r="A9" s="65">
        <v>1</v>
      </c>
      <c r="B9" s="65">
        <v>2</v>
      </c>
      <c r="C9" s="65">
        <v>3</v>
      </c>
      <c r="D9" s="65">
        <v>4</v>
      </c>
      <c r="E9" s="65">
        <v>5</v>
      </c>
      <c r="F9" s="65">
        <v>6</v>
      </c>
      <c r="G9" s="65">
        <v>7</v>
      </c>
      <c r="H9" s="65">
        <v>8</v>
      </c>
      <c r="I9" s="65">
        <v>9</v>
      </c>
      <c r="J9" s="65">
        <v>10</v>
      </c>
      <c r="K9" s="65">
        <v>11</v>
      </c>
      <c r="L9" s="65">
        <v>12</v>
      </c>
      <c r="M9" s="65">
        <v>13</v>
      </c>
    </row>
    <row r="10" spans="1:13" ht="36" x14ac:dyDescent="0.25">
      <c r="A10" s="7"/>
      <c r="B10" s="7"/>
      <c r="C10" s="19" t="s">
        <v>17</v>
      </c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ht="49.5" x14ac:dyDescent="0.25">
      <c r="A11" s="60">
        <v>1</v>
      </c>
      <c r="B11" s="86" t="s">
        <v>18</v>
      </c>
      <c r="C11" s="87" t="s">
        <v>19</v>
      </c>
      <c r="D11" s="88" t="s">
        <v>20</v>
      </c>
      <c r="E11" s="10"/>
      <c r="F11" s="89">
        <v>0.42799999999999999</v>
      </c>
      <c r="G11" s="90"/>
      <c r="H11" s="90"/>
      <c r="I11" s="90"/>
      <c r="J11" s="90"/>
      <c r="K11" s="90"/>
      <c r="L11" s="90"/>
      <c r="M11" s="90"/>
    </row>
    <row r="12" spans="1:13" ht="18" x14ac:dyDescent="0.35">
      <c r="A12" s="91"/>
      <c r="B12" s="92"/>
      <c r="C12" s="93" t="s">
        <v>21</v>
      </c>
      <c r="D12" s="94" t="s">
        <v>22</v>
      </c>
      <c r="E12" s="95">
        <v>93.22</v>
      </c>
      <c r="F12" s="96">
        <f>F11*E12</f>
        <v>39.898159999999997</v>
      </c>
      <c r="G12" s="97"/>
      <c r="H12" s="97"/>
      <c r="I12" s="97"/>
      <c r="J12" s="97"/>
      <c r="K12" s="97"/>
      <c r="L12" s="97"/>
      <c r="M12" s="97"/>
    </row>
    <row r="13" spans="1:13" ht="18" x14ac:dyDescent="0.35">
      <c r="A13" s="98"/>
      <c r="B13" s="99" t="s">
        <v>23</v>
      </c>
      <c r="C13" s="99"/>
      <c r="D13" s="99"/>
      <c r="E13" s="99"/>
      <c r="F13" s="99"/>
      <c r="G13" s="99"/>
      <c r="H13" s="100"/>
      <c r="I13" s="99"/>
      <c r="J13" s="100"/>
      <c r="K13" s="99"/>
      <c r="L13" s="100"/>
      <c r="M13" s="100"/>
    </row>
    <row r="14" spans="1:13" ht="18" x14ac:dyDescent="0.35">
      <c r="A14" s="7"/>
      <c r="B14" s="7"/>
      <c r="C14" s="19" t="s">
        <v>24</v>
      </c>
      <c r="D14" s="19" t="s">
        <v>25</v>
      </c>
      <c r="E14" s="7"/>
      <c r="F14" s="7"/>
      <c r="G14" s="7"/>
      <c r="H14" s="101"/>
      <c r="I14" s="101"/>
      <c r="J14" s="101"/>
      <c r="K14" s="101"/>
      <c r="L14" s="101"/>
      <c r="M14" s="101"/>
    </row>
    <row r="15" spans="1:13" ht="18" x14ac:dyDescent="0.25">
      <c r="A15" s="7"/>
      <c r="B15" s="7"/>
      <c r="C15" s="19" t="s">
        <v>126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8" x14ac:dyDescent="0.25">
      <c r="A16" s="7"/>
      <c r="B16" s="7"/>
      <c r="C16" s="19" t="s">
        <v>145</v>
      </c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36" x14ac:dyDescent="0.25">
      <c r="A17" s="60">
        <v>1</v>
      </c>
      <c r="B17" s="9" t="s">
        <v>146</v>
      </c>
      <c r="C17" s="102" t="s">
        <v>147</v>
      </c>
      <c r="D17" s="16" t="s">
        <v>40</v>
      </c>
      <c r="E17" s="34"/>
      <c r="F17" s="34">
        <f>F173*0.3*0.05</f>
        <v>32.1</v>
      </c>
      <c r="G17" s="7"/>
      <c r="H17" s="7"/>
      <c r="I17" s="7"/>
      <c r="J17" s="7"/>
      <c r="K17" s="7"/>
      <c r="L17" s="7"/>
      <c r="M17" s="7"/>
    </row>
    <row r="18" spans="1:13" ht="18" x14ac:dyDescent="0.25">
      <c r="A18" s="60"/>
      <c r="B18" s="103"/>
      <c r="C18" s="104" t="s">
        <v>21</v>
      </c>
      <c r="D18" s="10" t="s">
        <v>22</v>
      </c>
      <c r="E18" s="17">
        <v>1.6</v>
      </c>
      <c r="F18" s="17">
        <f>E18*F17</f>
        <v>51.360000000000007</v>
      </c>
      <c r="G18" s="17"/>
      <c r="H18" s="17"/>
      <c r="I18" s="17"/>
      <c r="J18" s="17"/>
      <c r="K18" s="17"/>
      <c r="L18" s="17"/>
      <c r="M18" s="17"/>
    </row>
    <row r="19" spans="1:13" ht="18" x14ac:dyDescent="0.25">
      <c r="A19" s="60"/>
      <c r="B19" s="67" t="s">
        <v>153</v>
      </c>
      <c r="C19" s="21" t="s">
        <v>50</v>
      </c>
      <c r="D19" s="10" t="s">
        <v>30</v>
      </c>
      <c r="E19" s="17">
        <v>1.9099999999999999E-2</v>
      </c>
      <c r="F19" s="17">
        <f>E19*F17</f>
        <v>0.61311000000000004</v>
      </c>
      <c r="G19" s="17"/>
      <c r="H19" s="17"/>
      <c r="I19" s="17"/>
      <c r="J19" s="17"/>
      <c r="K19" s="90"/>
      <c r="L19" s="17"/>
      <c r="M19" s="17"/>
    </row>
    <row r="20" spans="1:13" ht="18" x14ac:dyDescent="0.25">
      <c r="A20" s="60"/>
      <c r="B20" s="35" t="s">
        <v>154</v>
      </c>
      <c r="C20" s="104" t="s">
        <v>148</v>
      </c>
      <c r="D20" s="10" t="s">
        <v>30</v>
      </c>
      <c r="E20" s="17">
        <v>0.77500000000000002</v>
      </c>
      <c r="F20" s="17">
        <f>E20*F17</f>
        <v>24.877500000000001</v>
      </c>
      <c r="G20" s="17"/>
      <c r="H20" s="17"/>
      <c r="I20" s="17"/>
      <c r="J20" s="17"/>
      <c r="K20" s="17"/>
      <c r="L20" s="17"/>
      <c r="M20" s="17"/>
    </row>
    <row r="21" spans="1:13" ht="36" x14ac:dyDescent="0.25">
      <c r="A21" s="60">
        <v>2</v>
      </c>
      <c r="B21" s="105" t="s">
        <v>31</v>
      </c>
      <c r="C21" s="26" t="s">
        <v>149</v>
      </c>
      <c r="D21" s="16" t="s">
        <v>40</v>
      </c>
      <c r="E21" s="68"/>
      <c r="F21" s="34">
        <f>F17</f>
        <v>32.1</v>
      </c>
      <c r="G21" s="63"/>
      <c r="H21" s="63"/>
      <c r="I21" s="63"/>
      <c r="J21" s="63"/>
      <c r="K21" s="63"/>
      <c r="L21" s="63"/>
      <c r="M21" s="63"/>
    </row>
    <row r="22" spans="1:13" ht="18" x14ac:dyDescent="0.25">
      <c r="A22" s="60"/>
      <c r="B22" s="62"/>
      <c r="C22" s="21" t="s">
        <v>21</v>
      </c>
      <c r="D22" s="10" t="s">
        <v>22</v>
      </c>
      <c r="E22" s="106">
        <f>15.5/1000</f>
        <v>1.55E-2</v>
      </c>
      <c r="F22" s="17">
        <f>F21*E22</f>
        <v>0.49754999999999999</v>
      </c>
      <c r="G22" s="63"/>
      <c r="H22" s="63"/>
      <c r="I22" s="64"/>
      <c r="J22" s="63"/>
      <c r="K22" s="63"/>
      <c r="L22" s="63"/>
      <c r="M22" s="63"/>
    </row>
    <row r="23" spans="1:13" ht="19.5" x14ac:dyDescent="0.25">
      <c r="A23" s="60"/>
      <c r="B23" s="35" t="s">
        <v>155</v>
      </c>
      <c r="C23" s="23" t="s">
        <v>33</v>
      </c>
      <c r="D23" s="31" t="s">
        <v>30</v>
      </c>
      <c r="E23" s="106">
        <f>34.7/1000</f>
        <v>3.4700000000000002E-2</v>
      </c>
      <c r="F23" s="17">
        <f>F21*E23</f>
        <v>1.1138700000000001</v>
      </c>
      <c r="G23" s="63"/>
      <c r="H23" s="63"/>
      <c r="I23" s="63"/>
      <c r="J23" s="63"/>
      <c r="K23" s="63"/>
      <c r="L23" s="63"/>
      <c r="M23" s="63"/>
    </row>
    <row r="24" spans="1:13" ht="18" x14ac:dyDescent="0.25">
      <c r="A24" s="60"/>
      <c r="B24" s="62"/>
      <c r="C24" s="21" t="s">
        <v>34</v>
      </c>
      <c r="D24" s="10" t="s">
        <v>25</v>
      </c>
      <c r="E24" s="106">
        <f>2.09/1000</f>
        <v>2.0899999999999998E-3</v>
      </c>
      <c r="F24" s="17">
        <f>F21*E24</f>
        <v>6.7088999999999996E-2</v>
      </c>
      <c r="G24" s="63"/>
      <c r="H24" s="63"/>
      <c r="I24" s="63"/>
      <c r="J24" s="63"/>
      <c r="K24" s="63"/>
      <c r="L24" s="63"/>
      <c r="M24" s="63"/>
    </row>
    <row r="25" spans="1:13" ht="18" x14ac:dyDescent="0.25">
      <c r="A25" s="60">
        <v>3</v>
      </c>
      <c r="B25" s="107" t="s">
        <v>156</v>
      </c>
      <c r="C25" s="26" t="s">
        <v>157</v>
      </c>
      <c r="D25" s="16" t="s">
        <v>42</v>
      </c>
      <c r="E25" s="10"/>
      <c r="F25" s="34">
        <f>F21*2.3</f>
        <v>73.83</v>
      </c>
      <c r="G25" s="17"/>
      <c r="H25" s="17"/>
      <c r="I25" s="17"/>
      <c r="J25" s="17"/>
      <c r="K25" s="17"/>
      <c r="L25" s="17"/>
      <c r="M25" s="17"/>
    </row>
    <row r="26" spans="1:13" ht="18" x14ac:dyDescent="0.25">
      <c r="A26" s="7"/>
      <c r="B26" s="13" t="s">
        <v>23</v>
      </c>
      <c r="C26" s="46"/>
      <c r="D26" s="49"/>
      <c r="E26" s="27"/>
      <c r="F26" s="17"/>
      <c r="G26" s="17"/>
      <c r="H26" s="71"/>
      <c r="I26" s="71"/>
      <c r="J26" s="71"/>
      <c r="K26" s="71"/>
      <c r="L26" s="71"/>
      <c r="M26" s="71"/>
    </row>
    <row r="27" spans="1:13" ht="18" x14ac:dyDescent="0.25">
      <c r="A27" s="7"/>
      <c r="B27" s="7"/>
      <c r="C27" s="19" t="s">
        <v>116</v>
      </c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36" x14ac:dyDescent="0.25">
      <c r="A28" s="60">
        <v>1</v>
      </c>
      <c r="B28" s="108" t="s">
        <v>26</v>
      </c>
      <c r="C28" s="109" t="s">
        <v>27</v>
      </c>
      <c r="D28" s="88" t="s">
        <v>28</v>
      </c>
      <c r="E28" s="10"/>
      <c r="F28" s="110">
        <v>828.94</v>
      </c>
      <c r="G28" s="90"/>
      <c r="H28" s="90"/>
      <c r="I28" s="90"/>
      <c r="J28" s="90"/>
      <c r="K28" s="90"/>
      <c r="L28" s="90"/>
      <c r="M28" s="90"/>
    </row>
    <row r="29" spans="1:13" ht="18" x14ac:dyDescent="0.25">
      <c r="A29" s="60"/>
      <c r="B29" s="35" t="s">
        <v>152</v>
      </c>
      <c r="C29" s="21" t="s">
        <v>39</v>
      </c>
      <c r="D29" s="111" t="s">
        <v>30</v>
      </c>
      <c r="E29" s="10">
        <v>4.7899999999999998E-2</v>
      </c>
      <c r="F29" s="112">
        <f>F28*E29</f>
        <v>39.706226000000001</v>
      </c>
      <c r="G29" s="90"/>
      <c r="H29" s="90"/>
      <c r="I29" s="90"/>
      <c r="J29" s="90"/>
      <c r="K29" s="64"/>
      <c r="L29" s="90"/>
      <c r="M29" s="90"/>
    </row>
    <row r="30" spans="1:13" ht="36" x14ac:dyDescent="0.25">
      <c r="A30" s="60">
        <v>2</v>
      </c>
      <c r="B30" s="105" t="s">
        <v>31</v>
      </c>
      <c r="C30" s="26" t="s">
        <v>32</v>
      </c>
      <c r="D30" s="16" t="s">
        <v>40</v>
      </c>
      <c r="E30" s="68"/>
      <c r="F30" s="34">
        <f>F28</f>
        <v>828.94</v>
      </c>
      <c r="G30" s="63"/>
      <c r="H30" s="63"/>
      <c r="I30" s="63"/>
      <c r="J30" s="63"/>
      <c r="K30" s="63"/>
      <c r="L30" s="63"/>
      <c r="M30" s="63"/>
    </row>
    <row r="31" spans="1:13" ht="18" x14ac:dyDescent="0.25">
      <c r="A31" s="13"/>
      <c r="B31" s="62"/>
      <c r="C31" s="21" t="s">
        <v>21</v>
      </c>
      <c r="D31" s="10" t="s">
        <v>22</v>
      </c>
      <c r="E31" s="27">
        <f>15.5/1000</f>
        <v>1.55E-2</v>
      </c>
      <c r="F31" s="17">
        <f>F30*E31</f>
        <v>12.84857</v>
      </c>
      <c r="G31" s="63"/>
      <c r="H31" s="63"/>
      <c r="I31" s="64"/>
      <c r="J31" s="63"/>
      <c r="K31" s="63"/>
      <c r="L31" s="63"/>
      <c r="M31" s="63"/>
    </row>
    <row r="32" spans="1:13" ht="19.5" x14ac:dyDescent="0.25">
      <c r="A32" s="13"/>
      <c r="B32" s="35" t="s">
        <v>155</v>
      </c>
      <c r="C32" s="23" t="s">
        <v>33</v>
      </c>
      <c r="D32" s="31" t="s">
        <v>30</v>
      </c>
      <c r="E32" s="27">
        <f>34.7/1000</f>
        <v>3.4700000000000002E-2</v>
      </c>
      <c r="F32" s="17">
        <f>F30*E32</f>
        <v>28.764218000000003</v>
      </c>
      <c r="G32" s="63"/>
      <c r="H32" s="63"/>
      <c r="I32" s="63"/>
      <c r="J32" s="63"/>
      <c r="K32" s="63"/>
      <c r="L32" s="63"/>
      <c r="M32" s="63"/>
    </row>
    <row r="33" spans="1:13" ht="18" x14ac:dyDescent="0.25">
      <c r="A33" s="13"/>
      <c r="B33" s="62"/>
      <c r="C33" s="21" t="s">
        <v>34</v>
      </c>
      <c r="D33" s="10" t="s">
        <v>25</v>
      </c>
      <c r="E33" s="27">
        <f>2.09/1000</f>
        <v>2.0899999999999998E-3</v>
      </c>
      <c r="F33" s="17">
        <f>F30*E33</f>
        <v>1.7324846</v>
      </c>
      <c r="G33" s="63"/>
      <c r="H33" s="63"/>
      <c r="I33" s="63"/>
      <c r="J33" s="63"/>
      <c r="K33" s="63"/>
      <c r="L33" s="63"/>
      <c r="M33" s="63"/>
    </row>
    <row r="34" spans="1:13" ht="18" x14ac:dyDescent="0.25">
      <c r="A34" s="65">
        <v>3</v>
      </c>
      <c r="B34" s="35" t="s">
        <v>156</v>
      </c>
      <c r="C34" s="26" t="s">
        <v>158</v>
      </c>
      <c r="D34" s="16" t="s">
        <v>42</v>
      </c>
      <c r="E34" s="16"/>
      <c r="F34" s="34">
        <f>F30*1.8</f>
        <v>1492.0920000000001</v>
      </c>
      <c r="G34" s="63"/>
      <c r="H34" s="63"/>
      <c r="I34" s="63"/>
      <c r="J34" s="63"/>
      <c r="K34" s="63"/>
      <c r="L34" s="63"/>
      <c r="M34" s="63"/>
    </row>
    <row r="35" spans="1:13" ht="36" x14ac:dyDescent="0.25">
      <c r="A35" s="13">
        <v>4</v>
      </c>
      <c r="B35" s="13" t="s">
        <v>36</v>
      </c>
      <c r="C35" s="26" t="s">
        <v>37</v>
      </c>
      <c r="D35" s="13" t="s">
        <v>38</v>
      </c>
      <c r="E35" s="113"/>
      <c r="F35" s="70">
        <f>F11*0.7*1000</f>
        <v>299.59999999999997</v>
      </c>
      <c r="G35" s="114"/>
      <c r="H35" s="114"/>
      <c r="I35" s="115"/>
      <c r="J35" s="114"/>
      <c r="K35" s="114"/>
      <c r="L35" s="114"/>
      <c r="M35" s="115"/>
    </row>
    <row r="36" spans="1:13" ht="18" x14ac:dyDescent="0.25">
      <c r="A36" s="13"/>
      <c r="B36" s="35" t="s">
        <v>152</v>
      </c>
      <c r="C36" s="21" t="s">
        <v>39</v>
      </c>
      <c r="D36" s="10" t="s">
        <v>30</v>
      </c>
      <c r="E36" s="22">
        <v>2.4599999999999999E-3</v>
      </c>
      <c r="F36" s="64">
        <f>E36*F35</f>
        <v>0.73701599999999989</v>
      </c>
      <c r="G36" s="115"/>
      <c r="H36" s="115"/>
      <c r="I36" s="115"/>
      <c r="J36" s="115"/>
      <c r="K36" s="64"/>
      <c r="L36" s="64"/>
      <c r="M36" s="64"/>
    </row>
    <row r="37" spans="1:13" ht="36" x14ac:dyDescent="0.25">
      <c r="A37" s="13">
        <v>5</v>
      </c>
      <c r="B37" s="13" t="s">
        <v>129</v>
      </c>
      <c r="C37" s="26" t="s">
        <v>128</v>
      </c>
      <c r="D37" s="16" t="s">
        <v>40</v>
      </c>
      <c r="E37" s="27"/>
      <c r="F37" s="70">
        <f>F35*0.1</f>
        <v>29.959999999999997</v>
      </c>
      <c r="G37" s="64"/>
      <c r="H37" s="64"/>
      <c r="I37" s="64"/>
      <c r="J37" s="64"/>
      <c r="K37" s="64"/>
      <c r="L37" s="64"/>
      <c r="M37" s="64"/>
    </row>
    <row r="38" spans="1:13" ht="18" x14ac:dyDescent="0.25">
      <c r="A38" s="13"/>
      <c r="B38" s="20"/>
      <c r="C38" s="21" t="s">
        <v>21</v>
      </c>
      <c r="D38" s="10" t="s">
        <v>22</v>
      </c>
      <c r="E38" s="22">
        <f>19.5/1000</f>
        <v>1.95E-2</v>
      </c>
      <c r="F38" s="64">
        <f>F37*E38</f>
        <v>0.58421999999999996</v>
      </c>
      <c r="G38" s="64"/>
      <c r="H38" s="64"/>
      <c r="I38" s="64"/>
      <c r="J38" s="64"/>
      <c r="K38" s="64"/>
      <c r="L38" s="64"/>
      <c r="M38" s="64"/>
    </row>
    <row r="39" spans="1:13" ht="19.5" x14ac:dyDescent="0.25">
      <c r="A39" s="13"/>
      <c r="B39" s="67" t="s">
        <v>159</v>
      </c>
      <c r="C39" s="23" t="s">
        <v>41</v>
      </c>
      <c r="D39" s="10" t="s">
        <v>30</v>
      </c>
      <c r="E39" s="22">
        <f>46.1/1000</f>
        <v>4.6100000000000002E-2</v>
      </c>
      <c r="F39" s="64">
        <f>F37*E39</f>
        <v>1.3811559999999998</v>
      </c>
      <c r="G39" s="64"/>
      <c r="H39" s="64"/>
      <c r="I39" s="64"/>
      <c r="J39" s="64"/>
      <c r="K39" s="64"/>
      <c r="L39" s="64"/>
      <c r="M39" s="64"/>
    </row>
    <row r="40" spans="1:13" ht="18" x14ac:dyDescent="0.35">
      <c r="A40" s="60"/>
      <c r="B40" s="20"/>
      <c r="C40" s="24" t="s">
        <v>34</v>
      </c>
      <c r="D40" s="10" t="s">
        <v>25</v>
      </c>
      <c r="E40" s="22">
        <f>4.63/1000</f>
        <v>4.6299999999999996E-3</v>
      </c>
      <c r="F40" s="64">
        <f>F37*E40</f>
        <v>0.13871479999999997</v>
      </c>
      <c r="G40" s="64"/>
      <c r="H40" s="64"/>
      <c r="I40" s="64"/>
      <c r="J40" s="64"/>
      <c r="K40" s="64"/>
      <c r="L40" s="64"/>
      <c r="M40" s="64"/>
    </row>
    <row r="41" spans="1:13" ht="36" x14ac:dyDescent="0.25">
      <c r="A41" s="13">
        <v>6</v>
      </c>
      <c r="B41" s="35" t="s">
        <v>156</v>
      </c>
      <c r="C41" s="26" t="s">
        <v>178</v>
      </c>
      <c r="D41" s="16" t="s">
        <v>42</v>
      </c>
      <c r="E41" s="10"/>
      <c r="F41" s="69">
        <f>F37*0.1</f>
        <v>2.996</v>
      </c>
      <c r="G41" s="64"/>
      <c r="H41" s="64"/>
      <c r="I41" s="64"/>
      <c r="J41" s="64"/>
      <c r="K41" s="64"/>
      <c r="L41" s="64"/>
      <c r="M41" s="64"/>
    </row>
    <row r="42" spans="1:13" ht="19.5" x14ac:dyDescent="0.25">
      <c r="A42" s="60">
        <v>7</v>
      </c>
      <c r="B42" s="116" t="s">
        <v>43</v>
      </c>
      <c r="C42" s="117" t="s">
        <v>44</v>
      </c>
      <c r="D42" s="118" t="s">
        <v>28</v>
      </c>
      <c r="E42" s="119"/>
      <c r="F42" s="110">
        <f>F30+F37</f>
        <v>858.90000000000009</v>
      </c>
      <c r="G42" s="120"/>
      <c r="H42" s="120"/>
      <c r="I42" s="120"/>
      <c r="J42" s="120"/>
      <c r="K42" s="120"/>
      <c r="L42" s="120"/>
      <c r="M42" s="120"/>
    </row>
    <row r="43" spans="1:13" ht="18" x14ac:dyDescent="0.25">
      <c r="A43" s="60"/>
      <c r="B43" s="121"/>
      <c r="C43" s="122" t="s">
        <v>21</v>
      </c>
      <c r="D43" s="123" t="s">
        <v>22</v>
      </c>
      <c r="E43" s="124">
        <v>3.2299999999999998E-3</v>
      </c>
      <c r="F43" s="125">
        <f>F42*E43</f>
        <v>2.7742469999999999</v>
      </c>
      <c r="G43" s="112"/>
      <c r="H43" s="112"/>
      <c r="I43" s="64"/>
      <c r="J43" s="112"/>
      <c r="K43" s="112"/>
      <c r="L43" s="112"/>
      <c r="M43" s="112"/>
    </row>
    <row r="44" spans="1:13" ht="18" x14ac:dyDescent="0.25">
      <c r="A44" s="60"/>
      <c r="B44" s="35" t="s">
        <v>152</v>
      </c>
      <c r="C44" s="21" t="s">
        <v>39</v>
      </c>
      <c r="D44" s="111" t="s">
        <v>30</v>
      </c>
      <c r="E44" s="124">
        <v>3.62E-3</v>
      </c>
      <c r="F44" s="125">
        <f>F42*E44</f>
        <v>3.1092180000000003</v>
      </c>
      <c r="G44" s="112"/>
      <c r="H44" s="112"/>
      <c r="I44" s="112"/>
      <c r="J44" s="112"/>
      <c r="K44" s="64"/>
      <c r="L44" s="112"/>
      <c r="M44" s="112"/>
    </row>
    <row r="45" spans="1:13" ht="18" x14ac:dyDescent="0.25">
      <c r="A45" s="60"/>
      <c r="B45" s="121"/>
      <c r="C45" s="122" t="s">
        <v>34</v>
      </c>
      <c r="D45" s="123" t="s">
        <v>25</v>
      </c>
      <c r="E45" s="124">
        <v>1.8000000000000001E-4</v>
      </c>
      <c r="F45" s="125">
        <f>F42*E45</f>
        <v>0.15460200000000002</v>
      </c>
      <c r="G45" s="112"/>
      <c r="H45" s="112"/>
      <c r="I45" s="112"/>
      <c r="J45" s="112"/>
      <c r="K45" s="112"/>
      <c r="L45" s="112"/>
      <c r="M45" s="112"/>
    </row>
    <row r="46" spans="1:13" ht="19.5" x14ac:dyDescent="0.25">
      <c r="A46" s="60"/>
      <c r="B46" s="67" t="s">
        <v>160</v>
      </c>
      <c r="C46" s="126" t="s">
        <v>45</v>
      </c>
      <c r="D46" s="111" t="s">
        <v>46</v>
      </c>
      <c r="E46" s="124">
        <v>4.0000000000000003E-5</v>
      </c>
      <c r="F46" s="125">
        <f>F42*E46</f>
        <v>3.4356000000000005E-2</v>
      </c>
      <c r="G46" s="112"/>
      <c r="H46" s="112"/>
      <c r="I46" s="112"/>
      <c r="J46" s="112"/>
      <c r="K46" s="112"/>
      <c r="L46" s="112"/>
      <c r="M46" s="112"/>
    </row>
    <row r="47" spans="1:13" ht="19.5" x14ac:dyDescent="0.25">
      <c r="A47" s="60">
        <v>8</v>
      </c>
      <c r="B47" s="105" t="s">
        <v>47</v>
      </c>
      <c r="C47" s="127" t="s">
        <v>48</v>
      </c>
      <c r="D47" s="128" t="s">
        <v>49</v>
      </c>
      <c r="E47" s="10"/>
      <c r="F47" s="110">
        <v>2311.1999999999998</v>
      </c>
      <c r="G47" s="90"/>
      <c r="H47" s="90"/>
      <c r="I47" s="90"/>
      <c r="J47" s="90"/>
      <c r="K47" s="90"/>
      <c r="L47" s="90"/>
      <c r="M47" s="90"/>
    </row>
    <row r="48" spans="1:13" ht="18" x14ac:dyDescent="0.25">
      <c r="A48" s="60"/>
      <c r="B48" s="67" t="s">
        <v>153</v>
      </c>
      <c r="C48" s="129" t="s">
        <v>50</v>
      </c>
      <c r="D48" s="130" t="s">
        <v>30</v>
      </c>
      <c r="E48" s="10">
        <f>0.4/1000</f>
        <v>4.0000000000000002E-4</v>
      </c>
      <c r="F48" s="112">
        <f>F47*E48</f>
        <v>0.92447999999999997</v>
      </c>
      <c r="G48" s="90"/>
      <c r="H48" s="90"/>
      <c r="I48" s="90"/>
      <c r="J48" s="90"/>
      <c r="K48" s="90"/>
      <c r="L48" s="90"/>
      <c r="M48" s="90"/>
    </row>
    <row r="49" spans="1:13" ht="18" x14ac:dyDescent="0.25">
      <c r="A49" s="60"/>
      <c r="B49" s="67" t="s">
        <v>161</v>
      </c>
      <c r="C49" s="129" t="s">
        <v>51</v>
      </c>
      <c r="D49" s="111" t="s">
        <v>30</v>
      </c>
      <c r="E49" s="10">
        <f>0.4/1000</f>
        <v>4.0000000000000002E-4</v>
      </c>
      <c r="F49" s="112">
        <f>F47*E49</f>
        <v>0.92447999999999997</v>
      </c>
      <c r="G49" s="90"/>
      <c r="H49" s="90"/>
      <c r="I49" s="90"/>
      <c r="J49" s="90"/>
      <c r="K49" s="90"/>
      <c r="L49" s="90"/>
      <c r="M49" s="90"/>
    </row>
    <row r="50" spans="1:13" ht="36" x14ac:dyDescent="0.25">
      <c r="A50" s="13">
        <v>9</v>
      </c>
      <c r="B50" s="105" t="s">
        <v>59</v>
      </c>
      <c r="C50" s="131" t="s">
        <v>60</v>
      </c>
      <c r="D50" s="16" t="s">
        <v>61</v>
      </c>
      <c r="E50" s="27"/>
      <c r="F50" s="69">
        <f>(F54+F55)</f>
        <v>100</v>
      </c>
      <c r="G50" s="64"/>
      <c r="H50" s="64"/>
      <c r="I50" s="64"/>
      <c r="J50" s="64"/>
      <c r="K50" s="64"/>
      <c r="L50" s="64"/>
      <c r="M50" s="64"/>
    </row>
    <row r="51" spans="1:13" ht="18" x14ac:dyDescent="0.25">
      <c r="A51" s="13"/>
      <c r="B51" s="35"/>
      <c r="C51" s="122" t="s">
        <v>21</v>
      </c>
      <c r="D51" s="10" t="s">
        <v>22</v>
      </c>
      <c r="E51" s="27">
        <f>95.9/1000</f>
        <v>9.5899999999999999E-2</v>
      </c>
      <c r="F51" s="112">
        <f>F50*E51</f>
        <v>9.59</v>
      </c>
      <c r="G51" s="112"/>
      <c r="H51" s="112"/>
      <c r="I51" s="64"/>
      <c r="J51" s="112"/>
      <c r="K51" s="112"/>
      <c r="L51" s="112"/>
      <c r="M51" s="112"/>
    </row>
    <row r="52" spans="1:13" ht="18" x14ac:dyDescent="0.25">
      <c r="A52" s="13"/>
      <c r="B52" s="35"/>
      <c r="C52" s="132" t="s">
        <v>34</v>
      </c>
      <c r="D52" s="31" t="s">
        <v>30</v>
      </c>
      <c r="E52" s="27">
        <f>45.2/1000</f>
        <v>4.5200000000000004E-2</v>
      </c>
      <c r="F52" s="112">
        <f>F50*E52</f>
        <v>4.5200000000000005</v>
      </c>
      <c r="G52" s="112"/>
      <c r="H52" s="112"/>
      <c r="I52" s="112"/>
      <c r="J52" s="112"/>
      <c r="K52" s="112"/>
      <c r="L52" s="112"/>
      <c r="M52" s="112"/>
    </row>
    <row r="53" spans="1:13" ht="18" x14ac:dyDescent="0.25">
      <c r="A53" s="13"/>
      <c r="B53" s="35"/>
      <c r="C53" s="10" t="s">
        <v>55</v>
      </c>
      <c r="D53" s="10"/>
      <c r="E53" s="27"/>
      <c r="F53" s="112"/>
      <c r="G53" s="112"/>
      <c r="H53" s="112"/>
      <c r="I53" s="112"/>
      <c r="J53" s="112"/>
      <c r="K53" s="112"/>
      <c r="L53" s="112"/>
      <c r="M53" s="112"/>
    </row>
    <row r="54" spans="1:13" ht="18" x14ac:dyDescent="0.25">
      <c r="A54" s="13"/>
      <c r="B54" s="35" t="s">
        <v>162</v>
      </c>
      <c r="C54" s="21" t="s">
        <v>62</v>
      </c>
      <c r="D54" s="133" t="s">
        <v>61</v>
      </c>
      <c r="E54" s="27" t="s">
        <v>63</v>
      </c>
      <c r="F54" s="112">
        <v>50</v>
      </c>
      <c r="G54" s="112"/>
      <c r="H54" s="112"/>
      <c r="I54" s="112"/>
      <c r="J54" s="112"/>
      <c r="K54" s="112"/>
      <c r="L54" s="112"/>
      <c r="M54" s="112"/>
    </row>
    <row r="55" spans="1:13" ht="18" x14ac:dyDescent="0.25">
      <c r="A55" s="13"/>
      <c r="B55" s="35" t="s">
        <v>163</v>
      </c>
      <c r="C55" s="21" t="s">
        <v>64</v>
      </c>
      <c r="D55" s="133" t="s">
        <v>61</v>
      </c>
      <c r="E55" s="27" t="s">
        <v>63</v>
      </c>
      <c r="F55" s="112">
        <v>50</v>
      </c>
      <c r="G55" s="112"/>
      <c r="H55" s="112"/>
      <c r="I55" s="112"/>
      <c r="J55" s="112"/>
      <c r="K55" s="112"/>
      <c r="L55" s="112"/>
      <c r="M55" s="112"/>
    </row>
    <row r="56" spans="1:13" ht="18" x14ac:dyDescent="0.25">
      <c r="A56" s="79"/>
      <c r="B56" s="134"/>
      <c r="C56" s="135" t="s">
        <v>65</v>
      </c>
      <c r="D56" s="136" t="s">
        <v>25</v>
      </c>
      <c r="E56" s="137">
        <f>0.6/1000</f>
        <v>5.9999999999999995E-4</v>
      </c>
      <c r="F56" s="96">
        <f>F50*E56</f>
        <v>0.06</v>
      </c>
      <c r="G56" s="96"/>
      <c r="H56" s="96"/>
      <c r="I56" s="96"/>
      <c r="J56" s="96"/>
      <c r="K56" s="96"/>
      <c r="L56" s="96"/>
      <c r="M56" s="96"/>
    </row>
    <row r="57" spans="1:13" ht="36" x14ac:dyDescent="0.25">
      <c r="A57" s="60">
        <v>10</v>
      </c>
      <c r="B57" s="116" t="s">
        <v>138</v>
      </c>
      <c r="C57" s="131" t="s">
        <v>139</v>
      </c>
      <c r="D57" s="16" t="s">
        <v>140</v>
      </c>
      <c r="E57" s="68"/>
      <c r="F57" s="34">
        <v>2</v>
      </c>
      <c r="G57" s="17"/>
      <c r="H57" s="17"/>
      <c r="I57" s="17"/>
      <c r="J57" s="17"/>
      <c r="K57" s="17"/>
      <c r="L57" s="17"/>
      <c r="M57" s="17"/>
    </row>
    <row r="58" spans="1:13" ht="18" x14ac:dyDescent="0.35">
      <c r="A58" s="60"/>
      <c r="B58" s="138"/>
      <c r="C58" s="61" t="s">
        <v>21</v>
      </c>
      <c r="D58" s="10" t="s">
        <v>22</v>
      </c>
      <c r="E58" s="27">
        <v>1.54</v>
      </c>
      <c r="F58" s="139">
        <f>F57*E58</f>
        <v>3.08</v>
      </c>
      <c r="G58" s="17"/>
      <c r="H58" s="17"/>
      <c r="I58" s="17"/>
      <c r="J58" s="17"/>
      <c r="K58" s="17"/>
      <c r="L58" s="17"/>
      <c r="M58" s="17"/>
    </row>
    <row r="59" spans="1:13" ht="18" x14ac:dyDescent="0.35">
      <c r="A59" s="60"/>
      <c r="B59" s="20"/>
      <c r="C59" s="61" t="s">
        <v>34</v>
      </c>
      <c r="D59" s="123" t="s">
        <v>25</v>
      </c>
      <c r="E59" s="27">
        <v>0.09</v>
      </c>
      <c r="F59" s="139">
        <f>F57*E59</f>
        <v>0.18</v>
      </c>
      <c r="G59" s="17"/>
      <c r="H59" s="17"/>
      <c r="I59" s="17"/>
      <c r="J59" s="17"/>
      <c r="K59" s="17"/>
      <c r="L59" s="17"/>
      <c r="M59" s="17"/>
    </row>
    <row r="60" spans="1:13" ht="18" x14ac:dyDescent="0.25">
      <c r="A60" s="60"/>
      <c r="B60" s="20"/>
      <c r="C60" s="140" t="s">
        <v>55</v>
      </c>
      <c r="D60" s="51"/>
      <c r="E60" s="10"/>
      <c r="F60" s="139"/>
      <c r="G60" s="17"/>
      <c r="H60" s="17"/>
      <c r="I60" s="17"/>
      <c r="J60" s="17"/>
      <c r="K60" s="17"/>
      <c r="L60" s="17"/>
      <c r="M60" s="17"/>
    </row>
    <row r="61" spans="1:13" ht="19.5" x14ac:dyDescent="0.25">
      <c r="A61" s="60"/>
      <c r="B61" s="67" t="s">
        <v>164</v>
      </c>
      <c r="C61" s="141" t="s">
        <v>141</v>
      </c>
      <c r="D61" s="10" t="s">
        <v>57</v>
      </c>
      <c r="E61" s="27">
        <v>1.4E-2</v>
      </c>
      <c r="F61" s="139">
        <f>F57*E61</f>
        <v>2.8000000000000001E-2</v>
      </c>
      <c r="G61" s="17"/>
      <c r="H61" s="17"/>
      <c r="I61" s="17"/>
      <c r="J61" s="17"/>
      <c r="K61" s="17"/>
      <c r="L61" s="17"/>
      <c r="M61" s="17"/>
    </row>
    <row r="62" spans="1:13" ht="18" x14ac:dyDescent="0.25">
      <c r="A62" s="7"/>
      <c r="B62" s="8" t="s">
        <v>23</v>
      </c>
      <c r="C62" s="10"/>
      <c r="D62" s="10"/>
      <c r="E62" s="10"/>
      <c r="F62" s="10"/>
      <c r="G62" s="10"/>
      <c r="H62" s="59"/>
      <c r="I62" s="59"/>
      <c r="J62" s="59"/>
      <c r="K62" s="59"/>
      <c r="L62" s="59"/>
      <c r="M62" s="59"/>
    </row>
    <row r="63" spans="1:13" ht="18" x14ac:dyDescent="0.25">
      <c r="A63" s="142"/>
      <c r="B63" s="142"/>
      <c r="C63" s="142" t="s">
        <v>66</v>
      </c>
      <c r="D63" s="143" t="s">
        <v>25</v>
      </c>
      <c r="E63" s="95"/>
      <c r="F63" s="96"/>
      <c r="G63" s="82"/>
      <c r="H63" s="82"/>
      <c r="I63" s="82"/>
      <c r="J63" s="82"/>
      <c r="K63" s="82"/>
      <c r="L63" s="82"/>
      <c r="M63" s="82"/>
    </row>
    <row r="64" spans="1:13" ht="18" x14ac:dyDescent="0.25">
      <c r="A64" s="19"/>
      <c r="B64" s="19"/>
      <c r="C64" s="19" t="s">
        <v>182</v>
      </c>
      <c r="D64" s="8"/>
      <c r="E64" s="10"/>
      <c r="F64" s="58"/>
      <c r="G64" s="59"/>
      <c r="H64" s="59"/>
      <c r="I64" s="59"/>
      <c r="J64" s="59"/>
      <c r="K64" s="59"/>
      <c r="L64" s="59"/>
      <c r="M64" s="59"/>
    </row>
    <row r="65" spans="1:13" ht="36" x14ac:dyDescent="0.25">
      <c r="A65" s="7"/>
      <c r="B65" s="8"/>
      <c r="C65" s="9" t="s">
        <v>183</v>
      </c>
      <c r="D65" s="10"/>
      <c r="E65" s="10"/>
      <c r="F65" s="11"/>
      <c r="G65" s="11"/>
      <c r="H65" s="12"/>
      <c r="I65" s="12"/>
      <c r="J65" s="12"/>
      <c r="K65" s="12"/>
      <c r="L65" s="12"/>
      <c r="M65" s="12"/>
    </row>
    <row r="66" spans="1:13" ht="37.5" x14ac:dyDescent="0.25">
      <c r="A66" s="13">
        <v>1</v>
      </c>
      <c r="B66" s="14" t="s">
        <v>184</v>
      </c>
      <c r="C66" s="15" t="s">
        <v>185</v>
      </c>
      <c r="D66" s="16" t="s">
        <v>40</v>
      </c>
      <c r="E66" s="17"/>
      <c r="F66" s="69">
        <f>F90*0.7*0.35</f>
        <v>68.844999999999985</v>
      </c>
      <c r="G66" s="64"/>
      <c r="H66" s="64"/>
      <c r="I66" s="64"/>
      <c r="J66" s="64"/>
      <c r="K66" s="64"/>
      <c r="L66" s="64"/>
      <c r="M66" s="64"/>
    </row>
    <row r="67" spans="1:13" ht="18" x14ac:dyDescent="0.25">
      <c r="A67" s="19"/>
      <c r="B67" s="20"/>
      <c r="C67" s="21" t="s">
        <v>21</v>
      </c>
      <c r="D67" s="10" t="s">
        <v>22</v>
      </c>
      <c r="E67" s="22">
        <f>34/1000</f>
        <v>3.4000000000000002E-2</v>
      </c>
      <c r="F67" s="64">
        <f>F66*E67</f>
        <v>2.3407299999999998</v>
      </c>
      <c r="G67" s="64"/>
      <c r="H67" s="64"/>
      <c r="I67" s="64"/>
      <c r="J67" s="64"/>
      <c r="K67" s="64"/>
      <c r="L67" s="64"/>
      <c r="M67" s="64"/>
    </row>
    <row r="68" spans="1:13" ht="19.5" x14ac:dyDescent="0.25">
      <c r="A68" s="19"/>
      <c r="B68" s="67" t="s">
        <v>159</v>
      </c>
      <c r="C68" s="23" t="s">
        <v>41</v>
      </c>
      <c r="D68" s="10" t="s">
        <v>30</v>
      </c>
      <c r="E68" s="22">
        <f>80.3/1000</f>
        <v>8.0299999999999996E-2</v>
      </c>
      <c r="F68" s="64">
        <f>F66*E68</f>
        <v>5.5282534999999982</v>
      </c>
      <c r="G68" s="64"/>
      <c r="H68" s="64"/>
      <c r="I68" s="64"/>
      <c r="J68" s="64"/>
      <c r="K68" s="64"/>
      <c r="L68" s="64"/>
      <c r="M68" s="64"/>
    </row>
    <row r="69" spans="1:13" ht="18" x14ac:dyDescent="0.35">
      <c r="A69" s="19"/>
      <c r="B69" s="20"/>
      <c r="C69" s="24" t="s">
        <v>34</v>
      </c>
      <c r="D69" s="10" t="s">
        <v>25</v>
      </c>
      <c r="E69" s="22">
        <f>5.63/1000</f>
        <v>5.6299999999999996E-3</v>
      </c>
      <c r="F69" s="64">
        <f>F66*E69</f>
        <v>0.3875973499999999</v>
      </c>
      <c r="G69" s="64"/>
      <c r="H69" s="64"/>
      <c r="I69" s="64"/>
      <c r="J69" s="64"/>
      <c r="K69" s="64"/>
      <c r="L69" s="64"/>
      <c r="M69" s="64"/>
    </row>
    <row r="70" spans="1:13" ht="36" x14ac:dyDescent="0.25">
      <c r="A70" s="13">
        <v>2</v>
      </c>
      <c r="B70" s="25" t="s">
        <v>186</v>
      </c>
      <c r="C70" s="26" t="s">
        <v>187</v>
      </c>
      <c r="D70" s="16" t="s">
        <v>40</v>
      </c>
      <c r="E70" s="27"/>
      <c r="F70" s="69">
        <f>F66*10/100</f>
        <v>6.8844999999999983</v>
      </c>
      <c r="G70" s="64"/>
      <c r="H70" s="64"/>
      <c r="I70" s="64"/>
      <c r="J70" s="64"/>
      <c r="K70" s="64"/>
      <c r="L70" s="64"/>
      <c r="M70" s="64"/>
    </row>
    <row r="71" spans="1:13" ht="18" x14ac:dyDescent="0.25">
      <c r="A71" s="19"/>
      <c r="B71" s="28"/>
      <c r="C71" s="29" t="s">
        <v>21</v>
      </c>
      <c r="D71" s="10" t="s">
        <v>22</v>
      </c>
      <c r="E71" s="27">
        <f>206/100</f>
        <v>2.06</v>
      </c>
      <c r="F71" s="64">
        <f>F70*E71</f>
        <v>14.182069999999996</v>
      </c>
      <c r="G71" s="64"/>
      <c r="H71" s="64"/>
      <c r="I71" s="64"/>
      <c r="J71" s="64"/>
      <c r="K71" s="64"/>
      <c r="L71" s="64"/>
      <c r="M71" s="64"/>
    </row>
    <row r="72" spans="1:13" ht="36" x14ac:dyDescent="0.25">
      <c r="A72" s="13">
        <v>3</v>
      </c>
      <c r="B72" s="25" t="s">
        <v>184</v>
      </c>
      <c r="C72" s="26" t="s">
        <v>188</v>
      </c>
      <c r="D72" s="16" t="s">
        <v>40</v>
      </c>
      <c r="E72" s="27"/>
      <c r="F72" s="69">
        <f>F66+F70</f>
        <v>75.729499999999987</v>
      </c>
      <c r="G72" s="64"/>
      <c r="H72" s="64"/>
      <c r="I72" s="64"/>
      <c r="J72" s="64"/>
      <c r="K72" s="64"/>
      <c r="L72" s="64"/>
      <c r="M72" s="64"/>
    </row>
    <row r="73" spans="1:13" ht="18" x14ac:dyDescent="0.25">
      <c r="A73" s="19"/>
      <c r="B73" s="20"/>
      <c r="C73" s="21" t="s">
        <v>21</v>
      </c>
      <c r="D73" s="10" t="s">
        <v>22</v>
      </c>
      <c r="E73" s="22">
        <f>34/1000</f>
        <v>3.4000000000000002E-2</v>
      </c>
      <c r="F73" s="64">
        <f>F72*E73</f>
        <v>2.5748029999999997</v>
      </c>
      <c r="G73" s="64"/>
      <c r="H73" s="64"/>
      <c r="I73" s="64"/>
      <c r="J73" s="64"/>
      <c r="K73" s="64"/>
      <c r="L73" s="64"/>
      <c r="M73" s="64"/>
    </row>
    <row r="74" spans="1:13" ht="19.5" x14ac:dyDescent="0.25">
      <c r="A74" s="30"/>
      <c r="B74" s="67" t="s">
        <v>159</v>
      </c>
      <c r="C74" s="23" t="s">
        <v>41</v>
      </c>
      <c r="D74" s="31" t="s">
        <v>30</v>
      </c>
      <c r="E74" s="22">
        <f>80.3/1000</f>
        <v>8.0299999999999996E-2</v>
      </c>
      <c r="F74" s="64">
        <f>F72*E74</f>
        <v>6.081078849999999</v>
      </c>
      <c r="G74" s="64"/>
      <c r="H74" s="64"/>
      <c r="I74" s="64"/>
      <c r="J74" s="64"/>
      <c r="K74" s="64"/>
      <c r="L74" s="64"/>
      <c r="M74" s="64"/>
    </row>
    <row r="75" spans="1:13" ht="18" x14ac:dyDescent="0.25">
      <c r="A75" s="19"/>
      <c r="B75" s="20"/>
      <c r="C75" s="21" t="s">
        <v>34</v>
      </c>
      <c r="D75" s="10" t="s">
        <v>25</v>
      </c>
      <c r="E75" s="22">
        <f>5.63/1000</f>
        <v>5.6299999999999996E-3</v>
      </c>
      <c r="F75" s="64">
        <f>F72*E75</f>
        <v>0.42635708499999991</v>
      </c>
      <c r="G75" s="64"/>
      <c r="H75" s="64"/>
      <c r="I75" s="64"/>
      <c r="J75" s="64"/>
      <c r="K75" s="64"/>
      <c r="L75" s="64"/>
      <c r="M75" s="64"/>
    </row>
    <row r="76" spans="1:13" ht="18" x14ac:dyDescent="0.25">
      <c r="A76" s="13">
        <v>4</v>
      </c>
      <c r="B76" s="35" t="s">
        <v>156</v>
      </c>
      <c r="C76" s="32" t="s">
        <v>189</v>
      </c>
      <c r="D76" s="33" t="s">
        <v>35</v>
      </c>
      <c r="E76" s="34"/>
      <c r="F76" s="69">
        <f>(F66+F70)*1.8</f>
        <v>136.31309999999999</v>
      </c>
      <c r="G76" s="64"/>
      <c r="H76" s="64"/>
      <c r="I76" s="64"/>
      <c r="J76" s="64"/>
      <c r="K76" s="90"/>
      <c r="L76" s="64"/>
      <c r="M76" s="64"/>
    </row>
    <row r="77" spans="1:13" ht="34.5" x14ac:dyDescent="0.25">
      <c r="A77" s="13">
        <v>5</v>
      </c>
      <c r="B77" s="13" t="s">
        <v>190</v>
      </c>
      <c r="C77" s="32" t="s">
        <v>191</v>
      </c>
      <c r="D77" s="16" t="s">
        <v>40</v>
      </c>
      <c r="E77" s="22"/>
      <c r="F77" s="69">
        <f>F90*0.7*0.1</f>
        <v>19.670000000000002</v>
      </c>
      <c r="G77" s="64"/>
      <c r="H77" s="64"/>
      <c r="I77" s="64"/>
      <c r="J77" s="64"/>
      <c r="K77" s="64"/>
      <c r="L77" s="64"/>
      <c r="M77" s="64"/>
    </row>
    <row r="78" spans="1:13" ht="18" x14ac:dyDescent="0.25">
      <c r="A78" s="19"/>
      <c r="B78" s="35"/>
      <c r="C78" s="21" t="s">
        <v>21</v>
      </c>
      <c r="D78" s="10" t="s">
        <v>22</v>
      </c>
      <c r="E78" s="22">
        <f>286/100</f>
        <v>2.86</v>
      </c>
      <c r="F78" s="64">
        <f>F77*E78</f>
        <v>56.2562</v>
      </c>
      <c r="G78" s="64"/>
      <c r="H78" s="64"/>
      <c r="I78" s="64"/>
      <c r="J78" s="64"/>
      <c r="K78" s="64"/>
      <c r="L78" s="64"/>
      <c r="M78" s="64"/>
    </row>
    <row r="79" spans="1:13" ht="18" x14ac:dyDescent="0.25">
      <c r="A79" s="19"/>
      <c r="B79" s="35"/>
      <c r="C79" s="21" t="s">
        <v>34</v>
      </c>
      <c r="D79" s="10" t="s">
        <v>25</v>
      </c>
      <c r="E79" s="22">
        <f>76/100</f>
        <v>0.76</v>
      </c>
      <c r="F79" s="64">
        <f>F77*E79</f>
        <v>14.949200000000001</v>
      </c>
      <c r="G79" s="64"/>
      <c r="H79" s="64"/>
      <c r="I79" s="64"/>
      <c r="J79" s="64"/>
      <c r="K79" s="64"/>
      <c r="L79" s="64"/>
      <c r="M79" s="64"/>
    </row>
    <row r="80" spans="1:13" ht="18" x14ac:dyDescent="0.25">
      <c r="A80" s="19"/>
      <c r="B80" s="35"/>
      <c r="C80" s="36" t="s">
        <v>55</v>
      </c>
      <c r="D80" s="33"/>
      <c r="E80" s="22"/>
      <c r="F80" s="69"/>
      <c r="G80" s="64"/>
      <c r="H80" s="64"/>
      <c r="I80" s="64"/>
      <c r="J80" s="64"/>
      <c r="K80" s="64"/>
      <c r="L80" s="64"/>
      <c r="M80" s="64"/>
    </row>
    <row r="81" spans="1:13" ht="18" x14ac:dyDescent="0.25">
      <c r="A81" s="19"/>
      <c r="B81" s="35" t="s">
        <v>192</v>
      </c>
      <c r="C81" s="37" t="s">
        <v>193</v>
      </c>
      <c r="D81" s="33"/>
      <c r="E81" s="22">
        <f>102/100</f>
        <v>1.02</v>
      </c>
      <c r="F81" s="64">
        <f>F77*E81</f>
        <v>20.063400000000001</v>
      </c>
      <c r="G81" s="64"/>
      <c r="H81" s="64"/>
      <c r="I81" s="64"/>
      <c r="J81" s="64"/>
      <c r="K81" s="64"/>
      <c r="L81" s="64"/>
      <c r="M81" s="64"/>
    </row>
    <row r="82" spans="1:13" ht="18" x14ac:dyDescent="0.35">
      <c r="A82" s="19"/>
      <c r="B82" s="35"/>
      <c r="C82" s="38" t="s">
        <v>65</v>
      </c>
      <c r="D82" s="39" t="s">
        <v>25</v>
      </c>
      <c r="E82" s="40">
        <v>1.69</v>
      </c>
      <c r="F82" s="64">
        <f>E82*F77</f>
        <v>33.2423</v>
      </c>
      <c r="G82" s="64"/>
      <c r="H82" s="64"/>
      <c r="I82" s="64"/>
      <c r="J82" s="64"/>
      <c r="K82" s="64"/>
      <c r="L82" s="64"/>
      <c r="M82" s="64"/>
    </row>
    <row r="83" spans="1:13" ht="18" x14ac:dyDescent="0.25">
      <c r="A83" s="19"/>
      <c r="B83" s="35" t="s">
        <v>156</v>
      </c>
      <c r="C83" s="23" t="s">
        <v>194</v>
      </c>
      <c r="D83" s="10" t="s">
        <v>35</v>
      </c>
      <c r="E83" s="27"/>
      <c r="F83" s="64">
        <f>F81*2.4</f>
        <v>48.152160000000002</v>
      </c>
      <c r="G83" s="64"/>
      <c r="H83" s="64"/>
      <c r="I83" s="64"/>
      <c r="J83" s="64"/>
      <c r="K83" s="64"/>
      <c r="L83" s="64"/>
      <c r="M83" s="64"/>
    </row>
    <row r="84" spans="1:13" ht="34.5" x14ac:dyDescent="0.25">
      <c r="A84" s="13">
        <v>6</v>
      </c>
      <c r="B84" s="13" t="s">
        <v>195</v>
      </c>
      <c r="C84" s="41" t="s">
        <v>196</v>
      </c>
      <c r="D84" s="13" t="s">
        <v>197</v>
      </c>
      <c r="E84" s="42"/>
      <c r="F84" s="69">
        <f>F90*0.11*1.02</f>
        <v>31.528200000000002</v>
      </c>
      <c r="G84" s="64"/>
      <c r="H84" s="64"/>
      <c r="I84" s="64"/>
      <c r="J84" s="64"/>
      <c r="K84" s="64"/>
      <c r="L84" s="64"/>
      <c r="M84" s="64"/>
    </row>
    <row r="85" spans="1:13" ht="18" x14ac:dyDescent="0.25">
      <c r="A85" s="19"/>
      <c r="B85" s="43"/>
      <c r="C85" s="21" t="s">
        <v>21</v>
      </c>
      <c r="D85" s="10" t="s">
        <v>22</v>
      </c>
      <c r="E85" s="22">
        <f>565/100</f>
        <v>5.65</v>
      </c>
      <c r="F85" s="64">
        <f>F84*E85</f>
        <v>178.13433000000003</v>
      </c>
      <c r="G85" s="64"/>
      <c r="H85" s="64"/>
      <c r="I85" s="64"/>
      <c r="J85" s="64"/>
      <c r="K85" s="64"/>
      <c r="L85" s="64"/>
      <c r="M85" s="64"/>
    </row>
    <row r="86" spans="1:13" ht="18" x14ac:dyDescent="0.25">
      <c r="A86" s="19"/>
      <c r="B86" s="35" t="s">
        <v>198</v>
      </c>
      <c r="C86" s="44" t="s">
        <v>199</v>
      </c>
      <c r="D86" s="10" t="s">
        <v>30</v>
      </c>
      <c r="E86" s="22">
        <f>82/100</f>
        <v>0.82</v>
      </c>
      <c r="F86" s="64">
        <f>F84*E86</f>
        <v>25.853124000000001</v>
      </c>
      <c r="G86" s="64"/>
      <c r="H86" s="64"/>
      <c r="I86" s="64"/>
      <c r="J86" s="64"/>
      <c r="K86" s="64"/>
      <c r="L86" s="64"/>
      <c r="M86" s="64"/>
    </row>
    <row r="87" spans="1:13" ht="18" x14ac:dyDescent="0.35">
      <c r="A87" s="19"/>
      <c r="B87" s="43"/>
      <c r="C87" s="45" t="s">
        <v>34</v>
      </c>
      <c r="D87" s="10" t="s">
        <v>25</v>
      </c>
      <c r="E87" s="22">
        <f>73/100</f>
        <v>0.73</v>
      </c>
      <c r="F87" s="64">
        <f>F84*E87</f>
        <v>23.015585999999999</v>
      </c>
      <c r="G87" s="64"/>
      <c r="H87" s="64"/>
      <c r="I87" s="64"/>
      <c r="J87" s="64"/>
      <c r="K87" s="64"/>
      <c r="L87" s="64"/>
      <c r="M87" s="64"/>
    </row>
    <row r="88" spans="1:13" ht="18" x14ac:dyDescent="0.25">
      <c r="A88" s="19"/>
      <c r="B88" s="43"/>
      <c r="C88" s="10" t="s">
        <v>55</v>
      </c>
      <c r="D88" s="10"/>
      <c r="E88" s="22"/>
      <c r="F88" s="64"/>
      <c r="G88" s="64"/>
      <c r="H88" s="64"/>
      <c r="I88" s="64"/>
      <c r="J88" s="64"/>
      <c r="K88" s="64"/>
      <c r="L88" s="64"/>
      <c r="M88" s="64"/>
    </row>
    <row r="89" spans="1:13" ht="19.5" x14ac:dyDescent="0.25">
      <c r="A89" s="19"/>
      <c r="B89" s="35" t="s">
        <v>200</v>
      </c>
      <c r="C89" s="46" t="s">
        <v>201</v>
      </c>
      <c r="D89" s="10" t="s">
        <v>57</v>
      </c>
      <c r="E89" s="22">
        <f>2.09/100</f>
        <v>2.0899999999999998E-2</v>
      </c>
      <c r="F89" s="64">
        <f>F84*E89</f>
        <v>0.65893937999999996</v>
      </c>
      <c r="G89" s="64"/>
      <c r="H89" s="64"/>
      <c r="I89" s="64"/>
      <c r="J89" s="64"/>
      <c r="K89" s="64"/>
      <c r="L89" s="64"/>
      <c r="M89" s="64"/>
    </row>
    <row r="90" spans="1:13" ht="18" x14ac:dyDescent="0.25">
      <c r="A90" s="19"/>
      <c r="B90" s="35" t="s">
        <v>202</v>
      </c>
      <c r="C90" s="47" t="s">
        <v>203</v>
      </c>
      <c r="D90" s="48" t="s">
        <v>61</v>
      </c>
      <c r="E90" s="17" t="s">
        <v>63</v>
      </c>
      <c r="F90" s="64">
        <v>281</v>
      </c>
      <c r="G90" s="64"/>
      <c r="H90" s="64"/>
      <c r="I90" s="64"/>
      <c r="J90" s="64"/>
      <c r="K90" s="64"/>
      <c r="L90" s="64"/>
      <c r="M90" s="64"/>
    </row>
    <row r="91" spans="1:13" ht="36" x14ac:dyDescent="0.25">
      <c r="A91" s="19"/>
      <c r="B91" s="35" t="s">
        <v>156</v>
      </c>
      <c r="C91" s="23" t="s">
        <v>204</v>
      </c>
      <c r="D91" s="49" t="s">
        <v>35</v>
      </c>
      <c r="E91" s="22"/>
      <c r="F91" s="64">
        <f>F84*2.5</f>
        <v>78.82050000000001</v>
      </c>
      <c r="G91" s="64"/>
      <c r="H91" s="64"/>
      <c r="I91" s="64"/>
      <c r="J91" s="64"/>
      <c r="K91" s="64"/>
      <c r="L91" s="64"/>
      <c r="M91" s="64"/>
    </row>
    <row r="92" spans="1:13" ht="51.75" x14ac:dyDescent="0.25">
      <c r="A92" s="13">
        <v>7</v>
      </c>
      <c r="B92" s="13" t="s">
        <v>205</v>
      </c>
      <c r="C92" s="41" t="s">
        <v>206</v>
      </c>
      <c r="D92" s="13" t="s">
        <v>197</v>
      </c>
      <c r="E92" s="17"/>
      <c r="F92" s="69">
        <f>F90*0.025*2</f>
        <v>14.05</v>
      </c>
      <c r="G92" s="64"/>
      <c r="H92" s="64"/>
      <c r="I92" s="64"/>
      <c r="J92" s="64"/>
      <c r="K92" s="64"/>
      <c r="L92" s="64"/>
      <c r="M92" s="64"/>
    </row>
    <row r="93" spans="1:13" ht="18" x14ac:dyDescent="0.25">
      <c r="A93" s="19"/>
      <c r="B93" s="20"/>
      <c r="C93" s="44" t="s">
        <v>21</v>
      </c>
      <c r="D93" s="10" t="s">
        <v>22</v>
      </c>
      <c r="E93" s="50">
        <f>212/100</f>
        <v>2.12</v>
      </c>
      <c r="F93" s="64">
        <f>F92*E93</f>
        <v>29.786000000000001</v>
      </c>
      <c r="G93" s="64"/>
      <c r="H93" s="64"/>
      <c r="I93" s="64"/>
      <c r="J93" s="64"/>
      <c r="K93" s="64"/>
      <c r="L93" s="64"/>
      <c r="M93" s="64"/>
    </row>
    <row r="94" spans="1:13" ht="18" x14ac:dyDescent="0.35">
      <c r="A94" s="19"/>
      <c r="B94" s="20"/>
      <c r="C94" s="45" t="s">
        <v>34</v>
      </c>
      <c r="D94" s="10" t="s">
        <v>25</v>
      </c>
      <c r="E94" s="50">
        <f>10.1/100</f>
        <v>0.10099999999999999</v>
      </c>
      <c r="F94" s="64">
        <f>F92*E94</f>
        <v>1.4190499999999999</v>
      </c>
      <c r="G94" s="64"/>
      <c r="H94" s="64"/>
      <c r="I94" s="64"/>
      <c r="J94" s="64"/>
      <c r="K94" s="64"/>
      <c r="L94" s="64"/>
      <c r="M94" s="64"/>
    </row>
    <row r="95" spans="1:13" ht="18" x14ac:dyDescent="0.25">
      <c r="A95" s="19"/>
      <c r="B95" s="20"/>
      <c r="C95" s="10" t="s">
        <v>55</v>
      </c>
      <c r="D95" s="51"/>
      <c r="E95" s="50"/>
      <c r="F95" s="64"/>
      <c r="G95" s="64"/>
      <c r="H95" s="64"/>
      <c r="I95" s="64"/>
      <c r="J95" s="64"/>
      <c r="K95" s="64"/>
      <c r="L95" s="64"/>
      <c r="M95" s="64"/>
    </row>
    <row r="96" spans="1:13" ht="48" x14ac:dyDescent="0.25">
      <c r="A96" s="19"/>
      <c r="B96" s="67" t="s">
        <v>167</v>
      </c>
      <c r="C96" s="52" t="s">
        <v>207</v>
      </c>
      <c r="D96" s="10" t="s">
        <v>57</v>
      </c>
      <c r="E96" s="50">
        <v>1.1000000000000001</v>
      </c>
      <c r="F96" s="64">
        <f>F92*E96</f>
        <v>15.455000000000002</v>
      </c>
      <c r="G96" s="64"/>
      <c r="H96" s="64"/>
      <c r="I96" s="64"/>
      <c r="J96" s="64"/>
      <c r="K96" s="64"/>
      <c r="L96" s="64"/>
      <c r="M96" s="64"/>
    </row>
    <row r="97" spans="1:13" ht="36" x14ac:dyDescent="0.25">
      <c r="A97" s="19"/>
      <c r="B97" s="35" t="s">
        <v>156</v>
      </c>
      <c r="C97" s="23" t="s">
        <v>119</v>
      </c>
      <c r="D97" s="49" t="s">
        <v>35</v>
      </c>
      <c r="E97" s="22"/>
      <c r="F97" s="64">
        <f>F96*1.6</f>
        <v>24.728000000000005</v>
      </c>
      <c r="G97" s="64"/>
      <c r="H97" s="64"/>
      <c r="I97" s="64"/>
      <c r="J97" s="64"/>
      <c r="K97" s="64"/>
      <c r="L97" s="64"/>
      <c r="M97" s="64"/>
    </row>
    <row r="98" spans="1:13" ht="18" x14ac:dyDescent="0.35">
      <c r="A98" s="19"/>
      <c r="B98" s="53" t="s">
        <v>23</v>
      </c>
      <c r="C98" s="54"/>
      <c r="D98" s="49"/>
      <c r="E98" s="22"/>
      <c r="F98" s="18"/>
      <c r="G98" s="18"/>
      <c r="H98" s="59"/>
      <c r="I98" s="59"/>
      <c r="J98" s="59"/>
      <c r="K98" s="59"/>
      <c r="L98" s="59"/>
      <c r="M98" s="59"/>
    </row>
    <row r="99" spans="1:13" ht="36" x14ac:dyDescent="0.25">
      <c r="A99" s="19"/>
      <c r="B99" s="19"/>
      <c r="C99" s="19" t="s">
        <v>208</v>
      </c>
      <c r="D99" s="8"/>
      <c r="E99" s="10"/>
      <c r="F99" s="58"/>
      <c r="G99" s="59"/>
      <c r="H99" s="59"/>
      <c r="I99" s="59"/>
      <c r="J99" s="59"/>
      <c r="K99" s="59"/>
      <c r="L99" s="59"/>
      <c r="M99" s="59"/>
    </row>
    <row r="100" spans="1:13" ht="36" x14ac:dyDescent="0.35">
      <c r="A100" s="60">
        <v>1</v>
      </c>
      <c r="B100" s="16" t="s">
        <v>230</v>
      </c>
      <c r="C100" s="162" t="s">
        <v>231</v>
      </c>
      <c r="D100" s="88" t="s">
        <v>61</v>
      </c>
      <c r="E100" s="16"/>
      <c r="F100" s="69">
        <v>5</v>
      </c>
      <c r="G100" s="201"/>
      <c r="H100" s="201"/>
      <c r="I100" s="201"/>
      <c r="J100" s="201"/>
      <c r="K100" s="201"/>
      <c r="L100" s="201"/>
      <c r="M100" s="202"/>
    </row>
    <row r="101" spans="1:13" ht="18" x14ac:dyDescent="0.25">
      <c r="A101" s="60"/>
      <c r="B101" s="203"/>
      <c r="C101" s="129" t="s">
        <v>21</v>
      </c>
      <c r="D101" s="111" t="s">
        <v>22</v>
      </c>
      <c r="E101" s="204">
        <v>0.58379999999999999</v>
      </c>
      <c r="F101" s="112">
        <f>F100*E101</f>
        <v>2.919</v>
      </c>
      <c r="G101" s="90"/>
      <c r="H101" s="90"/>
      <c r="I101" s="64"/>
      <c r="J101" s="90"/>
      <c r="K101" s="90"/>
      <c r="L101" s="90"/>
      <c r="M101" s="90"/>
    </row>
    <row r="102" spans="1:13" ht="18" x14ac:dyDescent="0.35">
      <c r="A102" s="60"/>
      <c r="B102" s="62"/>
      <c r="C102" s="205" t="s">
        <v>34</v>
      </c>
      <c r="D102" s="111" t="s">
        <v>25</v>
      </c>
      <c r="E102" s="204">
        <v>0.2898</v>
      </c>
      <c r="F102" s="112">
        <f>F100*E102</f>
        <v>1.4490000000000001</v>
      </c>
      <c r="G102" s="90"/>
      <c r="H102" s="90"/>
      <c r="I102" s="90"/>
      <c r="J102" s="90"/>
      <c r="K102" s="90"/>
      <c r="L102" s="90"/>
      <c r="M102" s="90"/>
    </row>
    <row r="103" spans="1:13" ht="18" x14ac:dyDescent="0.25">
      <c r="A103" s="60"/>
      <c r="B103" s="62"/>
      <c r="C103" s="206" t="s">
        <v>55</v>
      </c>
      <c r="D103" s="207"/>
      <c r="E103" s="208"/>
      <c r="F103" s="112"/>
      <c r="G103" s="90"/>
      <c r="H103" s="90"/>
      <c r="I103" s="90"/>
      <c r="J103" s="90"/>
      <c r="K103" s="90"/>
      <c r="L103" s="90"/>
      <c r="M103" s="90"/>
    </row>
    <row r="104" spans="1:13" ht="18" x14ac:dyDescent="0.35">
      <c r="A104" s="60"/>
      <c r="B104" s="62"/>
      <c r="C104" s="205" t="s">
        <v>65</v>
      </c>
      <c r="D104" s="111" t="s">
        <v>25</v>
      </c>
      <c r="E104" s="204">
        <v>0.13200000000000001</v>
      </c>
      <c r="F104" s="112">
        <f>F100*E104</f>
        <v>0.66</v>
      </c>
      <c r="G104" s="90"/>
      <c r="H104" s="90"/>
      <c r="I104" s="90"/>
      <c r="J104" s="90"/>
      <c r="K104" s="90"/>
      <c r="L104" s="90"/>
      <c r="M104" s="90"/>
    </row>
    <row r="105" spans="1:13" ht="36" x14ac:dyDescent="0.35">
      <c r="A105" s="60">
        <v>2</v>
      </c>
      <c r="B105" s="35" t="s">
        <v>156</v>
      </c>
      <c r="C105" s="162" t="s">
        <v>232</v>
      </c>
      <c r="D105" s="209" t="s">
        <v>35</v>
      </c>
      <c r="E105" s="210"/>
      <c r="F105" s="211">
        <f>F100*0.062</f>
        <v>0.31</v>
      </c>
      <c r="G105" s="90"/>
      <c r="H105" s="212"/>
      <c r="I105" s="90"/>
      <c r="J105" s="90"/>
      <c r="K105" s="90"/>
      <c r="L105" s="90"/>
      <c r="M105" s="90"/>
    </row>
    <row r="106" spans="1:13" ht="37.5" x14ac:dyDescent="0.25">
      <c r="A106" s="60">
        <v>3</v>
      </c>
      <c r="B106" s="13" t="s">
        <v>184</v>
      </c>
      <c r="C106" s="15" t="s">
        <v>209</v>
      </c>
      <c r="D106" s="16" t="s">
        <v>40</v>
      </c>
      <c r="E106" s="34"/>
      <c r="F106" s="66">
        <f>0.8*0.6*F129</f>
        <v>4.32</v>
      </c>
      <c r="G106" s="64"/>
      <c r="H106" s="64"/>
      <c r="I106" s="64"/>
      <c r="J106" s="64"/>
      <c r="K106" s="64"/>
      <c r="L106" s="64"/>
      <c r="M106" s="64"/>
    </row>
    <row r="107" spans="1:13" ht="18" x14ac:dyDescent="0.25">
      <c r="A107" s="60"/>
      <c r="B107" s="20"/>
      <c r="C107" s="21" t="s">
        <v>21</v>
      </c>
      <c r="D107" s="10" t="s">
        <v>22</v>
      </c>
      <c r="E107" s="22">
        <f>34/1000</f>
        <v>3.4000000000000002E-2</v>
      </c>
      <c r="F107" s="64">
        <f>F106*E107</f>
        <v>0.14688000000000001</v>
      </c>
      <c r="G107" s="64"/>
      <c r="H107" s="64"/>
      <c r="I107" s="64"/>
      <c r="J107" s="64"/>
      <c r="K107" s="64"/>
      <c r="L107" s="64"/>
      <c r="M107" s="64"/>
    </row>
    <row r="108" spans="1:13" ht="19.5" x14ac:dyDescent="0.25">
      <c r="A108" s="60"/>
      <c r="B108" s="67" t="s">
        <v>159</v>
      </c>
      <c r="C108" s="23" t="s">
        <v>41</v>
      </c>
      <c r="D108" s="10" t="s">
        <v>30</v>
      </c>
      <c r="E108" s="22">
        <f>80.3/1000</f>
        <v>8.0299999999999996E-2</v>
      </c>
      <c r="F108" s="64">
        <f>F106*E108</f>
        <v>0.34689599999999998</v>
      </c>
      <c r="G108" s="64"/>
      <c r="H108" s="64"/>
      <c r="I108" s="64"/>
      <c r="J108" s="64"/>
      <c r="K108" s="64"/>
      <c r="L108" s="64"/>
      <c r="M108" s="64"/>
    </row>
    <row r="109" spans="1:13" ht="18" x14ac:dyDescent="0.35">
      <c r="A109" s="60"/>
      <c r="B109" s="20"/>
      <c r="C109" s="24" t="s">
        <v>34</v>
      </c>
      <c r="D109" s="10" t="s">
        <v>25</v>
      </c>
      <c r="E109" s="22">
        <f>5.63/1000</f>
        <v>5.6299999999999996E-3</v>
      </c>
      <c r="F109" s="64">
        <f>F106*E109</f>
        <v>2.4321599999999999E-2</v>
      </c>
      <c r="G109" s="64"/>
      <c r="H109" s="64"/>
      <c r="I109" s="64"/>
      <c r="J109" s="64"/>
      <c r="K109" s="64"/>
      <c r="L109" s="64"/>
      <c r="M109" s="64"/>
    </row>
    <row r="110" spans="1:13" ht="36" x14ac:dyDescent="0.25">
      <c r="A110" s="60">
        <v>4</v>
      </c>
      <c r="B110" s="13" t="s">
        <v>186</v>
      </c>
      <c r="C110" s="26" t="s">
        <v>210</v>
      </c>
      <c r="D110" s="16" t="s">
        <v>40</v>
      </c>
      <c r="E110" s="68"/>
      <c r="F110" s="69">
        <f>F106*20/100</f>
        <v>0.8640000000000001</v>
      </c>
      <c r="G110" s="64"/>
      <c r="H110" s="64"/>
      <c r="I110" s="64"/>
      <c r="J110" s="64"/>
      <c r="K110" s="64"/>
      <c r="L110" s="64"/>
      <c r="M110" s="64"/>
    </row>
    <row r="111" spans="1:13" ht="18" x14ac:dyDescent="0.25">
      <c r="A111" s="60"/>
      <c r="B111" s="13"/>
      <c r="C111" s="29" t="s">
        <v>21</v>
      </c>
      <c r="D111" s="10" t="s">
        <v>22</v>
      </c>
      <c r="E111" s="27">
        <f>206/100</f>
        <v>2.06</v>
      </c>
      <c r="F111" s="64">
        <f>F110*E111</f>
        <v>1.7798400000000003</v>
      </c>
      <c r="G111" s="64"/>
      <c r="H111" s="64"/>
      <c r="I111" s="64"/>
      <c r="J111" s="64"/>
      <c r="K111" s="64"/>
      <c r="L111" s="64"/>
      <c r="M111" s="64"/>
    </row>
    <row r="112" spans="1:13" ht="36" x14ac:dyDescent="0.25">
      <c r="A112" s="60">
        <v>5</v>
      </c>
      <c r="B112" s="13" t="s">
        <v>184</v>
      </c>
      <c r="C112" s="26" t="s">
        <v>188</v>
      </c>
      <c r="D112" s="16" t="s">
        <v>40</v>
      </c>
      <c r="E112" s="68"/>
      <c r="F112" s="69">
        <f>F106+F110</f>
        <v>5.1840000000000002</v>
      </c>
      <c r="G112" s="64"/>
      <c r="H112" s="64"/>
      <c r="I112" s="64"/>
      <c r="J112" s="64"/>
      <c r="K112" s="64"/>
      <c r="L112" s="64"/>
      <c r="M112" s="64"/>
    </row>
    <row r="113" spans="1:13" ht="18" x14ac:dyDescent="0.25">
      <c r="A113" s="60"/>
      <c r="B113" s="20"/>
      <c r="C113" s="21" t="s">
        <v>21</v>
      </c>
      <c r="D113" s="10" t="s">
        <v>22</v>
      </c>
      <c r="E113" s="22">
        <f>34/1000</f>
        <v>3.4000000000000002E-2</v>
      </c>
      <c r="F113" s="64">
        <f>F112*E113</f>
        <v>0.17625600000000002</v>
      </c>
      <c r="G113" s="64"/>
      <c r="H113" s="64"/>
      <c r="I113" s="64"/>
      <c r="J113" s="64"/>
      <c r="K113" s="64"/>
      <c r="L113" s="64"/>
      <c r="M113" s="64"/>
    </row>
    <row r="114" spans="1:13" ht="19.5" x14ac:dyDescent="0.25">
      <c r="A114" s="60"/>
      <c r="B114" s="67" t="s">
        <v>159</v>
      </c>
      <c r="C114" s="23" t="s">
        <v>41</v>
      </c>
      <c r="D114" s="31" t="s">
        <v>30</v>
      </c>
      <c r="E114" s="22">
        <f>80.3/1000</f>
        <v>8.0299999999999996E-2</v>
      </c>
      <c r="F114" s="64">
        <f>F112*E114</f>
        <v>0.41627520000000001</v>
      </c>
      <c r="G114" s="64"/>
      <c r="H114" s="64"/>
      <c r="I114" s="64"/>
      <c r="J114" s="64"/>
      <c r="K114" s="64"/>
      <c r="L114" s="64"/>
      <c r="M114" s="64"/>
    </row>
    <row r="115" spans="1:13" ht="18" x14ac:dyDescent="0.25">
      <c r="A115" s="60"/>
      <c r="B115" s="20"/>
      <c r="C115" s="21" t="s">
        <v>34</v>
      </c>
      <c r="D115" s="10" t="s">
        <v>25</v>
      </c>
      <c r="E115" s="22">
        <f>5.63/1000</f>
        <v>5.6299999999999996E-3</v>
      </c>
      <c r="F115" s="64">
        <f>F112*E115</f>
        <v>2.9185919999999997E-2</v>
      </c>
      <c r="G115" s="64"/>
      <c r="H115" s="64"/>
      <c r="I115" s="64"/>
      <c r="J115" s="64"/>
      <c r="K115" s="64"/>
      <c r="L115" s="64"/>
      <c r="M115" s="64"/>
    </row>
    <row r="116" spans="1:13" ht="34.5" x14ac:dyDescent="0.25">
      <c r="A116" s="60">
        <v>6</v>
      </c>
      <c r="B116" s="35" t="s">
        <v>156</v>
      </c>
      <c r="C116" s="32" t="s">
        <v>211</v>
      </c>
      <c r="D116" s="33" t="s">
        <v>35</v>
      </c>
      <c r="E116" s="42"/>
      <c r="F116" s="70">
        <f>(F106+F110)*1.8</f>
        <v>9.3312000000000008</v>
      </c>
      <c r="G116" s="64"/>
      <c r="H116" s="64"/>
      <c r="I116" s="64"/>
      <c r="J116" s="64"/>
      <c r="K116" s="64"/>
      <c r="L116" s="64"/>
      <c r="M116" s="64"/>
    </row>
    <row r="117" spans="1:13" ht="69" x14ac:dyDescent="0.25">
      <c r="A117" s="60">
        <v>7</v>
      </c>
      <c r="B117" s="13" t="s">
        <v>212</v>
      </c>
      <c r="C117" s="32" t="s">
        <v>213</v>
      </c>
      <c r="D117" s="13" t="s">
        <v>197</v>
      </c>
      <c r="E117" s="71"/>
      <c r="F117" s="70">
        <f>F129*0.6*0.1</f>
        <v>0.53999999999999992</v>
      </c>
      <c r="G117" s="64"/>
      <c r="H117" s="64"/>
      <c r="I117" s="64"/>
      <c r="J117" s="64"/>
      <c r="K117" s="64"/>
      <c r="L117" s="64"/>
      <c r="M117" s="64"/>
    </row>
    <row r="118" spans="1:13" ht="18" x14ac:dyDescent="0.25">
      <c r="A118" s="60"/>
      <c r="B118" s="20"/>
      <c r="C118" s="21" t="s">
        <v>21</v>
      </c>
      <c r="D118" s="10" t="s">
        <v>22</v>
      </c>
      <c r="E118" s="22">
        <f>85.5/100</f>
        <v>0.85499999999999998</v>
      </c>
      <c r="F118" s="64">
        <f>F117*E118</f>
        <v>0.46169999999999994</v>
      </c>
      <c r="G118" s="64"/>
      <c r="H118" s="64"/>
      <c r="I118" s="64"/>
      <c r="J118" s="64"/>
      <c r="K118" s="64"/>
      <c r="L118" s="64"/>
      <c r="M118" s="64"/>
    </row>
    <row r="119" spans="1:13" ht="18" x14ac:dyDescent="0.35">
      <c r="A119" s="60"/>
      <c r="B119" s="20"/>
      <c r="C119" s="24" t="s">
        <v>34</v>
      </c>
      <c r="D119" s="10" t="s">
        <v>25</v>
      </c>
      <c r="E119" s="22">
        <f>27.3/100</f>
        <v>0.27300000000000002</v>
      </c>
      <c r="F119" s="64">
        <f>F117*E119</f>
        <v>0.14742</v>
      </c>
      <c r="G119" s="64"/>
      <c r="H119" s="64"/>
      <c r="I119" s="64"/>
      <c r="J119" s="64"/>
      <c r="K119" s="64"/>
      <c r="L119" s="64"/>
      <c r="M119" s="64"/>
    </row>
    <row r="120" spans="1:13" ht="18" x14ac:dyDescent="0.25">
      <c r="A120" s="60"/>
      <c r="B120" s="20"/>
      <c r="C120" s="10" t="s">
        <v>55</v>
      </c>
      <c r="D120" s="51"/>
      <c r="E120" s="22"/>
      <c r="F120" s="64"/>
      <c r="G120" s="64"/>
      <c r="H120" s="64"/>
      <c r="I120" s="64"/>
      <c r="J120" s="64"/>
      <c r="K120" s="64"/>
      <c r="L120" s="64"/>
      <c r="M120" s="64"/>
    </row>
    <row r="121" spans="1:13" ht="33" x14ac:dyDescent="0.25">
      <c r="A121" s="60"/>
      <c r="B121" s="67" t="s">
        <v>167</v>
      </c>
      <c r="C121" s="37" t="s">
        <v>214</v>
      </c>
      <c r="D121" s="10" t="s">
        <v>57</v>
      </c>
      <c r="E121" s="22">
        <v>1.1000000000000001</v>
      </c>
      <c r="F121" s="64">
        <f>F117*E121</f>
        <v>0.59399999999999997</v>
      </c>
      <c r="G121" s="64"/>
      <c r="H121" s="64"/>
      <c r="I121" s="64"/>
      <c r="J121" s="64"/>
      <c r="K121" s="64"/>
      <c r="L121" s="64"/>
      <c r="M121" s="64"/>
    </row>
    <row r="122" spans="1:13" ht="36" x14ac:dyDescent="0.35">
      <c r="A122" s="60"/>
      <c r="B122" s="35" t="s">
        <v>156</v>
      </c>
      <c r="C122" s="54" t="s">
        <v>119</v>
      </c>
      <c r="D122" s="49" t="s">
        <v>35</v>
      </c>
      <c r="E122" s="22"/>
      <c r="F122" s="64">
        <f>F121*1.6</f>
        <v>0.95040000000000002</v>
      </c>
      <c r="G122" s="64"/>
      <c r="H122" s="64"/>
      <c r="I122" s="64"/>
      <c r="J122" s="64"/>
      <c r="K122" s="64"/>
      <c r="L122" s="64"/>
      <c r="M122" s="64"/>
    </row>
    <row r="123" spans="1:13" ht="34.5" x14ac:dyDescent="0.25">
      <c r="A123" s="60">
        <v>8</v>
      </c>
      <c r="B123" s="13" t="s">
        <v>195</v>
      </c>
      <c r="C123" s="41" t="s">
        <v>215</v>
      </c>
      <c r="D123" s="13" t="s">
        <v>197</v>
      </c>
      <c r="E123" s="42"/>
      <c r="F123" s="70">
        <f>(F129)*0.14</f>
        <v>1.2600000000000002</v>
      </c>
      <c r="G123" s="64"/>
      <c r="H123" s="64"/>
      <c r="I123" s="64"/>
      <c r="J123" s="64"/>
      <c r="K123" s="64"/>
      <c r="L123" s="64"/>
      <c r="M123" s="64"/>
    </row>
    <row r="124" spans="1:13" ht="18" x14ac:dyDescent="0.25">
      <c r="A124" s="60"/>
      <c r="B124" s="43"/>
      <c r="C124" s="21" t="s">
        <v>21</v>
      </c>
      <c r="D124" s="10" t="s">
        <v>22</v>
      </c>
      <c r="E124" s="22">
        <f>565/100</f>
        <v>5.65</v>
      </c>
      <c r="F124" s="64">
        <f>F123*E124</f>
        <v>7.1190000000000015</v>
      </c>
      <c r="G124" s="64"/>
      <c r="H124" s="64"/>
      <c r="I124" s="64"/>
      <c r="J124" s="64"/>
      <c r="K124" s="64"/>
      <c r="L124" s="64"/>
      <c r="M124" s="64"/>
    </row>
    <row r="125" spans="1:13" ht="18" x14ac:dyDescent="0.25">
      <c r="A125" s="60"/>
      <c r="B125" s="67" t="s">
        <v>216</v>
      </c>
      <c r="C125" s="44" t="s">
        <v>199</v>
      </c>
      <c r="D125" s="10" t="s">
        <v>30</v>
      </c>
      <c r="E125" s="22">
        <f>82/100</f>
        <v>0.82</v>
      </c>
      <c r="F125" s="64">
        <f>F123*E125</f>
        <v>1.0332000000000001</v>
      </c>
      <c r="G125" s="64"/>
      <c r="H125" s="64"/>
      <c r="I125" s="64"/>
      <c r="J125" s="64"/>
      <c r="K125" s="64"/>
      <c r="L125" s="64"/>
      <c r="M125" s="64"/>
    </row>
    <row r="126" spans="1:13" ht="18" x14ac:dyDescent="0.35">
      <c r="A126" s="60"/>
      <c r="B126" s="43"/>
      <c r="C126" s="45" t="s">
        <v>217</v>
      </c>
      <c r="D126" s="10" t="s">
        <v>25</v>
      </c>
      <c r="E126" s="22">
        <f>73/100</f>
        <v>0.73</v>
      </c>
      <c r="F126" s="64">
        <f>F123*E126</f>
        <v>0.91980000000000017</v>
      </c>
      <c r="G126" s="72"/>
      <c r="H126" s="72"/>
      <c r="I126" s="64"/>
      <c r="J126" s="64"/>
      <c r="K126" s="64"/>
      <c r="L126" s="64"/>
      <c r="M126" s="64"/>
    </row>
    <row r="127" spans="1:13" ht="18" x14ac:dyDescent="0.25">
      <c r="A127" s="60"/>
      <c r="B127" s="43"/>
      <c r="C127" s="10" t="s">
        <v>55</v>
      </c>
      <c r="D127" s="10"/>
      <c r="E127" s="22"/>
      <c r="F127" s="64"/>
      <c r="G127" s="64"/>
      <c r="H127" s="64"/>
      <c r="I127" s="64"/>
      <c r="J127" s="64"/>
      <c r="K127" s="64"/>
      <c r="L127" s="64"/>
      <c r="M127" s="64"/>
    </row>
    <row r="128" spans="1:13" ht="19.5" x14ac:dyDescent="0.25">
      <c r="A128" s="60"/>
      <c r="B128" s="35" t="s">
        <v>218</v>
      </c>
      <c r="C128" s="46" t="s">
        <v>201</v>
      </c>
      <c r="D128" s="10" t="s">
        <v>57</v>
      </c>
      <c r="E128" s="22">
        <f>2.09/100</f>
        <v>2.0899999999999998E-2</v>
      </c>
      <c r="F128" s="64">
        <f>F123*E128</f>
        <v>2.6334000000000003E-2</v>
      </c>
      <c r="G128" s="64"/>
      <c r="H128" s="64"/>
      <c r="I128" s="64"/>
      <c r="J128" s="64"/>
      <c r="K128" s="64"/>
      <c r="L128" s="64"/>
      <c r="M128" s="64"/>
    </row>
    <row r="129" spans="1:13" ht="18" x14ac:dyDescent="0.25">
      <c r="A129" s="60"/>
      <c r="B129" s="35" t="s">
        <v>219</v>
      </c>
      <c r="C129" s="46" t="s">
        <v>220</v>
      </c>
      <c r="D129" s="48" t="s">
        <v>61</v>
      </c>
      <c r="E129" s="17" t="s">
        <v>63</v>
      </c>
      <c r="F129" s="64">
        <v>9</v>
      </c>
      <c r="G129" s="64"/>
      <c r="H129" s="64"/>
      <c r="I129" s="64"/>
      <c r="J129" s="64"/>
      <c r="K129" s="64"/>
      <c r="L129" s="64"/>
      <c r="M129" s="64"/>
    </row>
    <row r="130" spans="1:13" ht="18" x14ac:dyDescent="0.25">
      <c r="A130" s="60"/>
      <c r="B130" s="35" t="s">
        <v>156</v>
      </c>
      <c r="C130" s="23" t="s">
        <v>221</v>
      </c>
      <c r="D130" s="49" t="s">
        <v>35</v>
      </c>
      <c r="E130" s="17"/>
      <c r="F130" s="64">
        <f>F128*2.2</f>
        <v>5.7934800000000009E-2</v>
      </c>
      <c r="G130" s="64"/>
      <c r="H130" s="64"/>
      <c r="I130" s="64"/>
      <c r="J130" s="64"/>
      <c r="K130" s="64"/>
      <c r="L130" s="64"/>
      <c r="M130" s="64"/>
    </row>
    <row r="131" spans="1:13" ht="36" x14ac:dyDescent="0.35">
      <c r="A131" s="60"/>
      <c r="B131" s="35" t="s">
        <v>156</v>
      </c>
      <c r="C131" s="73" t="s">
        <v>222</v>
      </c>
      <c r="D131" s="49" t="s">
        <v>35</v>
      </c>
      <c r="E131" s="17"/>
      <c r="F131" s="64">
        <f>F123*2.4</f>
        <v>3.0240000000000005</v>
      </c>
      <c r="G131" s="64"/>
      <c r="H131" s="64"/>
      <c r="I131" s="64"/>
      <c r="J131" s="64"/>
      <c r="K131" s="64"/>
      <c r="L131" s="64"/>
      <c r="M131" s="64"/>
    </row>
    <row r="132" spans="1:13" ht="51.75" x14ac:dyDescent="0.25">
      <c r="A132" s="60">
        <v>9</v>
      </c>
      <c r="B132" s="13" t="s">
        <v>205</v>
      </c>
      <c r="C132" s="41" t="s">
        <v>206</v>
      </c>
      <c r="D132" s="13" t="s">
        <v>197</v>
      </c>
      <c r="E132" s="71"/>
      <c r="F132" s="70">
        <f>F129*0.3*0.6</f>
        <v>1.6199999999999999</v>
      </c>
      <c r="G132" s="64"/>
      <c r="H132" s="64"/>
      <c r="I132" s="64"/>
      <c r="J132" s="64"/>
      <c r="K132" s="64"/>
      <c r="L132" s="64"/>
      <c r="M132" s="64"/>
    </row>
    <row r="133" spans="1:13" ht="18" x14ac:dyDescent="0.25">
      <c r="A133" s="60"/>
      <c r="B133" s="20"/>
      <c r="C133" s="44" t="s">
        <v>21</v>
      </c>
      <c r="D133" s="10" t="s">
        <v>22</v>
      </c>
      <c r="E133" s="50">
        <f>212/100</f>
        <v>2.12</v>
      </c>
      <c r="F133" s="64">
        <f>F132*E133</f>
        <v>3.4344000000000001</v>
      </c>
      <c r="G133" s="64"/>
      <c r="H133" s="64"/>
      <c r="I133" s="64"/>
      <c r="J133" s="64"/>
      <c r="K133" s="64"/>
      <c r="L133" s="64"/>
      <c r="M133" s="64"/>
    </row>
    <row r="134" spans="1:13" ht="18" x14ac:dyDescent="0.35">
      <c r="A134" s="60"/>
      <c r="B134" s="20"/>
      <c r="C134" s="45" t="s">
        <v>34</v>
      </c>
      <c r="D134" s="10" t="s">
        <v>25</v>
      </c>
      <c r="E134" s="50">
        <f>10.1/100</f>
        <v>0.10099999999999999</v>
      </c>
      <c r="F134" s="64">
        <f>F132*E134</f>
        <v>0.16361999999999999</v>
      </c>
      <c r="G134" s="64"/>
      <c r="H134" s="64"/>
      <c r="I134" s="64"/>
      <c r="J134" s="64"/>
      <c r="K134" s="64"/>
      <c r="L134" s="64"/>
      <c r="M134" s="64"/>
    </row>
    <row r="135" spans="1:13" ht="18" x14ac:dyDescent="0.25">
      <c r="A135" s="60"/>
      <c r="B135" s="20"/>
      <c r="C135" s="10" t="s">
        <v>55</v>
      </c>
      <c r="D135" s="51"/>
      <c r="E135" s="50"/>
      <c r="F135" s="64"/>
      <c r="G135" s="64"/>
      <c r="H135" s="64"/>
      <c r="I135" s="64"/>
      <c r="J135" s="64"/>
      <c r="K135" s="64"/>
      <c r="L135" s="64"/>
      <c r="M135" s="64"/>
    </row>
    <row r="136" spans="1:13" ht="48" x14ac:dyDescent="0.25">
      <c r="A136" s="60"/>
      <c r="B136" s="67" t="s">
        <v>167</v>
      </c>
      <c r="C136" s="37" t="s">
        <v>223</v>
      </c>
      <c r="D136" s="10" t="s">
        <v>57</v>
      </c>
      <c r="E136" s="50">
        <v>1.1000000000000001</v>
      </c>
      <c r="F136" s="64">
        <f>F132*E136</f>
        <v>1.782</v>
      </c>
      <c r="G136" s="64"/>
      <c r="H136" s="64"/>
      <c r="I136" s="64"/>
      <c r="J136" s="64"/>
      <c r="K136" s="64"/>
      <c r="L136" s="64"/>
      <c r="M136" s="64"/>
    </row>
    <row r="137" spans="1:13" ht="36" x14ac:dyDescent="0.35">
      <c r="A137" s="60"/>
      <c r="B137" s="35" t="s">
        <v>156</v>
      </c>
      <c r="C137" s="54" t="s">
        <v>119</v>
      </c>
      <c r="D137" s="49" t="s">
        <v>35</v>
      </c>
      <c r="E137" s="22"/>
      <c r="F137" s="64">
        <f>F136*1.6</f>
        <v>2.8512000000000004</v>
      </c>
      <c r="G137" s="64"/>
      <c r="H137" s="64"/>
      <c r="I137" s="64"/>
      <c r="J137" s="64"/>
      <c r="K137" s="64"/>
      <c r="L137" s="64"/>
      <c r="M137" s="64"/>
    </row>
    <row r="138" spans="1:13" ht="18" x14ac:dyDescent="0.25">
      <c r="A138" s="60">
        <v>10</v>
      </c>
      <c r="B138" s="13" t="s">
        <v>224</v>
      </c>
      <c r="C138" s="74" t="s">
        <v>225</v>
      </c>
      <c r="D138" s="16" t="s">
        <v>35</v>
      </c>
      <c r="E138" s="16"/>
      <c r="F138" s="69">
        <f>(F142)/1000</f>
        <v>0.33911999999999998</v>
      </c>
      <c r="G138" s="64"/>
      <c r="H138" s="75"/>
      <c r="I138" s="64"/>
      <c r="J138" s="75"/>
      <c r="K138" s="64"/>
      <c r="L138" s="64"/>
      <c r="M138" s="64"/>
    </row>
    <row r="139" spans="1:13" ht="18" x14ac:dyDescent="0.25">
      <c r="A139" s="60"/>
      <c r="B139" s="13"/>
      <c r="C139" s="44" t="s">
        <v>21</v>
      </c>
      <c r="D139" s="76" t="s">
        <v>22</v>
      </c>
      <c r="E139" s="10">
        <f>34.9/1</f>
        <v>34.9</v>
      </c>
      <c r="F139" s="64">
        <f>F138*E139</f>
        <v>11.835287999999998</v>
      </c>
      <c r="G139" s="64"/>
      <c r="H139" s="75"/>
      <c r="I139" s="64"/>
      <c r="J139" s="75"/>
      <c r="K139" s="64"/>
      <c r="L139" s="64"/>
      <c r="M139" s="64"/>
    </row>
    <row r="140" spans="1:13" ht="18" x14ac:dyDescent="0.35">
      <c r="A140" s="60"/>
      <c r="B140" s="20"/>
      <c r="C140" s="24" t="s">
        <v>34</v>
      </c>
      <c r="D140" s="10" t="s">
        <v>25</v>
      </c>
      <c r="E140" s="50">
        <f>4.07/1</f>
        <v>4.07</v>
      </c>
      <c r="F140" s="64">
        <f>F138*E140</f>
        <v>1.3802184</v>
      </c>
      <c r="G140" s="64"/>
      <c r="H140" s="75"/>
      <c r="I140" s="64"/>
      <c r="J140" s="75"/>
      <c r="K140" s="64"/>
      <c r="L140" s="64"/>
      <c r="M140" s="64"/>
    </row>
    <row r="141" spans="1:13" ht="18" x14ac:dyDescent="0.25">
      <c r="A141" s="60"/>
      <c r="B141" s="20"/>
      <c r="C141" s="10" t="s">
        <v>55</v>
      </c>
      <c r="D141" s="77"/>
      <c r="E141" s="50"/>
      <c r="F141" s="64"/>
      <c r="G141" s="64"/>
      <c r="H141" s="75"/>
      <c r="I141" s="64"/>
      <c r="J141" s="75"/>
      <c r="K141" s="64"/>
      <c r="L141" s="64"/>
      <c r="M141" s="64"/>
    </row>
    <row r="142" spans="1:13" ht="18" x14ac:dyDescent="0.25">
      <c r="A142" s="60"/>
      <c r="B142" s="35" t="s">
        <v>226</v>
      </c>
      <c r="C142" s="44" t="s">
        <v>227</v>
      </c>
      <c r="D142" s="10" t="s">
        <v>228</v>
      </c>
      <c r="E142" s="76" t="s">
        <v>63</v>
      </c>
      <c r="F142" s="64">
        <f>F129*(14.72+22.96)</f>
        <v>339.12</v>
      </c>
      <c r="G142" s="64"/>
      <c r="H142" s="75"/>
      <c r="I142" s="64"/>
      <c r="J142" s="75"/>
      <c r="K142" s="64"/>
      <c r="L142" s="64"/>
      <c r="M142" s="64"/>
    </row>
    <row r="143" spans="1:13" ht="36" x14ac:dyDescent="0.35">
      <c r="A143" s="60"/>
      <c r="B143" s="35" t="s">
        <v>156</v>
      </c>
      <c r="C143" s="73" t="s">
        <v>229</v>
      </c>
      <c r="D143" s="49" t="s">
        <v>35</v>
      </c>
      <c r="E143" s="17"/>
      <c r="F143" s="64">
        <f>F138</f>
        <v>0.33911999999999998</v>
      </c>
      <c r="G143" s="64"/>
      <c r="H143" s="64"/>
      <c r="I143" s="64"/>
      <c r="J143" s="64"/>
      <c r="K143" s="64"/>
      <c r="L143" s="64"/>
      <c r="M143" s="75"/>
    </row>
    <row r="144" spans="1:13" ht="18" x14ac:dyDescent="0.25">
      <c r="A144" s="78"/>
      <c r="B144" s="79" t="s">
        <v>23</v>
      </c>
      <c r="C144" s="80"/>
      <c r="D144" s="81"/>
      <c r="E144" s="82"/>
      <c r="F144" s="82"/>
      <c r="G144" s="82"/>
      <c r="H144" s="82"/>
      <c r="I144" s="82"/>
      <c r="J144" s="82"/>
      <c r="K144" s="82"/>
      <c r="L144" s="82"/>
      <c r="M144" s="82"/>
    </row>
    <row r="145" spans="1:13" ht="18" x14ac:dyDescent="0.25">
      <c r="A145" s="19"/>
      <c r="B145" s="19"/>
      <c r="C145" s="19" t="s">
        <v>68</v>
      </c>
      <c r="D145" s="55" t="s">
        <v>25</v>
      </c>
      <c r="E145" s="10"/>
      <c r="F145" s="56"/>
      <c r="G145" s="57"/>
      <c r="H145" s="211"/>
      <c r="I145" s="211"/>
      <c r="J145" s="211"/>
      <c r="K145" s="211"/>
      <c r="L145" s="211"/>
      <c r="M145" s="211"/>
    </row>
    <row r="146" spans="1:13" ht="18" x14ac:dyDescent="0.25">
      <c r="A146" s="30"/>
      <c r="B146" s="144"/>
      <c r="C146" s="30" t="s">
        <v>179</v>
      </c>
      <c r="D146" s="145"/>
      <c r="E146" s="146"/>
      <c r="F146" s="147"/>
      <c r="G146" s="148"/>
      <c r="H146" s="149"/>
      <c r="I146" s="149"/>
      <c r="J146" s="149"/>
      <c r="K146" s="149"/>
      <c r="L146" s="149"/>
      <c r="M146" s="149"/>
    </row>
    <row r="147" spans="1:13" ht="72" x14ac:dyDescent="0.25">
      <c r="A147" s="13">
        <v>1</v>
      </c>
      <c r="B147" s="105" t="s">
        <v>69</v>
      </c>
      <c r="C147" s="150" t="s">
        <v>133</v>
      </c>
      <c r="D147" s="16" t="s">
        <v>40</v>
      </c>
      <c r="E147" s="10"/>
      <c r="F147" s="34">
        <f>355.28/1.22</f>
        <v>291.21311475409834</v>
      </c>
      <c r="G147" s="17"/>
      <c r="H147" s="17"/>
      <c r="I147" s="17"/>
      <c r="J147" s="17"/>
      <c r="K147" s="17"/>
      <c r="L147" s="17"/>
      <c r="M147" s="17"/>
    </row>
    <row r="148" spans="1:13" ht="18" x14ac:dyDescent="0.25">
      <c r="A148" s="13"/>
      <c r="B148" s="20"/>
      <c r="C148" s="44" t="s">
        <v>21</v>
      </c>
      <c r="D148" s="10" t="s">
        <v>22</v>
      </c>
      <c r="E148" s="27">
        <f>15/100</f>
        <v>0.15</v>
      </c>
      <c r="F148" s="17">
        <f>F147*E148</f>
        <v>43.681967213114753</v>
      </c>
      <c r="G148" s="17"/>
      <c r="H148" s="17"/>
      <c r="I148" s="64"/>
      <c r="J148" s="17"/>
      <c r="K148" s="17"/>
      <c r="L148" s="17"/>
      <c r="M148" s="17"/>
    </row>
    <row r="149" spans="1:13" ht="18" x14ac:dyDescent="0.25">
      <c r="A149" s="13"/>
      <c r="B149" s="67" t="s">
        <v>153</v>
      </c>
      <c r="C149" s="44" t="s">
        <v>50</v>
      </c>
      <c r="D149" s="10" t="s">
        <v>30</v>
      </c>
      <c r="E149" s="27">
        <f>2.16/100</f>
        <v>2.1600000000000001E-2</v>
      </c>
      <c r="F149" s="17">
        <f>F147*E149</f>
        <v>6.2902032786885247</v>
      </c>
      <c r="G149" s="17"/>
      <c r="H149" s="17"/>
      <c r="I149" s="17"/>
      <c r="J149" s="17"/>
      <c r="K149" s="63"/>
      <c r="L149" s="17"/>
      <c r="M149" s="17"/>
    </row>
    <row r="150" spans="1:13" ht="18" x14ac:dyDescent="0.25">
      <c r="A150" s="13"/>
      <c r="B150" s="67" t="s">
        <v>165</v>
      </c>
      <c r="C150" s="44" t="s">
        <v>53</v>
      </c>
      <c r="D150" s="10" t="s">
        <v>30</v>
      </c>
      <c r="E150" s="27">
        <f>2.73/100</f>
        <v>2.7300000000000001E-2</v>
      </c>
      <c r="F150" s="17">
        <f>E150*F147</f>
        <v>7.950118032786885</v>
      </c>
      <c r="G150" s="17"/>
      <c r="H150" s="17"/>
      <c r="I150" s="17"/>
      <c r="J150" s="17"/>
      <c r="K150" s="17"/>
      <c r="L150" s="17"/>
      <c r="M150" s="17"/>
    </row>
    <row r="151" spans="1:13" ht="18" x14ac:dyDescent="0.25">
      <c r="A151" s="13"/>
      <c r="B151" s="67" t="s">
        <v>166</v>
      </c>
      <c r="C151" s="44" t="s">
        <v>54</v>
      </c>
      <c r="D151" s="10" t="s">
        <v>30</v>
      </c>
      <c r="E151" s="27">
        <f>0.97/100</f>
        <v>9.7000000000000003E-3</v>
      </c>
      <c r="F151" s="17">
        <f>F147*E151</f>
        <v>2.8247672131147539</v>
      </c>
      <c r="G151" s="17"/>
      <c r="H151" s="17"/>
      <c r="I151" s="17"/>
      <c r="J151" s="17"/>
      <c r="K151" s="17"/>
      <c r="L151" s="17"/>
      <c r="M151" s="17"/>
    </row>
    <row r="152" spans="1:13" ht="18" x14ac:dyDescent="0.25">
      <c r="A152" s="13"/>
      <c r="B152" s="20"/>
      <c r="C152" s="10" t="s">
        <v>55</v>
      </c>
      <c r="D152" s="51"/>
      <c r="E152" s="10"/>
      <c r="F152" s="17"/>
      <c r="G152" s="17"/>
      <c r="H152" s="17"/>
      <c r="I152" s="17"/>
      <c r="J152" s="17"/>
      <c r="K152" s="17"/>
      <c r="L152" s="17"/>
      <c r="M152" s="17"/>
    </row>
    <row r="153" spans="1:13" ht="36" x14ac:dyDescent="0.25">
      <c r="A153" s="13"/>
      <c r="B153" s="67" t="s">
        <v>167</v>
      </c>
      <c r="C153" s="23" t="s">
        <v>144</v>
      </c>
      <c r="D153" s="10" t="s">
        <v>57</v>
      </c>
      <c r="E153" s="10">
        <v>1.22</v>
      </c>
      <c r="F153" s="17">
        <f>F147*E153</f>
        <v>355.28</v>
      </c>
      <c r="G153" s="112"/>
      <c r="H153" s="17"/>
      <c r="I153" s="17"/>
      <c r="J153" s="17"/>
      <c r="K153" s="17"/>
      <c r="L153" s="17"/>
      <c r="M153" s="17"/>
    </row>
    <row r="154" spans="1:13" ht="19.5" x14ac:dyDescent="0.35">
      <c r="A154" s="13"/>
      <c r="B154" s="20"/>
      <c r="C154" s="45" t="s">
        <v>58</v>
      </c>
      <c r="D154" s="10" t="s">
        <v>57</v>
      </c>
      <c r="E154" s="27">
        <v>7.0000000000000007E-2</v>
      </c>
      <c r="F154" s="17">
        <f>F147*E154</f>
        <v>20.384918032786885</v>
      </c>
      <c r="G154" s="17"/>
      <c r="H154" s="17"/>
      <c r="I154" s="17"/>
      <c r="J154" s="17"/>
      <c r="K154" s="17"/>
      <c r="L154" s="17"/>
      <c r="M154" s="17"/>
    </row>
    <row r="155" spans="1:13" ht="36" x14ac:dyDescent="0.35">
      <c r="A155" s="13"/>
      <c r="B155" s="35" t="s">
        <v>156</v>
      </c>
      <c r="C155" s="54" t="s">
        <v>119</v>
      </c>
      <c r="D155" s="49" t="s">
        <v>35</v>
      </c>
      <c r="E155" s="22"/>
      <c r="F155" s="17">
        <f>F153*1.6</f>
        <v>568.44799999999998</v>
      </c>
      <c r="G155" s="17"/>
      <c r="H155" s="17"/>
      <c r="I155" s="17"/>
      <c r="J155" s="17"/>
      <c r="K155" s="64"/>
      <c r="L155" s="17"/>
      <c r="M155" s="17"/>
    </row>
    <row r="156" spans="1:13" ht="36" x14ac:dyDescent="0.25">
      <c r="A156" s="13">
        <v>2</v>
      </c>
      <c r="B156" s="105" t="s">
        <v>70</v>
      </c>
      <c r="C156" s="151" t="s">
        <v>143</v>
      </c>
      <c r="D156" s="16" t="s">
        <v>49</v>
      </c>
      <c r="E156" s="10"/>
      <c r="F156" s="34">
        <v>2311.1999999999998</v>
      </c>
      <c r="G156" s="17"/>
      <c r="H156" s="17"/>
      <c r="I156" s="17"/>
      <c r="J156" s="17"/>
      <c r="K156" s="17"/>
      <c r="L156" s="17"/>
      <c r="M156" s="17"/>
    </row>
    <row r="157" spans="1:13" ht="18" x14ac:dyDescent="0.25">
      <c r="A157" s="13"/>
      <c r="B157" s="20"/>
      <c r="C157" s="44" t="s">
        <v>21</v>
      </c>
      <c r="D157" s="10" t="s">
        <v>22</v>
      </c>
      <c r="E157" s="10">
        <f>33/1000</f>
        <v>3.3000000000000002E-2</v>
      </c>
      <c r="F157" s="17">
        <f>F156*E157</f>
        <v>76.269599999999997</v>
      </c>
      <c r="G157" s="17"/>
      <c r="H157" s="17"/>
      <c r="I157" s="64"/>
      <c r="J157" s="17"/>
      <c r="K157" s="17"/>
      <c r="L157" s="17"/>
      <c r="M157" s="17"/>
    </row>
    <row r="158" spans="1:13" ht="18" x14ac:dyDescent="0.25">
      <c r="A158" s="13"/>
      <c r="B158" s="67" t="s">
        <v>152</v>
      </c>
      <c r="C158" s="21" t="s">
        <v>39</v>
      </c>
      <c r="D158" s="10" t="s">
        <v>30</v>
      </c>
      <c r="E158" s="10">
        <f>2.58/1000</f>
        <v>2.5800000000000003E-3</v>
      </c>
      <c r="F158" s="17">
        <f>F156*E158</f>
        <v>5.9628959999999998</v>
      </c>
      <c r="G158" s="17"/>
      <c r="H158" s="17"/>
      <c r="I158" s="17"/>
      <c r="J158" s="17"/>
      <c r="K158" s="17"/>
      <c r="L158" s="17"/>
      <c r="M158" s="17"/>
    </row>
    <row r="159" spans="1:13" ht="18" x14ac:dyDescent="0.25">
      <c r="A159" s="13"/>
      <c r="B159" s="67" t="s">
        <v>153</v>
      </c>
      <c r="C159" s="44" t="s">
        <v>50</v>
      </c>
      <c r="D159" s="10" t="s">
        <v>30</v>
      </c>
      <c r="E159" s="10">
        <f>0.42/1000</f>
        <v>4.1999999999999996E-4</v>
      </c>
      <c r="F159" s="17">
        <f>F156*E159</f>
        <v>0.97070399999999979</v>
      </c>
      <c r="G159" s="17"/>
      <c r="H159" s="17"/>
      <c r="I159" s="17"/>
      <c r="J159" s="17"/>
      <c r="K159" s="63"/>
      <c r="L159" s="17"/>
      <c r="M159" s="17"/>
    </row>
    <row r="160" spans="1:13" ht="18" x14ac:dyDescent="0.35">
      <c r="A160" s="13"/>
      <c r="B160" s="67" t="s">
        <v>168</v>
      </c>
      <c r="C160" s="45" t="s">
        <v>72</v>
      </c>
      <c r="D160" s="10" t="s">
        <v>30</v>
      </c>
      <c r="E160" s="10">
        <f>11.2/1000</f>
        <v>1.12E-2</v>
      </c>
      <c r="F160" s="17">
        <f>E160*F156</f>
        <v>25.885439999999999</v>
      </c>
      <c r="G160" s="17"/>
      <c r="H160" s="17"/>
      <c r="I160" s="17"/>
      <c r="J160" s="17"/>
      <c r="K160" s="17"/>
      <c r="L160" s="17"/>
      <c r="M160" s="17"/>
    </row>
    <row r="161" spans="1:13" ht="18" x14ac:dyDescent="0.35">
      <c r="A161" s="13"/>
      <c r="B161" s="67" t="s">
        <v>169</v>
      </c>
      <c r="C161" s="45" t="s">
        <v>73</v>
      </c>
      <c r="D161" s="10" t="s">
        <v>30</v>
      </c>
      <c r="E161" s="10">
        <f>24.8/1000</f>
        <v>2.4799999999999999E-2</v>
      </c>
      <c r="F161" s="17">
        <f>E161*F156</f>
        <v>57.317759999999993</v>
      </c>
      <c r="G161" s="17"/>
      <c r="H161" s="17"/>
      <c r="I161" s="17"/>
      <c r="J161" s="17"/>
      <c r="K161" s="17"/>
      <c r="L161" s="17"/>
      <c r="M161" s="17"/>
    </row>
    <row r="162" spans="1:13" ht="18" x14ac:dyDescent="0.35">
      <c r="A162" s="13"/>
      <c r="B162" s="67" t="s">
        <v>166</v>
      </c>
      <c r="C162" s="45" t="s">
        <v>54</v>
      </c>
      <c r="D162" s="10" t="s">
        <v>30</v>
      </c>
      <c r="E162" s="10">
        <f>4.14/1000</f>
        <v>4.1399999999999996E-3</v>
      </c>
      <c r="F162" s="17">
        <f>F156*E162</f>
        <v>9.5683679999999978</v>
      </c>
      <c r="G162" s="17"/>
      <c r="H162" s="17"/>
      <c r="I162" s="17"/>
      <c r="J162" s="17"/>
      <c r="K162" s="17"/>
      <c r="L162" s="17"/>
      <c r="M162" s="17"/>
    </row>
    <row r="163" spans="1:13" ht="18" x14ac:dyDescent="0.25">
      <c r="A163" s="13"/>
      <c r="B163" s="67" t="s">
        <v>170</v>
      </c>
      <c r="C163" s="23" t="s">
        <v>74</v>
      </c>
      <c r="D163" s="10" t="s">
        <v>30</v>
      </c>
      <c r="E163" s="10">
        <f>0.53/1000</f>
        <v>5.2999999999999998E-4</v>
      </c>
      <c r="F163" s="17">
        <f>F156*E163</f>
        <v>1.2249359999999998</v>
      </c>
      <c r="G163" s="17"/>
      <c r="H163" s="17"/>
      <c r="I163" s="17"/>
      <c r="J163" s="17"/>
      <c r="K163" s="17"/>
      <c r="L163" s="17"/>
      <c r="M163" s="17"/>
    </row>
    <row r="164" spans="1:13" ht="18" x14ac:dyDescent="0.25">
      <c r="A164" s="13"/>
      <c r="B164" s="20"/>
      <c r="C164" s="10" t="s">
        <v>55</v>
      </c>
      <c r="D164" s="51"/>
      <c r="E164" s="10"/>
      <c r="F164" s="17"/>
      <c r="G164" s="17"/>
      <c r="H164" s="17"/>
      <c r="I164" s="17"/>
      <c r="J164" s="17"/>
      <c r="K164" s="17"/>
      <c r="L164" s="17"/>
      <c r="M164" s="17"/>
    </row>
    <row r="165" spans="1:13" ht="36" x14ac:dyDescent="0.25">
      <c r="A165" s="13"/>
      <c r="B165" s="67" t="s">
        <v>160</v>
      </c>
      <c r="C165" s="23" t="s">
        <v>75</v>
      </c>
      <c r="D165" s="10" t="s">
        <v>57</v>
      </c>
      <c r="E165" s="10" t="s">
        <v>63</v>
      </c>
      <c r="F165" s="17">
        <f>F156*0.1*1.26</f>
        <v>291.21120000000002</v>
      </c>
      <c r="G165" s="17"/>
      <c r="H165" s="17"/>
      <c r="I165" s="17"/>
      <c r="J165" s="17"/>
      <c r="K165" s="17"/>
      <c r="L165" s="17"/>
      <c r="M165" s="17"/>
    </row>
    <row r="166" spans="1:13" ht="19.5" x14ac:dyDescent="0.35">
      <c r="A166" s="13"/>
      <c r="B166" s="20"/>
      <c r="C166" s="45" t="s">
        <v>58</v>
      </c>
      <c r="D166" s="10" t="s">
        <v>57</v>
      </c>
      <c r="E166" s="10">
        <f>30/1000</f>
        <v>0.03</v>
      </c>
      <c r="F166" s="17">
        <f>F156*E166</f>
        <v>69.335999999999999</v>
      </c>
      <c r="G166" s="17"/>
      <c r="H166" s="17"/>
      <c r="I166" s="17"/>
      <c r="J166" s="17"/>
      <c r="K166" s="17"/>
      <c r="L166" s="17"/>
      <c r="M166" s="17"/>
    </row>
    <row r="167" spans="1:13" ht="18" x14ac:dyDescent="0.25">
      <c r="A167" s="13"/>
      <c r="B167" s="35" t="s">
        <v>156</v>
      </c>
      <c r="C167" s="152" t="s">
        <v>120</v>
      </c>
      <c r="D167" s="10" t="s">
        <v>35</v>
      </c>
      <c r="E167" s="10"/>
      <c r="F167" s="17">
        <f>F165*1.6</f>
        <v>465.93792000000008</v>
      </c>
      <c r="G167" s="17"/>
      <c r="H167" s="17"/>
      <c r="I167" s="17"/>
      <c r="J167" s="17"/>
      <c r="K167" s="64"/>
      <c r="L167" s="17"/>
      <c r="M167" s="17"/>
    </row>
    <row r="168" spans="1:13" ht="37.5" x14ac:dyDescent="0.25">
      <c r="A168" s="13">
        <v>3</v>
      </c>
      <c r="B168" s="9" t="s">
        <v>76</v>
      </c>
      <c r="C168" s="41" t="s">
        <v>77</v>
      </c>
      <c r="D168" s="13" t="s">
        <v>35</v>
      </c>
      <c r="E168" s="10"/>
      <c r="F168" s="34">
        <f>F173*0.0007</f>
        <v>1.498</v>
      </c>
      <c r="G168" s="17"/>
      <c r="H168" s="17"/>
      <c r="I168" s="17"/>
      <c r="J168" s="17"/>
      <c r="K168" s="17"/>
      <c r="L168" s="17"/>
      <c r="M168" s="17"/>
    </row>
    <row r="169" spans="1:13" ht="18" x14ac:dyDescent="0.35">
      <c r="A169" s="13"/>
      <c r="B169" s="35" t="s">
        <v>171</v>
      </c>
      <c r="C169" s="45" t="s">
        <v>78</v>
      </c>
      <c r="D169" s="31" t="s">
        <v>30</v>
      </c>
      <c r="E169" s="50">
        <v>0.3</v>
      </c>
      <c r="F169" s="17">
        <f>F168*E169</f>
        <v>0.44939999999999997</v>
      </c>
      <c r="G169" s="17"/>
      <c r="H169" s="17"/>
      <c r="I169" s="17"/>
      <c r="J169" s="17"/>
      <c r="K169" s="17"/>
      <c r="L169" s="17"/>
      <c r="M169" s="17"/>
    </row>
    <row r="170" spans="1:13" ht="18" x14ac:dyDescent="0.25">
      <c r="A170" s="13"/>
      <c r="B170" s="20"/>
      <c r="C170" s="10" t="s">
        <v>55</v>
      </c>
      <c r="D170" s="51"/>
      <c r="E170" s="10"/>
      <c r="F170" s="17"/>
      <c r="G170" s="17"/>
      <c r="H170" s="17"/>
      <c r="I170" s="17"/>
      <c r="J170" s="17"/>
      <c r="K170" s="17"/>
      <c r="L170" s="17"/>
      <c r="M170" s="17"/>
    </row>
    <row r="171" spans="1:13" ht="18" x14ac:dyDescent="0.25">
      <c r="A171" s="13"/>
      <c r="B171" s="35" t="s">
        <v>130</v>
      </c>
      <c r="C171" s="44" t="s">
        <v>67</v>
      </c>
      <c r="D171" s="10" t="s">
        <v>35</v>
      </c>
      <c r="E171" s="50">
        <v>1</v>
      </c>
      <c r="F171" s="17">
        <f>F168*E171</f>
        <v>1.498</v>
      </c>
      <c r="G171" s="17"/>
      <c r="H171" s="17"/>
      <c r="I171" s="17"/>
      <c r="J171" s="17"/>
      <c r="K171" s="17"/>
      <c r="L171" s="17"/>
      <c r="M171" s="17"/>
    </row>
    <row r="172" spans="1:13" ht="18" x14ac:dyDescent="0.25">
      <c r="A172" s="13"/>
      <c r="B172" s="35" t="s">
        <v>156</v>
      </c>
      <c r="C172" s="21" t="s">
        <v>117</v>
      </c>
      <c r="D172" s="10" t="s">
        <v>35</v>
      </c>
      <c r="E172" s="10"/>
      <c r="F172" s="17">
        <f>F171</f>
        <v>1.498</v>
      </c>
      <c r="G172" s="17"/>
      <c r="H172" s="17"/>
      <c r="I172" s="17"/>
      <c r="J172" s="17"/>
      <c r="K172" s="64"/>
      <c r="L172" s="17"/>
      <c r="M172" s="17"/>
    </row>
    <row r="173" spans="1:13" ht="51.75" x14ac:dyDescent="0.25">
      <c r="A173" s="13">
        <v>4</v>
      </c>
      <c r="B173" s="9" t="s">
        <v>83</v>
      </c>
      <c r="C173" s="41" t="s">
        <v>134</v>
      </c>
      <c r="D173" s="20" t="s">
        <v>79</v>
      </c>
      <c r="E173" s="10"/>
      <c r="F173" s="34">
        <v>2140</v>
      </c>
      <c r="G173" s="17"/>
      <c r="H173" s="17"/>
      <c r="I173" s="17"/>
      <c r="J173" s="17"/>
      <c r="K173" s="17"/>
      <c r="L173" s="17"/>
      <c r="M173" s="17"/>
    </row>
    <row r="174" spans="1:13" ht="18" x14ac:dyDescent="0.25">
      <c r="A174" s="13"/>
      <c r="B174" s="20"/>
      <c r="C174" s="44" t="s">
        <v>21</v>
      </c>
      <c r="D174" s="10" t="s">
        <v>22</v>
      </c>
      <c r="E174" s="10">
        <f>(37.5+0.07+0.07+0.07+0.07)/1000</f>
        <v>3.7780000000000001E-2</v>
      </c>
      <c r="F174" s="17">
        <f>F173*E174</f>
        <v>80.849199999999996</v>
      </c>
      <c r="G174" s="17"/>
      <c r="H174" s="17"/>
      <c r="I174" s="64"/>
      <c r="J174" s="17"/>
      <c r="K174" s="17"/>
      <c r="L174" s="17"/>
      <c r="M174" s="17"/>
    </row>
    <row r="175" spans="1:13" ht="18" x14ac:dyDescent="0.35">
      <c r="A175" s="13"/>
      <c r="B175" s="67" t="s">
        <v>168</v>
      </c>
      <c r="C175" s="45" t="s">
        <v>72</v>
      </c>
      <c r="D175" s="10" t="s">
        <v>30</v>
      </c>
      <c r="E175" s="10">
        <f>3.7/1000</f>
        <v>3.7000000000000002E-3</v>
      </c>
      <c r="F175" s="17">
        <f>E175*F173</f>
        <v>7.9180000000000001</v>
      </c>
      <c r="G175" s="17"/>
      <c r="H175" s="17"/>
      <c r="I175" s="17"/>
      <c r="J175" s="17"/>
      <c r="K175" s="17"/>
      <c r="L175" s="17"/>
      <c r="M175" s="17"/>
    </row>
    <row r="176" spans="1:13" ht="18" x14ac:dyDescent="0.35">
      <c r="A176" s="13"/>
      <c r="B176" s="67" t="s">
        <v>169</v>
      </c>
      <c r="C176" s="45" t="s">
        <v>80</v>
      </c>
      <c r="D176" s="10" t="s">
        <v>30</v>
      </c>
      <c r="E176" s="10">
        <f>11.1/1000</f>
        <v>1.11E-2</v>
      </c>
      <c r="F176" s="17">
        <f>E176*F173</f>
        <v>23.754000000000001</v>
      </c>
      <c r="G176" s="17"/>
      <c r="H176" s="17"/>
      <c r="I176" s="17"/>
      <c r="J176" s="17"/>
      <c r="K176" s="17"/>
      <c r="L176" s="17"/>
      <c r="M176" s="17"/>
    </row>
    <row r="177" spans="1:13" ht="18" x14ac:dyDescent="0.35">
      <c r="A177" s="13"/>
      <c r="B177" s="35" t="s">
        <v>172</v>
      </c>
      <c r="C177" s="45" t="s">
        <v>81</v>
      </c>
      <c r="D177" s="10" t="s">
        <v>30</v>
      </c>
      <c r="E177" s="10">
        <f>3.02/1000</f>
        <v>3.0200000000000001E-3</v>
      </c>
      <c r="F177" s="17">
        <f>E177*F173</f>
        <v>6.4628000000000005</v>
      </c>
      <c r="G177" s="17"/>
      <c r="H177" s="17"/>
      <c r="I177" s="17"/>
      <c r="J177" s="17"/>
      <c r="K177" s="17"/>
      <c r="L177" s="17"/>
      <c r="M177" s="17"/>
    </row>
    <row r="178" spans="1:13" ht="18" x14ac:dyDescent="0.35">
      <c r="A178" s="13"/>
      <c r="B178" s="20"/>
      <c r="C178" s="45" t="s">
        <v>34</v>
      </c>
      <c r="D178" s="51" t="s">
        <v>25</v>
      </c>
      <c r="E178" s="10">
        <f>2.3/1000</f>
        <v>2.3E-3</v>
      </c>
      <c r="F178" s="17">
        <f>E178*F173</f>
        <v>4.9219999999999997</v>
      </c>
      <c r="G178" s="17"/>
      <c r="H178" s="17"/>
      <c r="I178" s="17"/>
      <c r="J178" s="17"/>
      <c r="K178" s="17"/>
      <c r="L178" s="17"/>
      <c r="M178" s="17"/>
    </row>
    <row r="179" spans="1:13" ht="18" x14ac:dyDescent="0.25">
      <c r="A179" s="13"/>
      <c r="B179" s="20"/>
      <c r="C179" s="10" t="s">
        <v>55</v>
      </c>
      <c r="D179" s="51"/>
      <c r="E179" s="10"/>
      <c r="F179" s="17"/>
      <c r="G179" s="17"/>
      <c r="H179" s="17"/>
      <c r="I179" s="17"/>
      <c r="J179" s="17"/>
      <c r="K179" s="17"/>
      <c r="L179" s="17"/>
      <c r="M179" s="17"/>
    </row>
    <row r="180" spans="1:13" ht="18" x14ac:dyDescent="0.25">
      <c r="A180" s="13"/>
      <c r="B180" s="35" t="s">
        <v>131</v>
      </c>
      <c r="C180" s="37" t="s">
        <v>82</v>
      </c>
      <c r="D180" s="10" t="s">
        <v>35</v>
      </c>
      <c r="E180" s="10">
        <f>(97.4+12.1+12.1+12.1+12.1)/1000</f>
        <v>0.14579999999999999</v>
      </c>
      <c r="F180" s="17">
        <f>F173*E180</f>
        <v>312.01199999999994</v>
      </c>
      <c r="G180" s="17"/>
      <c r="H180" s="17"/>
      <c r="I180" s="17"/>
      <c r="J180" s="17"/>
      <c r="K180" s="17"/>
      <c r="L180" s="17"/>
      <c r="M180" s="17"/>
    </row>
    <row r="181" spans="1:13" ht="18" x14ac:dyDescent="0.35">
      <c r="A181" s="13"/>
      <c r="B181" s="20"/>
      <c r="C181" s="45" t="s">
        <v>65</v>
      </c>
      <c r="D181" s="51" t="s">
        <v>25</v>
      </c>
      <c r="E181" s="10">
        <f>(14.5+0.2+0.2+0.2+0.2)/1000</f>
        <v>1.5299999999999998E-2</v>
      </c>
      <c r="F181" s="17">
        <f>F173*E181</f>
        <v>32.741999999999997</v>
      </c>
      <c r="G181" s="17"/>
      <c r="H181" s="17"/>
      <c r="I181" s="17"/>
      <c r="J181" s="17"/>
      <c r="K181" s="153"/>
      <c r="L181" s="153"/>
      <c r="M181" s="17"/>
    </row>
    <row r="182" spans="1:13" ht="18" x14ac:dyDescent="0.25">
      <c r="A182" s="13"/>
      <c r="B182" s="35" t="s">
        <v>156</v>
      </c>
      <c r="C182" s="23" t="s">
        <v>121</v>
      </c>
      <c r="D182" s="10" t="s">
        <v>35</v>
      </c>
      <c r="E182" s="10"/>
      <c r="F182" s="17">
        <f>F180</f>
        <v>312.01199999999994</v>
      </c>
      <c r="G182" s="17"/>
      <c r="H182" s="17"/>
      <c r="I182" s="17"/>
      <c r="J182" s="17"/>
      <c r="K182" s="64"/>
      <c r="L182" s="17"/>
      <c r="M182" s="17"/>
    </row>
    <row r="183" spans="1:13" ht="72" x14ac:dyDescent="0.25">
      <c r="A183" s="13">
        <v>5</v>
      </c>
      <c r="B183" s="13" t="s">
        <v>52</v>
      </c>
      <c r="C183" s="154" t="s">
        <v>85</v>
      </c>
      <c r="D183" s="16" t="s">
        <v>40</v>
      </c>
      <c r="E183" s="155"/>
      <c r="F183" s="156">
        <f>70.03/1.22</f>
        <v>57.4016393442623</v>
      </c>
      <c r="G183" s="63"/>
      <c r="H183" s="63"/>
      <c r="I183" s="63"/>
      <c r="J183" s="63"/>
      <c r="K183" s="63"/>
      <c r="L183" s="63"/>
      <c r="M183" s="63"/>
    </row>
    <row r="184" spans="1:13" ht="18" x14ac:dyDescent="0.35">
      <c r="A184" s="13"/>
      <c r="B184" s="20"/>
      <c r="C184" s="157" t="s">
        <v>21</v>
      </c>
      <c r="D184" s="48" t="s">
        <v>22</v>
      </c>
      <c r="E184" s="27">
        <f>15/100</f>
        <v>0.15</v>
      </c>
      <c r="F184" s="63">
        <f>F183*E184</f>
        <v>8.6102459016393453</v>
      </c>
      <c r="G184" s="17"/>
      <c r="H184" s="17"/>
      <c r="I184" s="64"/>
      <c r="J184" s="17"/>
      <c r="K184" s="17"/>
      <c r="L184" s="17"/>
      <c r="M184" s="17"/>
    </row>
    <row r="185" spans="1:13" ht="18" x14ac:dyDescent="0.25">
      <c r="A185" s="13"/>
      <c r="B185" s="67" t="s">
        <v>153</v>
      </c>
      <c r="C185" s="158" t="s">
        <v>50</v>
      </c>
      <c r="D185" s="48" t="s">
        <v>30</v>
      </c>
      <c r="E185" s="27">
        <f>2.16/100</f>
        <v>2.1600000000000001E-2</v>
      </c>
      <c r="F185" s="63">
        <f>F183*E185</f>
        <v>1.2398754098360658</v>
      </c>
      <c r="G185" s="17"/>
      <c r="H185" s="17"/>
      <c r="I185" s="17"/>
      <c r="J185" s="17"/>
      <c r="K185" s="63"/>
      <c r="L185" s="17"/>
      <c r="M185" s="17"/>
    </row>
    <row r="186" spans="1:13" ht="18" x14ac:dyDescent="0.25">
      <c r="A186" s="13"/>
      <c r="B186" s="67" t="s">
        <v>165</v>
      </c>
      <c r="C186" s="158" t="s">
        <v>53</v>
      </c>
      <c r="D186" s="48" t="s">
        <v>30</v>
      </c>
      <c r="E186" s="27">
        <f>2.73/100</f>
        <v>2.7300000000000001E-2</v>
      </c>
      <c r="F186" s="63">
        <f>F183*E186</f>
        <v>1.5670647540983609</v>
      </c>
      <c r="G186" s="17"/>
      <c r="H186" s="17"/>
      <c r="I186" s="17"/>
      <c r="J186" s="17"/>
      <c r="K186" s="17"/>
      <c r="L186" s="17"/>
      <c r="M186" s="17"/>
    </row>
    <row r="187" spans="1:13" ht="18" x14ac:dyDescent="0.25">
      <c r="A187" s="13"/>
      <c r="B187" s="67" t="s">
        <v>166</v>
      </c>
      <c r="C187" s="158" t="s">
        <v>54</v>
      </c>
      <c r="D187" s="48" t="s">
        <v>30</v>
      </c>
      <c r="E187" s="27">
        <f>0.97/100</f>
        <v>9.7000000000000003E-3</v>
      </c>
      <c r="F187" s="63">
        <f>F183*E187</f>
        <v>0.55679590163934434</v>
      </c>
      <c r="G187" s="17"/>
      <c r="H187" s="17"/>
      <c r="I187" s="17"/>
      <c r="J187" s="17"/>
      <c r="K187" s="17"/>
      <c r="L187" s="17"/>
      <c r="M187" s="17"/>
    </row>
    <row r="188" spans="1:13" ht="18" x14ac:dyDescent="0.35">
      <c r="A188" s="13"/>
      <c r="B188" s="20"/>
      <c r="C188" s="157" t="s">
        <v>55</v>
      </c>
      <c r="D188" s="48"/>
      <c r="E188" s="10"/>
      <c r="F188" s="63"/>
      <c r="G188" s="17"/>
      <c r="H188" s="17"/>
      <c r="I188" s="17"/>
      <c r="J188" s="17"/>
      <c r="K188" s="17"/>
      <c r="L188" s="17"/>
      <c r="M188" s="17"/>
    </row>
    <row r="189" spans="1:13" ht="36" x14ac:dyDescent="0.25">
      <c r="A189" s="13"/>
      <c r="B189" s="67" t="s">
        <v>167</v>
      </c>
      <c r="C189" s="158" t="s">
        <v>56</v>
      </c>
      <c r="D189" s="48" t="s">
        <v>57</v>
      </c>
      <c r="E189" s="10">
        <v>1.22</v>
      </c>
      <c r="F189" s="63">
        <f>F183*E189</f>
        <v>70.03</v>
      </c>
      <c r="G189" s="112"/>
      <c r="H189" s="17"/>
      <c r="I189" s="17"/>
      <c r="J189" s="17"/>
      <c r="K189" s="17"/>
      <c r="L189" s="17"/>
      <c r="M189" s="17"/>
    </row>
    <row r="190" spans="1:13" ht="19.5" x14ac:dyDescent="0.35">
      <c r="A190" s="13"/>
      <c r="B190" s="20"/>
      <c r="C190" s="157" t="s">
        <v>58</v>
      </c>
      <c r="D190" s="48" t="s">
        <v>57</v>
      </c>
      <c r="E190" s="27">
        <v>7.0000000000000007E-2</v>
      </c>
      <c r="F190" s="63">
        <f>F183*E190</f>
        <v>4.0181147540983613</v>
      </c>
      <c r="G190" s="17"/>
      <c r="H190" s="17"/>
      <c r="I190" s="17"/>
      <c r="J190" s="17"/>
      <c r="K190" s="17"/>
      <c r="L190" s="17"/>
      <c r="M190" s="17"/>
    </row>
    <row r="191" spans="1:13" ht="36" x14ac:dyDescent="0.35">
      <c r="A191" s="13"/>
      <c r="B191" s="35" t="s">
        <v>156</v>
      </c>
      <c r="C191" s="54" t="s">
        <v>119</v>
      </c>
      <c r="D191" s="48" t="s">
        <v>35</v>
      </c>
      <c r="E191" s="22"/>
      <c r="F191" s="17">
        <f>F189*1.6</f>
        <v>112.048</v>
      </c>
      <c r="G191" s="17"/>
      <c r="H191" s="17"/>
      <c r="I191" s="17"/>
      <c r="J191" s="17"/>
      <c r="K191" s="64"/>
      <c r="L191" s="17"/>
      <c r="M191" s="17"/>
    </row>
    <row r="192" spans="1:13" ht="18" x14ac:dyDescent="0.25">
      <c r="A192" s="13"/>
      <c r="B192" s="13" t="s">
        <v>23</v>
      </c>
      <c r="C192" s="159"/>
      <c r="D192" s="62"/>
      <c r="E192" s="155"/>
      <c r="F192" s="63"/>
      <c r="G192" s="63"/>
      <c r="H192" s="160"/>
      <c r="I192" s="160"/>
      <c r="J192" s="160"/>
      <c r="K192" s="160"/>
      <c r="L192" s="160"/>
      <c r="M192" s="160"/>
    </row>
    <row r="193" spans="1:13" ht="36" x14ac:dyDescent="0.25">
      <c r="A193" s="19"/>
      <c r="B193" s="19"/>
      <c r="C193" s="19" t="s">
        <v>94</v>
      </c>
      <c r="D193" s="19"/>
      <c r="E193" s="19"/>
      <c r="F193" s="19"/>
      <c r="G193" s="19"/>
      <c r="H193" s="19"/>
      <c r="I193" s="19"/>
      <c r="J193" s="19"/>
      <c r="K193" s="19"/>
      <c r="L193" s="19"/>
      <c r="M193" s="19"/>
    </row>
    <row r="194" spans="1:13" ht="36" x14ac:dyDescent="0.25">
      <c r="A194" s="13">
        <v>1</v>
      </c>
      <c r="B194" s="108" t="s">
        <v>26</v>
      </c>
      <c r="C194" s="26" t="s">
        <v>27</v>
      </c>
      <c r="D194" s="16" t="s">
        <v>40</v>
      </c>
      <c r="E194" s="16"/>
      <c r="F194" s="34">
        <f>F210*0.25</f>
        <v>131.76249999999999</v>
      </c>
      <c r="G194" s="17"/>
      <c r="H194" s="17"/>
      <c r="I194" s="17"/>
      <c r="J194" s="17"/>
      <c r="K194" s="17"/>
      <c r="L194" s="17"/>
      <c r="M194" s="17"/>
    </row>
    <row r="195" spans="1:13" ht="18" x14ac:dyDescent="0.25">
      <c r="A195" s="13"/>
      <c r="B195" s="35" t="s">
        <v>152</v>
      </c>
      <c r="C195" s="21" t="s">
        <v>29</v>
      </c>
      <c r="D195" s="31" t="s">
        <v>30</v>
      </c>
      <c r="E195" s="106">
        <f>(19.1+14.4+14.4)/1000</f>
        <v>4.7899999999999998E-2</v>
      </c>
      <c r="F195" s="17">
        <f>F194*E195</f>
        <v>6.3114237499999994</v>
      </c>
      <c r="G195" s="63"/>
      <c r="H195" s="63"/>
      <c r="I195" s="63"/>
      <c r="J195" s="63"/>
      <c r="K195" s="63"/>
      <c r="L195" s="63"/>
      <c r="M195" s="63"/>
    </row>
    <row r="196" spans="1:13" ht="36" x14ac:dyDescent="0.25">
      <c r="A196" s="13">
        <v>2</v>
      </c>
      <c r="B196" s="105" t="s">
        <v>31</v>
      </c>
      <c r="C196" s="26" t="s">
        <v>32</v>
      </c>
      <c r="D196" s="16" t="s">
        <v>40</v>
      </c>
      <c r="E196" s="68"/>
      <c r="F196" s="34">
        <f>F194</f>
        <v>131.76249999999999</v>
      </c>
      <c r="G196" s="63"/>
      <c r="H196" s="63"/>
      <c r="I196" s="63"/>
      <c r="J196" s="63"/>
      <c r="K196" s="63"/>
      <c r="L196" s="63"/>
      <c r="M196" s="63"/>
    </row>
    <row r="197" spans="1:13" ht="18" x14ac:dyDescent="0.25">
      <c r="A197" s="13"/>
      <c r="B197" s="62"/>
      <c r="C197" s="21" t="s">
        <v>21</v>
      </c>
      <c r="D197" s="10" t="s">
        <v>22</v>
      </c>
      <c r="E197" s="27">
        <f>15.5/1000</f>
        <v>1.55E-2</v>
      </c>
      <c r="F197" s="17">
        <f>F196*E197</f>
        <v>2.0423187499999997</v>
      </c>
      <c r="G197" s="63"/>
      <c r="H197" s="63"/>
      <c r="I197" s="64"/>
      <c r="J197" s="63"/>
      <c r="K197" s="63"/>
      <c r="L197" s="63"/>
      <c r="M197" s="63"/>
    </row>
    <row r="198" spans="1:13" ht="19.5" x14ac:dyDescent="0.25">
      <c r="A198" s="13"/>
      <c r="B198" s="35" t="s">
        <v>155</v>
      </c>
      <c r="C198" s="23" t="s">
        <v>33</v>
      </c>
      <c r="D198" s="31" t="s">
        <v>30</v>
      </c>
      <c r="E198" s="27">
        <f>34.7/1000</f>
        <v>3.4700000000000002E-2</v>
      </c>
      <c r="F198" s="17">
        <f>F196*E198</f>
        <v>4.5721587499999998</v>
      </c>
      <c r="G198" s="63"/>
      <c r="H198" s="63"/>
      <c r="I198" s="63"/>
      <c r="J198" s="63"/>
      <c r="K198" s="63"/>
      <c r="L198" s="63"/>
      <c r="M198" s="63"/>
    </row>
    <row r="199" spans="1:13" ht="18" x14ac:dyDescent="0.25">
      <c r="A199" s="13"/>
      <c r="B199" s="62"/>
      <c r="C199" s="21" t="s">
        <v>34</v>
      </c>
      <c r="D199" s="10" t="s">
        <v>25</v>
      </c>
      <c r="E199" s="27">
        <f>2.09/1000</f>
        <v>2.0899999999999998E-3</v>
      </c>
      <c r="F199" s="17">
        <f>F196*E199</f>
        <v>0.27538362499999997</v>
      </c>
      <c r="G199" s="63"/>
      <c r="H199" s="63"/>
      <c r="I199" s="63"/>
      <c r="J199" s="63"/>
      <c r="K199" s="63"/>
      <c r="L199" s="63"/>
      <c r="M199" s="63"/>
    </row>
    <row r="200" spans="1:13" ht="18" x14ac:dyDescent="0.25">
      <c r="A200" s="13">
        <v>3</v>
      </c>
      <c r="B200" s="35" t="s">
        <v>156</v>
      </c>
      <c r="C200" s="26" t="s">
        <v>158</v>
      </c>
      <c r="D200" s="16" t="s">
        <v>42</v>
      </c>
      <c r="E200" s="16"/>
      <c r="F200" s="34">
        <f>F196*1.8</f>
        <v>237.17249999999999</v>
      </c>
      <c r="G200" s="63"/>
      <c r="H200" s="63"/>
      <c r="I200" s="63"/>
      <c r="J200" s="63"/>
      <c r="K200" s="63"/>
      <c r="L200" s="63"/>
      <c r="M200" s="63"/>
    </row>
    <row r="201" spans="1:13" ht="72" x14ac:dyDescent="0.25">
      <c r="A201" s="13">
        <v>4</v>
      </c>
      <c r="B201" s="13" t="s">
        <v>69</v>
      </c>
      <c r="C201" s="150" t="s">
        <v>133</v>
      </c>
      <c r="D201" s="16" t="s">
        <v>40</v>
      </c>
      <c r="E201" s="10"/>
      <c r="F201" s="34">
        <f>81.02/1.22</f>
        <v>66.409836065573771</v>
      </c>
      <c r="G201" s="17"/>
      <c r="H201" s="17"/>
      <c r="I201" s="17"/>
      <c r="J201" s="17"/>
      <c r="K201" s="17"/>
      <c r="L201" s="17"/>
      <c r="M201" s="17"/>
    </row>
    <row r="202" spans="1:13" ht="18" x14ac:dyDescent="0.25">
      <c r="A202" s="13"/>
      <c r="B202" s="20"/>
      <c r="C202" s="44" t="s">
        <v>21</v>
      </c>
      <c r="D202" s="10" t="s">
        <v>22</v>
      </c>
      <c r="E202" s="27">
        <f>15/100</f>
        <v>0.15</v>
      </c>
      <c r="F202" s="17">
        <f>F201*E202</f>
        <v>9.9614754098360656</v>
      </c>
      <c r="G202" s="17"/>
      <c r="H202" s="17"/>
      <c r="I202" s="64"/>
      <c r="J202" s="17"/>
      <c r="K202" s="17"/>
      <c r="L202" s="17"/>
      <c r="M202" s="17"/>
    </row>
    <row r="203" spans="1:13" ht="18" x14ac:dyDescent="0.25">
      <c r="A203" s="13"/>
      <c r="B203" s="67" t="s">
        <v>153</v>
      </c>
      <c r="C203" s="44" t="s">
        <v>50</v>
      </c>
      <c r="D203" s="10" t="s">
        <v>30</v>
      </c>
      <c r="E203" s="27">
        <f>2.16/100</f>
        <v>2.1600000000000001E-2</v>
      </c>
      <c r="F203" s="17">
        <f>F201*E203</f>
        <v>1.4344524590163936</v>
      </c>
      <c r="G203" s="17"/>
      <c r="H203" s="17"/>
      <c r="I203" s="17"/>
      <c r="J203" s="17"/>
      <c r="K203" s="63"/>
      <c r="L203" s="17"/>
      <c r="M203" s="17"/>
    </row>
    <row r="204" spans="1:13" ht="18" x14ac:dyDescent="0.25">
      <c r="A204" s="13"/>
      <c r="B204" s="67" t="s">
        <v>165</v>
      </c>
      <c r="C204" s="44" t="s">
        <v>53</v>
      </c>
      <c r="D204" s="10" t="s">
        <v>30</v>
      </c>
      <c r="E204" s="27">
        <f>2.73/100</f>
        <v>2.7300000000000001E-2</v>
      </c>
      <c r="F204" s="17">
        <f>E204*F201</f>
        <v>1.812988524590164</v>
      </c>
      <c r="G204" s="17"/>
      <c r="H204" s="17"/>
      <c r="I204" s="17"/>
      <c r="J204" s="17"/>
      <c r="K204" s="17"/>
      <c r="L204" s="17"/>
      <c r="M204" s="17"/>
    </row>
    <row r="205" spans="1:13" ht="18" x14ac:dyDescent="0.25">
      <c r="A205" s="13"/>
      <c r="B205" s="67" t="s">
        <v>166</v>
      </c>
      <c r="C205" s="44" t="s">
        <v>54</v>
      </c>
      <c r="D205" s="10" t="s">
        <v>30</v>
      </c>
      <c r="E205" s="27">
        <f>0.97/100</f>
        <v>9.7000000000000003E-3</v>
      </c>
      <c r="F205" s="17">
        <f>F201*E205</f>
        <v>0.64417540983606558</v>
      </c>
      <c r="G205" s="17"/>
      <c r="H205" s="17"/>
      <c r="I205" s="17"/>
      <c r="J205" s="17"/>
      <c r="K205" s="17"/>
      <c r="L205" s="17"/>
      <c r="M205" s="17"/>
    </row>
    <row r="206" spans="1:13" ht="18" x14ac:dyDescent="0.25">
      <c r="A206" s="13"/>
      <c r="B206" s="20"/>
      <c r="C206" s="10" t="s">
        <v>55</v>
      </c>
      <c r="D206" s="51"/>
      <c r="E206" s="10"/>
      <c r="F206" s="17"/>
      <c r="G206" s="17"/>
      <c r="H206" s="17"/>
      <c r="I206" s="17"/>
      <c r="J206" s="17"/>
      <c r="K206" s="17"/>
      <c r="L206" s="17"/>
      <c r="M206" s="17"/>
    </row>
    <row r="207" spans="1:13" ht="36" x14ac:dyDescent="0.25">
      <c r="A207" s="13"/>
      <c r="B207" s="67" t="s">
        <v>167</v>
      </c>
      <c r="C207" s="23" t="s">
        <v>97</v>
      </c>
      <c r="D207" s="10" t="s">
        <v>57</v>
      </c>
      <c r="E207" s="10">
        <v>1.22</v>
      </c>
      <c r="F207" s="17">
        <f>F201*E207</f>
        <v>81.02</v>
      </c>
      <c r="G207" s="112"/>
      <c r="H207" s="17"/>
      <c r="I207" s="17"/>
      <c r="J207" s="17"/>
      <c r="K207" s="17"/>
      <c r="L207" s="17"/>
      <c r="M207" s="17"/>
    </row>
    <row r="208" spans="1:13" ht="19.5" x14ac:dyDescent="0.25">
      <c r="A208" s="13"/>
      <c r="B208" s="20"/>
      <c r="C208" s="21" t="s">
        <v>58</v>
      </c>
      <c r="D208" s="10" t="s">
        <v>57</v>
      </c>
      <c r="E208" s="27">
        <v>7.0000000000000007E-2</v>
      </c>
      <c r="F208" s="17">
        <f>F201*E208</f>
        <v>4.6486885245901641</v>
      </c>
      <c r="G208" s="17"/>
      <c r="H208" s="17"/>
      <c r="I208" s="17"/>
      <c r="J208" s="17"/>
      <c r="K208" s="17"/>
      <c r="L208" s="17"/>
      <c r="M208" s="17"/>
    </row>
    <row r="209" spans="1:13" ht="36" x14ac:dyDescent="0.35">
      <c r="A209" s="13"/>
      <c r="B209" s="35" t="s">
        <v>156</v>
      </c>
      <c r="C209" s="54" t="s">
        <v>135</v>
      </c>
      <c r="D209" s="10" t="s">
        <v>35</v>
      </c>
      <c r="E209" s="27"/>
      <c r="F209" s="17">
        <f>F207*1.6</f>
        <v>129.63200000000001</v>
      </c>
      <c r="G209" s="17"/>
      <c r="H209" s="17"/>
      <c r="I209" s="17"/>
      <c r="J209" s="17"/>
      <c r="K209" s="64"/>
      <c r="L209" s="17"/>
      <c r="M209" s="17"/>
    </row>
    <row r="210" spans="1:13" ht="34.5" x14ac:dyDescent="0.25">
      <c r="A210" s="13">
        <v>5</v>
      </c>
      <c r="B210" s="105" t="s">
        <v>70</v>
      </c>
      <c r="C210" s="32" t="s">
        <v>136</v>
      </c>
      <c r="D210" s="161" t="s">
        <v>79</v>
      </c>
      <c r="E210" s="10"/>
      <c r="F210" s="34">
        <v>527.04999999999995</v>
      </c>
      <c r="G210" s="17"/>
      <c r="H210" s="17"/>
      <c r="I210" s="17"/>
      <c r="J210" s="17"/>
      <c r="K210" s="17"/>
      <c r="L210" s="17"/>
      <c r="M210" s="17"/>
    </row>
    <row r="211" spans="1:13" ht="18" x14ac:dyDescent="0.25">
      <c r="A211" s="13"/>
      <c r="B211" s="20"/>
      <c r="C211" s="44" t="s">
        <v>21</v>
      </c>
      <c r="D211" s="10" t="s">
        <v>22</v>
      </c>
      <c r="E211" s="10">
        <f>33/1000</f>
        <v>3.3000000000000002E-2</v>
      </c>
      <c r="F211" s="17">
        <f>F210*E211</f>
        <v>17.39265</v>
      </c>
      <c r="G211" s="17"/>
      <c r="H211" s="17"/>
      <c r="I211" s="64"/>
      <c r="J211" s="17"/>
      <c r="K211" s="17"/>
      <c r="L211" s="17"/>
      <c r="M211" s="17"/>
    </row>
    <row r="212" spans="1:13" ht="18" x14ac:dyDescent="0.25">
      <c r="A212" s="13"/>
      <c r="B212" s="67" t="s">
        <v>152</v>
      </c>
      <c r="C212" s="21" t="s">
        <v>29</v>
      </c>
      <c r="D212" s="10" t="s">
        <v>30</v>
      </c>
      <c r="E212" s="10">
        <f>2.58/1000</f>
        <v>2.5800000000000003E-3</v>
      </c>
      <c r="F212" s="17">
        <f>F210*E212</f>
        <v>1.3597889999999999</v>
      </c>
      <c r="G212" s="17"/>
      <c r="H212" s="17"/>
      <c r="I212" s="17"/>
      <c r="J212" s="17"/>
      <c r="K212" s="17"/>
      <c r="L212" s="17"/>
      <c r="M212" s="17"/>
    </row>
    <row r="213" spans="1:13" ht="18" x14ac:dyDescent="0.25">
      <c r="A213" s="13"/>
      <c r="B213" s="67" t="s">
        <v>153</v>
      </c>
      <c r="C213" s="44" t="s">
        <v>50</v>
      </c>
      <c r="D213" s="10" t="s">
        <v>30</v>
      </c>
      <c r="E213" s="10">
        <f>0.42/1000</f>
        <v>4.1999999999999996E-4</v>
      </c>
      <c r="F213" s="17">
        <f>F210*E213</f>
        <v>0.22136099999999997</v>
      </c>
      <c r="G213" s="17"/>
      <c r="H213" s="17"/>
      <c r="I213" s="17"/>
      <c r="J213" s="17"/>
      <c r="K213" s="63"/>
      <c r="L213" s="17"/>
      <c r="M213" s="17"/>
    </row>
    <row r="214" spans="1:13" ht="18" x14ac:dyDescent="0.25">
      <c r="A214" s="13"/>
      <c r="B214" s="67" t="s">
        <v>168</v>
      </c>
      <c r="C214" s="21" t="s">
        <v>72</v>
      </c>
      <c r="D214" s="10" t="s">
        <v>30</v>
      </c>
      <c r="E214" s="10">
        <f>11.2/1000</f>
        <v>1.12E-2</v>
      </c>
      <c r="F214" s="17">
        <f>E214*F210</f>
        <v>5.9029599999999993</v>
      </c>
      <c r="G214" s="17"/>
      <c r="H214" s="17"/>
      <c r="I214" s="17"/>
      <c r="J214" s="17"/>
      <c r="K214" s="17"/>
      <c r="L214" s="17"/>
      <c r="M214" s="17"/>
    </row>
    <row r="215" spans="1:13" ht="18" x14ac:dyDescent="0.25">
      <c r="A215" s="13"/>
      <c r="B215" s="67" t="s">
        <v>169</v>
      </c>
      <c r="C215" s="21" t="s">
        <v>73</v>
      </c>
      <c r="D215" s="10" t="s">
        <v>30</v>
      </c>
      <c r="E215" s="10">
        <f>24.8/1000</f>
        <v>2.4799999999999999E-2</v>
      </c>
      <c r="F215" s="17">
        <f>E215*F210</f>
        <v>13.070839999999999</v>
      </c>
      <c r="G215" s="17"/>
      <c r="H215" s="17"/>
      <c r="I215" s="17"/>
      <c r="J215" s="17"/>
      <c r="K215" s="17"/>
      <c r="L215" s="17"/>
      <c r="M215" s="17"/>
    </row>
    <row r="216" spans="1:13" ht="18" x14ac:dyDescent="0.25">
      <c r="A216" s="13"/>
      <c r="B216" s="67" t="s">
        <v>166</v>
      </c>
      <c r="C216" s="21" t="s">
        <v>54</v>
      </c>
      <c r="D216" s="10" t="s">
        <v>30</v>
      </c>
      <c r="E216" s="10">
        <f>4.14/1000</f>
        <v>4.1399999999999996E-3</v>
      </c>
      <c r="F216" s="17">
        <f>F210*E216</f>
        <v>2.1819869999999995</v>
      </c>
      <c r="G216" s="17"/>
      <c r="H216" s="17"/>
      <c r="I216" s="17"/>
      <c r="J216" s="17"/>
      <c r="K216" s="17"/>
      <c r="L216" s="17"/>
      <c r="M216" s="17"/>
    </row>
    <row r="217" spans="1:13" ht="18" x14ac:dyDescent="0.25">
      <c r="A217" s="13"/>
      <c r="B217" s="67" t="s">
        <v>170</v>
      </c>
      <c r="C217" s="23" t="s">
        <v>74</v>
      </c>
      <c r="D217" s="10" t="s">
        <v>30</v>
      </c>
      <c r="E217" s="10">
        <f>0.53/1000</f>
        <v>5.2999999999999998E-4</v>
      </c>
      <c r="F217" s="17">
        <f>F210*E217</f>
        <v>0.27933649999999999</v>
      </c>
      <c r="G217" s="17"/>
      <c r="H217" s="17"/>
      <c r="I217" s="17"/>
      <c r="J217" s="17"/>
      <c r="K217" s="17"/>
      <c r="L217" s="17"/>
      <c r="M217" s="17"/>
    </row>
    <row r="218" spans="1:13" ht="18" x14ac:dyDescent="0.25">
      <c r="A218" s="13"/>
      <c r="B218" s="20"/>
      <c r="C218" s="10" t="s">
        <v>55</v>
      </c>
      <c r="D218" s="51"/>
      <c r="E218" s="10"/>
      <c r="F218" s="17"/>
      <c r="G218" s="17"/>
      <c r="H218" s="17"/>
      <c r="I218" s="17"/>
      <c r="J218" s="17"/>
      <c r="K218" s="17"/>
      <c r="L218" s="17"/>
      <c r="M218" s="17"/>
    </row>
    <row r="219" spans="1:13" ht="36" x14ac:dyDescent="0.25">
      <c r="A219" s="13"/>
      <c r="B219" s="67" t="s">
        <v>160</v>
      </c>
      <c r="C219" s="23" t="s">
        <v>95</v>
      </c>
      <c r="D219" s="10" t="s">
        <v>57</v>
      </c>
      <c r="E219" s="10" t="s">
        <v>63</v>
      </c>
      <c r="F219" s="17">
        <f>F210*0.1*1.26</f>
        <v>66.408299999999997</v>
      </c>
      <c r="G219" s="17"/>
      <c r="H219" s="17"/>
      <c r="I219" s="17"/>
      <c r="J219" s="17"/>
      <c r="K219" s="17"/>
      <c r="L219" s="17"/>
      <c r="M219" s="17"/>
    </row>
    <row r="220" spans="1:13" ht="19.5" x14ac:dyDescent="0.35">
      <c r="A220" s="13"/>
      <c r="B220" s="20"/>
      <c r="C220" s="45" t="s">
        <v>58</v>
      </c>
      <c r="D220" s="10" t="s">
        <v>57</v>
      </c>
      <c r="E220" s="10">
        <f>30/1000</f>
        <v>0.03</v>
      </c>
      <c r="F220" s="17">
        <f>F210*E220</f>
        <v>15.811499999999999</v>
      </c>
      <c r="G220" s="17"/>
      <c r="H220" s="17"/>
      <c r="I220" s="17"/>
      <c r="J220" s="17"/>
      <c r="K220" s="17"/>
      <c r="L220" s="17"/>
      <c r="M220" s="17"/>
    </row>
    <row r="221" spans="1:13" ht="36" x14ac:dyDescent="0.25">
      <c r="A221" s="13"/>
      <c r="B221" s="35" t="s">
        <v>156</v>
      </c>
      <c r="C221" s="23" t="s">
        <v>122</v>
      </c>
      <c r="D221" s="10" t="s">
        <v>35</v>
      </c>
      <c r="E221" s="10"/>
      <c r="F221" s="17">
        <f>F219*1.6</f>
        <v>106.25328</v>
      </c>
      <c r="G221" s="17"/>
      <c r="H221" s="17"/>
      <c r="I221" s="17"/>
      <c r="J221" s="17"/>
      <c r="K221" s="64"/>
      <c r="L221" s="17"/>
      <c r="M221" s="17"/>
    </row>
    <row r="222" spans="1:13" ht="37.5" x14ac:dyDescent="0.25">
      <c r="A222" s="13">
        <v>6</v>
      </c>
      <c r="B222" s="9" t="s">
        <v>76</v>
      </c>
      <c r="C222" s="41" t="s">
        <v>77</v>
      </c>
      <c r="D222" s="13" t="s">
        <v>35</v>
      </c>
      <c r="E222" s="10"/>
      <c r="F222" s="34">
        <f>F227*0.0007</f>
        <v>0.35136499999999998</v>
      </c>
      <c r="G222" s="17"/>
      <c r="H222" s="17"/>
      <c r="I222" s="17"/>
      <c r="J222" s="17"/>
      <c r="K222" s="17"/>
      <c r="L222" s="17"/>
      <c r="M222" s="17"/>
    </row>
    <row r="223" spans="1:13" ht="18" x14ac:dyDescent="0.35">
      <c r="A223" s="13"/>
      <c r="B223" s="35" t="s">
        <v>171</v>
      </c>
      <c r="C223" s="45" t="s">
        <v>78</v>
      </c>
      <c r="D223" s="31" t="s">
        <v>30</v>
      </c>
      <c r="E223" s="50">
        <v>0.3</v>
      </c>
      <c r="F223" s="17">
        <f>F222*E223</f>
        <v>0.10540949999999999</v>
      </c>
      <c r="G223" s="17"/>
      <c r="H223" s="17"/>
      <c r="I223" s="17"/>
      <c r="J223" s="17"/>
      <c r="K223" s="17"/>
      <c r="L223" s="17"/>
      <c r="M223" s="17"/>
    </row>
    <row r="224" spans="1:13" ht="18" x14ac:dyDescent="0.25">
      <c r="A224" s="13"/>
      <c r="B224" s="20"/>
      <c r="C224" s="10" t="s">
        <v>55</v>
      </c>
      <c r="D224" s="51"/>
      <c r="E224" s="10"/>
      <c r="F224" s="17"/>
      <c r="G224" s="17"/>
      <c r="H224" s="17"/>
      <c r="I224" s="17"/>
      <c r="J224" s="17"/>
      <c r="K224" s="17"/>
      <c r="L224" s="17"/>
      <c r="M224" s="17"/>
    </row>
    <row r="225" spans="1:13" ht="18" x14ac:dyDescent="0.25">
      <c r="A225" s="13"/>
      <c r="B225" s="35" t="s">
        <v>130</v>
      </c>
      <c r="C225" s="44" t="s">
        <v>67</v>
      </c>
      <c r="D225" s="10" t="s">
        <v>35</v>
      </c>
      <c r="E225" s="50">
        <v>1</v>
      </c>
      <c r="F225" s="17">
        <f>F222*E225</f>
        <v>0.35136499999999998</v>
      </c>
      <c r="G225" s="17"/>
      <c r="H225" s="17"/>
      <c r="I225" s="17"/>
      <c r="J225" s="17"/>
      <c r="K225" s="17"/>
      <c r="L225" s="17"/>
      <c r="M225" s="17"/>
    </row>
    <row r="226" spans="1:13" ht="18" x14ac:dyDescent="0.25">
      <c r="A226" s="13"/>
      <c r="B226" s="35" t="s">
        <v>156</v>
      </c>
      <c r="C226" s="21" t="s">
        <v>117</v>
      </c>
      <c r="D226" s="10" t="s">
        <v>35</v>
      </c>
      <c r="E226" s="10"/>
      <c r="F226" s="17">
        <f>F225</f>
        <v>0.35136499999999998</v>
      </c>
      <c r="G226" s="17"/>
      <c r="H226" s="17"/>
      <c r="I226" s="17"/>
      <c r="J226" s="17"/>
      <c r="K226" s="64"/>
      <c r="L226" s="17"/>
      <c r="M226" s="17"/>
    </row>
    <row r="227" spans="1:13" ht="51.75" x14ac:dyDescent="0.25">
      <c r="A227" s="13">
        <v>7</v>
      </c>
      <c r="B227" s="9" t="s">
        <v>83</v>
      </c>
      <c r="C227" s="41" t="s">
        <v>134</v>
      </c>
      <c r="D227" s="20" t="s">
        <v>79</v>
      </c>
      <c r="E227" s="10"/>
      <c r="F227" s="34">
        <v>501.95</v>
      </c>
      <c r="G227" s="17"/>
      <c r="H227" s="17"/>
      <c r="I227" s="17"/>
      <c r="J227" s="17"/>
      <c r="K227" s="17"/>
      <c r="L227" s="17"/>
      <c r="M227" s="17"/>
    </row>
    <row r="228" spans="1:13" ht="18" x14ac:dyDescent="0.25">
      <c r="A228" s="13"/>
      <c r="B228" s="20"/>
      <c r="C228" s="44" t="s">
        <v>21</v>
      </c>
      <c r="D228" s="10" t="s">
        <v>22</v>
      </c>
      <c r="E228" s="10">
        <f>(37.5+0.07+0.07+0.07+0.07)/1000</f>
        <v>3.7780000000000001E-2</v>
      </c>
      <c r="F228" s="17">
        <f>F227*E228</f>
        <v>18.963671000000001</v>
      </c>
      <c r="G228" s="17"/>
      <c r="H228" s="17"/>
      <c r="I228" s="64"/>
      <c r="J228" s="17"/>
      <c r="K228" s="17"/>
      <c r="L228" s="17"/>
      <c r="M228" s="17"/>
    </row>
    <row r="229" spans="1:13" ht="18" x14ac:dyDescent="0.35">
      <c r="A229" s="13"/>
      <c r="B229" s="67" t="s">
        <v>168</v>
      </c>
      <c r="C229" s="45" t="s">
        <v>72</v>
      </c>
      <c r="D229" s="10" t="s">
        <v>30</v>
      </c>
      <c r="E229" s="10">
        <f>3.7/1000</f>
        <v>3.7000000000000002E-3</v>
      </c>
      <c r="F229" s="17">
        <f>E229*F227</f>
        <v>1.8572150000000001</v>
      </c>
      <c r="G229" s="17"/>
      <c r="H229" s="17"/>
      <c r="I229" s="17"/>
      <c r="J229" s="17"/>
      <c r="K229" s="17"/>
      <c r="L229" s="17"/>
      <c r="M229" s="17"/>
    </row>
    <row r="230" spans="1:13" ht="18" x14ac:dyDescent="0.35">
      <c r="A230" s="13"/>
      <c r="B230" s="67" t="s">
        <v>169</v>
      </c>
      <c r="C230" s="45" t="s">
        <v>80</v>
      </c>
      <c r="D230" s="10" t="s">
        <v>30</v>
      </c>
      <c r="E230" s="10">
        <f>11.1/1000</f>
        <v>1.11E-2</v>
      </c>
      <c r="F230" s="17">
        <f>E230*F227</f>
        <v>5.5716450000000002</v>
      </c>
      <c r="G230" s="17"/>
      <c r="H230" s="17"/>
      <c r="I230" s="17"/>
      <c r="J230" s="17"/>
      <c r="K230" s="17"/>
      <c r="L230" s="17"/>
      <c r="M230" s="17"/>
    </row>
    <row r="231" spans="1:13" ht="18" x14ac:dyDescent="0.35">
      <c r="A231" s="13"/>
      <c r="B231" s="35" t="s">
        <v>172</v>
      </c>
      <c r="C231" s="45" t="s">
        <v>81</v>
      </c>
      <c r="D231" s="10" t="s">
        <v>30</v>
      </c>
      <c r="E231" s="10">
        <f>3.02/1000</f>
        <v>3.0200000000000001E-3</v>
      </c>
      <c r="F231" s="17">
        <f>E231*F227</f>
        <v>1.515889</v>
      </c>
      <c r="G231" s="17"/>
      <c r="H231" s="17"/>
      <c r="I231" s="17"/>
      <c r="J231" s="17"/>
      <c r="K231" s="17"/>
      <c r="L231" s="17"/>
      <c r="M231" s="17"/>
    </row>
    <row r="232" spans="1:13" ht="18" x14ac:dyDescent="0.35">
      <c r="A232" s="13"/>
      <c r="B232" s="20"/>
      <c r="C232" s="45" t="s">
        <v>34</v>
      </c>
      <c r="D232" s="51" t="s">
        <v>25</v>
      </c>
      <c r="E232" s="10">
        <f>2.3/1000</f>
        <v>2.3E-3</v>
      </c>
      <c r="F232" s="17">
        <f>E232*F227</f>
        <v>1.154485</v>
      </c>
      <c r="G232" s="17"/>
      <c r="H232" s="17"/>
      <c r="I232" s="17"/>
      <c r="J232" s="17"/>
      <c r="K232" s="17"/>
      <c r="L232" s="17"/>
      <c r="M232" s="17"/>
    </row>
    <row r="233" spans="1:13" ht="18" x14ac:dyDescent="0.25">
      <c r="A233" s="13"/>
      <c r="B233" s="20"/>
      <c r="C233" s="10" t="s">
        <v>55</v>
      </c>
      <c r="D233" s="51"/>
      <c r="E233" s="10"/>
      <c r="F233" s="17"/>
      <c r="G233" s="17"/>
      <c r="H233" s="17"/>
      <c r="I233" s="17"/>
      <c r="J233" s="17"/>
      <c r="K233" s="17"/>
      <c r="L233" s="17"/>
      <c r="M233" s="17"/>
    </row>
    <row r="234" spans="1:13" ht="18" x14ac:dyDescent="0.25">
      <c r="A234" s="13"/>
      <c r="B234" s="35" t="s">
        <v>131</v>
      </c>
      <c r="C234" s="37" t="s">
        <v>82</v>
      </c>
      <c r="D234" s="10" t="s">
        <v>35</v>
      </c>
      <c r="E234" s="10">
        <f>(97.4+12.1+12.1+12.1+12.1)/1000</f>
        <v>0.14579999999999999</v>
      </c>
      <c r="F234" s="17">
        <f>F227*E234</f>
        <v>73.184309999999996</v>
      </c>
      <c r="G234" s="17"/>
      <c r="H234" s="17"/>
      <c r="I234" s="17"/>
      <c r="J234" s="17"/>
      <c r="K234" s="17"/>
      <c r="L234" s="17"/>
      <c r="M234" s="17"/>
    </row>
    <row r="235" spans="1:13" ht="18" x14ac:dyDescent="0.35">
      <c r="A235" s="13"/>
      <c r="B235" s="20"/>
      <c r="C235" s="45" t="s">
        <v>65</v>
      </c>
      <c r="D235" s="51" t="s">
        <v>25</v>
      </c>
      <c r="E235" s="10">
        <f>(14.5+0.2+0.2+0.2+0.2)/1000</f>
        <v>1.5299999999999998E-2</v>
      </c>
      <c r="F235" s="17">
        <f>F227*E235</f>
        <v>7.6798349999999989</v>
      </c>
      <c r="G235" s="17"/>
      <c r="H235" s="17"/>
      <c r="I235" s="17"/>
      <c r="J235" s="17"/>
      <c r="K235" s="153"/>
      <c r="L235" s="153"/>
      <c r="M235" s="17"/>
    </row>
    <row r="236" spans="1:13" ht="18" x14ac:dyDescent="0.25">
      <c r="A236" s="13"/>
      <c r="B236" s="35" t="s">
        <v>156</v>
      </c>
      <c r="C236" s="23" t="s">
        <v>121</v>
      </c>
      <c r="D236" s="10" t="s">
        <v>35</v>
      </c>
      <c r="E236" s="10"/>
      <c r="F236" s="17">
        <f>F234</f>
        <v>73.184309999999996</v>
      </c>
      <c r="G236" s="17"/>
      <c r="H236" s="17"/>
      <c r="I236" s="17"/>
      <c r="J236" s="17"/>
      <c r="K236" s="64"/>
      <c r="L236" s="17"/>
      <c r="M236" s="17"/>
    </row>
    <row r="237" spans="1:13" ht="72" x14ac:dyDescent="0.35">
      <c r="A237" s="13">
        <v>8</v>
      </c>
      <c r="B237" s="13" t="s">
        <v>52</v>
      </c>
      <c r="C237" s="162" t="s">
        <v>96</v>
      </c>
      <c r="D237" s="16" t="s">
        <v>40</v>
      </c>
      <c r="E237" s="163"/>
      <c r="F237" s="156">
        <f>18.24/1.22</f>
        <v>14.950819672131146</v>
      </c>
      <c r="G237" s="63"/>
      <c r="H237" s="63"/>
      <c r="I237" s="63"/>
      <c r="J237" s="63"/>
      <c r="K237" s="63"/>
      <c r="L237" s="63"/>
      <c r="M237" s="63"/>
    </row>
    <row r="238" spans="1:13" ht="18" x14ac:dyDescent="0.35">
      <c r="A238" s="13"/>
      <c r="B238" s="20"/>
      <c r="C238" s="157" t="s">
        <v>21</v>
      </c>
      <c r="D238" s="10" t="s">
        <v>22</v>
      </c>
      <c r="E238" s="164">
        <v>0.15</v>
      </c>
      <c r="F238" s="63">
        <f>F237*E238</f>
        <v>2.2426229508196718</v>
      </c>
      <c r="G238" s="17"/>
      <c r="H238" s="17"/>
      <c r="I238" s="64"/>
      <c r="J238" s="17"/>
      <c r="K238" s="17"/>
      <c r="L238" s="17"/>
      <c r="M238" s="17"/>
    </row>
    <row r="239" spans="1:13" ht="18" x14ac:dyDescent="0.25">
      <c r="A239" s="13"/>
      <c r="B239" s="67" t="s">
        <v>153</v>
      </c>
      <c r="C239" s="158" t="s">
        <v>50</v>
      </c>
      <c r="D239" s="10" t="s">
        <v>30</v>
      </c>
      <c r="E239" s="164">
        <v>2.1999999999999999E-2</v>
      </c>
      <c r="F239" s="63">
        <f>F237*E239</f>
        <v>0.32891803278688519</v>
      </c>
      <c r="G239" s="17"/>
      <c r="H239" s="17"/>
      <c r="I239" s="17"/>
      <c r="J239" s="17"/>
      <c r="K239" s="63"/>
      <c r="L239" s="17"/>
      <c r="M239" s="17"/>
    </row>
    <row r="240" spans="1:13" ht="18" x14ac:dyDescent="0.25">
      <c r="A240" s="13"/>
      <c r="B240" s="67" t="s">
        <v>165</v>
      </c>
      <c r="C240" s="158" t="s">
        <v>53</v>
      </c>
      <c r="D240" s="10" t="s">
        <v>30</v>
      </c>
      <c r="E240" s="164">
        <v>2.7E-2</v>
      </c>
      <c r="F240" s="63">
        <f>F237*E240</f>
        <v>0.40367213114754097</v>
      </c>
      <c r="G240" s="17"/>
      <c r="H240" s="17"/>
      <c r="I240" s="17"/>
      <c r="J240" s="17"/>
      <c r="K240" s="17"/>
      <c r="L240" s="17"/>
      <c r="M240" s="17"/>
    </row>
    <row r="241" spans="1:13" ht="18" x14ac:dyDescent="0.25">
      <c r="A241" s="13"/>
      <c r="B241" s="67" t="s">
        <v>166</v>
      </c>
      <c r="C241" s="158" t="s">
        <v>54</v>
      </c>
      <c r="D241" s="10" t="s">
        <v>30</v>
      </c>
      <c r="E241" s="164">
        <v>0.01</v>
      </c>
      <c r="F241" s="63">
        <f>F237*E241</f>
        <v>0.14950819672131146</v>
      </c>
      <c r="G241" s="17"/>
      <c r="H241" s="17"/>
      <c r="I241" s="17"/>
      <c r="J241" s="17"/>
      <c r="K241" s="17"/>
      <c r="L241" s="17"/>
      <c r="M241" s="17"/>
    </row>
    <row r="242" spans="1:13" ht="18" x14ac:dyDescent="0.35">
      <c r="A242" s="13"/>
      <c r="B242" s="20"/>
      <c r="C242" s="157" t="s">
        <v>55</v>
      </c>
      <c r="D242" s="165"/>
      <c r="E242" s="164"/>
      <c r="F242" s="63"/>
      <c r="G242" s="17"/>
      <c r="H242" s="17"/>
      <c r="I242" s="17"/>
      <c r="J242" s="17"/>
      <c r="K242" s="17"/>
      <c r="L242" s="17"/>
      <c r="M242" s="17"/>
    </row>
    <row r="243" spans="1:13" ht="36" x14ac:dyDescent="0.25">
      <c r="A243" s="13"/>
      <c r="B243" s="67" t="s">
        <v>167</v>
      </c>
      <c r="C243" s="158" t="s">
        <v>97</v>
      </c>
      <c r="D243" s="10" t="s">
        <v>57</v>
      </c>
      <c r="E243" s="164">
        <v>1.22</v>
      </c>
      <c r="F243" s="63">
        <f>F237*E243</f>
        <v>18.239999999999998</v>
      </c>
      <c r="G243" s="112"/>
      <c r="H243" s="17"/>
      <c r="I243" s="17"/>
      <c r="J243" s="17"/>
      <c r="K243" s="17"/>
      <c r="L243" s="17"/>
      <c r="M243" s="17"/>
    </row>
    <row r="244" spans="1:13" ht="19.5" x14ac:dyDescent="0.35">
      <c r="A244" s="13"/>
      <c r="B244" s="20"/>
      <c r="C244" s="157" t="s">
        <v>58</v>
      </c>
      <c r="D244" s="10" t="s">
        <v>57</v>
      </c>
      <c r="E244" s="164">
        <v>7.0000000000000007E-2</v>
      </c>
      <c r="F244" s="63">
        <f>F237*E244</f>
        <v>1.0465573770491803</v>
      </c>
      <c r="G244" s="17"/>
      <c r="H244" s="17"/>
      <c r="I244" s="17"/>
      <c r="J244" s="17"/>
      <c r="K244" s="17"/>
      <c r="L244" s="17"/>
      <c r="M244" s="17"/>
    </row>
    <row r="245" spans="1:13" ht="36" x14ac:dyDescent="0.35">
      <c r="A245" s="13"/>
      <c r="B245" s="35" t="s">
        <v>156</v>
      </c>
      <c r="C245" s="73" t="s">
        <v>119</v>
      </c>
      <c r="D245" s="49" t="s">
        <v>35</v>
      </c>
      <c r="E245" s="106"/>
      <c r="F245" s="17">
        <f>F243*1.6</f>
        <v>29.183999999999997</v>
      </c>
      <c r="G245" s="17"/>
      <c r="H245" s="17"/>
      <c r="I245" s="17"/>
      <c r="J245" s="17"/>
      <c r="K245" s="64"/>
      <c r="L245" s="17"/>
      <c r="M245" s="17"/>
    </row>
    <row r="246" spans="1:13" ht="18" x14ac:dyDescent="0.25">
      <c r="A246" s="166"/>
      <c r="B246" s="13" t="s">
        <v>23</v>
      </c>
      <c r="C246" s="46"/>
      <c r="D246" s="49"/>
      <c r="E246" s="10"/>
      <c r="F246" s="17"/>
      <c r="G246" s="17"/>
      <c r="H246" s="71"/>
      <c r="I246" s="71"/>
      <c r="J246" s="71"/>
      <c r="K246" s="71"/>
      <c r="L246" s="71"/>
      <c r="M246" s="71"/>
    </row>
    <row r="247" spans="1:13" ht="18" x14ac:dyDescent="0.25">
      <c r="A247" s="19"/>
      <c r="B247" s="19"/>
      <c r="C247" s="19" t="s">
        <v>233</v>
      </c>
      <c r="D247" s="19"/>
      <c r="E247" s="19"/>
      <c r="F247" s="19"/>
      <c r="G247" s="19"/>
      <c r="H247" s="19"/>
      <c r="I247" s="19"/>
      <c r="J247" s="19"/>
      <c r="K247" s="19"/>
      <c r="L247" s="19"/>
      <c r="M247" s="19"/>
    </row>
    <row r="248" spans="1:13" ht="36" x14ac:dyDescent="0.25">
      <c r="A248" s="13">
        <v>1</v>
      </c>
      <c r="B248" s="108" t="s">
        <v>26</v>
      </c>
      <c r="C248" s="26" t="s">
        <v>27</v>
      </c>
      <c r="D248" s="16" t="s">
        <v>40</v>
      </c>
      <c r="E248" s="16"/>
      <c r="F248" s="34">
        <f>F264*0.25</f>
        <v>53.15625</v>
      </c>
      <c r="G248" s="17"/>
      <c r="H248" s="17"/>
      <c r="I248" s="17"/>
      <c r="J248" s="17"/>
      <c r="K248" s="17"/>
      <c r="L248" s="17"/>
      <c r="M248" s="17"/>
    </row>
    <row r="249" spans="1:13" ht="18" x14ac:dyDescent="0.25">
      <c r="A249" s="13"/>
      <c r="B249" s="35" t="s">
        <v>152</v>
      </c>
      <c r="C249" s="21" t="s">
        <v>29</v>
      </c>
      <c r="D249" s="31" t="s">
        <v>30</v>
      </c>
      <c r="E249" s="106">
        <f>(19.1+14.4+14.4)/1000</f>
        <v>4.7899999999999998E-2</v>
      </c>
      <c r="F249" s="17">
        <f>F248*E249</f>
        <v>2.5461843749999997</v>
      </c>
      <c r="G249" s="63"/>
      <c r="H249" s="63"/>
      <c r="I249" s="63"/>
      <c r="J249" s="63"/>
      <c r="K249" s="63"/>
      <c r="L249" s="63"/>
      <c r="M249" s="63"/>
    </row>
    <row r="250" spans="1:13" ht="36" x14ac:dyDescent="0.25">
      <c r="A250" s="13">
        <v>2</v>
      </c>
      <c r="B250" s="105" t="s">
        <v>31</v>
      </c>
      <c r="C250" s="26" t="s">
        <v>32</v>
      </c>
      <c r="D250" s="16" t="s">
        <v>40</v>
      </c>
      <c r="E250" s="68"/>
      <c r="F250" s="34">
        <f>F248</f>
        <v>53.15625</v>
      </c>
      <c r="G250" s="63"/>
      <c r="H250" s="63"/>
      <c r="I250" s="63"/>
      <c r="J250" s="63"/>
      <c r="K250" s="63"/>
      <c r="L250" s="63"/>
      <c r="M250" s="63"/>
    </row>
    <row r="251" spans="1:13" ht="18" x14ac:dyDescent="0.25">
      <c r="A251" s="13"/>
      <c r="B251" s="62"/>
      <c r="C251" s="21" t="s">
        <v>21</v>
      </c>
      <c r="D251" s="10" t="s">
        <v>22</v>
      </c>
      <c r="E251" s="27">
        <f>15.5/1000</f>
        <v>1.55E-2</v>
      </c>
      <c r="F251" s="17">
        <f>F250*E251</f>
        <v>0.82392187500000003</v>
      </c>
      <c r="G251" s="63"/>
      <c r="H251" s="63"/>
      <c r="I251" s="64"/>
      <c r="J251" s="63"/>
      <c r="K251" s="63"/>
      <c r="L251" s="63"/>
      <c r="M251" s="63"/>
    </row>
    <row r="252" spans="1:13" ht="19.5" x14ac:dyDescent="0.25">
      <c r="A252" s="13"/>
      <c r="B252" s="35" t="s">
        <v>155</v>
      </c>
      <c r="C252" s="23" t="s">
        <v>33</v>
      </c>
      <c r="D252" s="31" t="s">
        <v>30</v>
      </c>
      <c r="E252" s="27">
        <f>34.7/1000</f>
        <v>3.4700000000000002E-2</v>
      </c>
      <c r="F252" s="17">
        <f>F250*E252</f>
        <v>1.8445218750000001</v>
      </c>
      <c r="G252" s="63"/>
      <c r="H252" s="63"/>
      <c r="I252" s="63"/>
      <c r="J252" s="63"/>
      <c r="K252" s="63"/>
      <c r="L252" s="63"/>
      <c r="M252" s="63"/>
    </row>
    <row r="253" spans="1:13" ht="18" x14ac:dyDescent="0.25">
      <c r="A253" s="13"/>
      <c r="B253" s="62"/>
      <c r="C253" s="21" t="s">
        <v>34</v>
      </c>
      <c r="D253" s="10" t="s">
        <v>25</v>
      </c>
      <c r="E253" s="27">
        <f>2.09/1000</f>
        <v>2.0899999999999998E-3</v>
      </c>
      <c r="F253" s="17">
        <f>F250*E253</f>
        <v>0.1110965625</v>
      </c>
      <c r="G253" s="63"/>
      <c r="H253" s="63"/>
      <c r="I253" s="63"/>
      <c r="J253" s="63"/>
      <c r="K253" s="63"/>
      <c r="L253" s="63"/>
      <c r="M253" s="63"/>
    </row>
    <row r="254" spans="1:13" ht="18" x14ac:dyDescent="0.25">
      <c r="A254" s="13">
        <v>3</v>
      </c>
      <c r="B254" s="35" t="s">
        <v>156</v>
      </c>
      <c r="C254" s="26" t="s">
        <v>158</v>
      </c>
      <c r="D254" s="16" t="s">
        <v>42</v>
      </c>
      <c r="E254" s="16"/>
      <c r="F254" s="34">
        <f>F250*1.8</f>
        <v>95.681250000000006</v>
      </c>
      <c r="G254" s="63"/>
      <c r="H254" s="63"/>
      <c r="I254" s="63"/>
      <c r="J254" s="63"/>
      <c r="K254" s="63"/>
      <c r="L254" s="63"/>
      <c r="M254" s="63"/>
    </row>
    <row r="255" spans="1:13" ht="72" x14ac:dyDescent="0.25">
      <c r="A255" s="13">
        <v>4</v>
      </c>
      <c r="B255" s="13" t="s">
        <v>69</v>
      </c>
      <c r="C255" s="150" t="s">
        <v>133</v>
      </c>
      <c r="D255" s="16" t="s">
        <v>40</v>
      </c>
      <c r="E255" s="10"/>
      <c r="F255" s="34">
        <f>F264*0.12</f>
        <v>25.515000000000001</v>
      </c>
      <c r="G255" s="17"/>
      <c r="H255" s="17"/>
      <c r="I255" s="17"/>
      <c r="J255" s="17"/>
      <c r="K255" s="17"/>
      <c r="L255" s="17"/>
      <c r="M255" s="17"/>
    </row>
    <row r="256" spans="1:13" ht="18" x14ac:dyDescent="0.25">
      <c r="A256" s="13"/>
      <c r="B256" s="20"/>
      <c r="C256" s="44" t="s">
        <v>21</v>
      </c>
      <c r="D256" s="10" t="s">
        <v>22</v>
      </c>
      <c r="E256" s="27">
        <f>15/100</f>
        <v>0.15</v>
      </c>
      <c r="F256" s="17">
        <f>F255*E256</f>
        <v>3.8272499999999998</v>
      </c>
      <c r="G256" s="17"/>
      <c r="H256" s="17"/>
      <c r="I256" s="64"/>
      <c r="J256" s="17"/>
      <c r="K256" s="17"/>
      <c r="L256" s="17"/>
      <c r="M256" s="17"/>
    </row>
    <row r="257" spans="1:13" ht="18" x14ac:dyDescent="0.25">
      <c r="A257" s="13"/>
      <c r="B257" s="67" t="s">
        <v>153</v>
      </c>
      <c r="C257" s="44" t="s">
        <v>50</v>
      </c>
      <c r="D257" s="10" t="s">
        <v>30</v>
      </c>
      <c r="E257" s="27">
        <f>2.16/100</f>
        <v>2.1600000000000001E-2</v>
      </c>
      <c r="F257" s="17">
        <f>F255*E257</f>
        <v>0.55112400000000006</v>
      </c>
      <c r="G257" s="17"/>
      <c r="H257" s="17"/>
      <c r="I257" s="17"/>
      <c r="J257" s="17"/>
      <c r="K257" s="63"/>
      <c r="L257" s="17"/>
      <c r="M257" s="17"/>
    </row>
    <row r="258" spans="1:13" ht="18" x14ac:dyDescent="0.25">
      <c r="A258" s="13"/>
      <c r="B258" s="67" t="s">
        <v>165</v>
      </c>
      <c r="C258" s="44" t="s">
        <v>53</v>
      </c>
      <c r="D258" s="10" t="s">
        <v>30</v>
      </c>
      <c r="E258" s="27">
        <f>2.73/100</f>
        <v>2.7300000000000001E-2</v>
      </c>
      <c r="F258" s="17">
        <f>E258*F255</f>
        <v>0.6965595</v>
      </c>
      <c r="G258" s="17"/>
      <c r="H258" s="17"/>
      <c r="I258" s="17"/>
      <c r="J258" s="17"/>
      <c r="K258" s="17"/>
      <c r="L258" s="17"/>
      <c r="M258" s="17"/>
    </row>
    <row r="259" spans="1:13" ht="18" x14ac:dyDescent="0.25">
      <c r="A259" s="13"/>
      <c r="B259" s="67" t="s">
        <v>166</v>
      </c>
      <c r="C259" s="44" t="s">
        <v>54</v>
      </c>
      <c r="D259" s="10" t="s">
        <v>30</v>
      </c>
      <c r="E259" s="27">
        <f>0.97/100</f>
        <v>9.7000000000000003E-3</v>
      </c>
      <c r="F259" s="17">
        <f>F255*E259</f>
        <v>0.24749550000000001</v>
      </c>
      <c r="G259" s="17"/>
      <c r="H259" s="17"/>
      <c r="I259" s="17"/>
      <c r="J259" s="17"/>
      <c r="K259" s="17"/>
      <c r="L259" s="17"/>
      <c r="M259" s="17"/>
    </row>
    <row r="260" spans="1:13" ht="18" x14ac:dyDescent="0.25">
      <c r="A260" s="13"/>
      <c r="B260" s="20"/>
      <c r="C260" s="10" t="s">
        <v>55</v>
      </c>
      <c r="D260" s="51"/>
      <c r="E260" s="10"/>
      <c r="F260" s="17"/>
      <c r="G260" s="17"/>
      <c r="H260" s="17"/>
      <c r="I260" s="17"/>
      <c r="J260" s="17"/>
      <c r="K260" s="17"/>
      <c r="L260" s="17"/>
      <c r="M260" s="17"/>
    </row>
    <row r="261" spans="1:13" ht="36" x14ac:dyDescent="0.25">
      <c r="A261" s="13"/>
      <c r="B261" s="67" t="s">
        <v>167</v>
      </c>
      <c r="C261" s="23" t="s">
        <v>97</v>
      </c>
      <c r="D261" s="10" t="s">
        <v>57</v>
      </c>
      <c r="E261" s="10">
        <v>1.22</v>
      </c>
      <c r="F261" s="17">
        <f>F255*E261</f>
        <v>31.128299999999999</v>
      </c>
      <c r="G261" s="112"/>
      <c r="H261" s="17"/>
      <c r="I261" s="17"/>
      <c r="J261" s="17"/>
      <c r="K261" s="17"/>
      <c r="L261" s="17"/>
      <c r="M261" s="17"/>
    </row>
    <row r="262" spans="1:13" ht="19.5" x14ac:dyDescent="0.25">
      <c r="A262" s="13"/>
      <c r="B262" s="20"/>
      <c r="C262" s="21" t="s">
        <v>58</v>
      </c>
      <c r="D262" s="10" t="s">
        <v>57</v>
      </c>
      <c r="E262" s="27">
        <v>7.0000000000000007E-2</v>
      </c>
      <c r="F262" s="17">
        <f>F255*E262</f>
        <v>1.7860500000000001</v>
      </c>
      <c r="G262" s="17"/>
      <c r="H262" s="17"/>
      <c r="I262" s="17"/>
      <c r="J262" s="17"/>
      <c r="K262" s="17"/>
      <c r="L262" s="17"/>
      <c r="M262" s="17"/>
    </row>
    <row r="263" spans="1:13" ht="36" x14ac:dyDescent="0.35">
      <c r="A263" s="13"/>
      <c r="B263" s="35" t="s">
        <v>156</v>
      </c>
      <c r="C263" s="54" t="s">
        <v>135</v>
      </c>
      <c r="D263" s="10" t="s">
        <v>35</v>
      </c>
      <c r="E263" s="27"/>
      <c r="F263" s="17">
        <f>F261*1.6</f>
        <v>49.805280000000003</v>
      </c>
      <c r="G263" s="17"/>
      <c r="H263" s="17"/>
      <c r="I263" s="17"/>
      <c r="J263" s="17"/>
      <c r="K263" s="64"/>
      <c r="L263" s="17"/>
      <c r="M263" s="17"/>
    </row>
    <row r="264" spans="1:13" ht="34.5" x14ac:dyDescent="0.25">
      <c r="A264" s="13">
        <v>5</v>
      </c>
      <c r="B264" s="105" t="s">
        <v>70</v>
      </c>
      <c r="C264" s="32" t="s">
        <v>136</v>
      </c>
      <c r="D264" s="161" t="s">
        <v>79</v>
      </c>
      <c r="E264" s="10"/>
      <c r="F264" s="34">
        <f>F281*1.05</f>
        <v>212.625</v>
      </c>
      <c r="G264" s="17"/>
      <c r="H264" s="17"/>
      <c r="I264" s="17"/>
      <c r="J264" s="17"/>
      <c r="K264" s="17"/>
      <c r="L264" s="17"/>
      <c r="M264" s="17"/>
    </row>
    <row r="265" spans="1:13" ht="18" x14ac:dyDescent="0.25">
      <c r="A265" s="13"/>
      <c r="B265" s="20"/>
      <c r="C265" s="44" t="s">
        <v>21</v>
      </c>
      <c r="D265" s="10" t="s">
        <v>22</v>
      </c>
      <c r="E265" s="10">
        <f>33/1000</f>
        <v>3.3000000000000002E-2</v>
      </c>
      <c r="F265" s="17">
        <f>F264*E265</f>
        <v>7.0166250000000003</v>
      </c>
      <c r="G265" s="17"/>
      <c r="H265" s="17"/>
      <c r="I265" s="64"/>
      <c r="J265" s="17"/>
      <c r="K265" s="17"/>
      <c r="L265" s="17"/>
      <c r="M265" s="17"/>
    </row>
    <row r="266" spans="1:13" ht="18" x14ac:dyDescent="0.25">
      <c r="A266" s="13"/>
      <c r="B266" s="67" t="s">
        <v>152</v>
      </c>
      <c r="C266" s="21" t="s">
        <v>29</v>
      </c>
      <c r="D266" s="10" t="s">
        <v>30</v>
      </c>
      <c r="E266" s="10">
        <f>2.58/1000</f>
        <v>2.5800000000000003E-3</v>
      </c>
      <c r="F266" s="17">
        <f>F264*E266</f>
        <v>0.54857250000000002</v>
      </c>
      <c r="G266" s="17"/>
      <c r="H266" s="17"/>
      <c r="I266" s="17"/>
      <c r="J266" s="17"/>
      <c r="K266" s="17"/>
      <c r="L266" s="17"/>
      <c r="M266" s="17"/>
    </row>
    <row r="267" spans="1:13" ht="18" x14ac:dyDescent="0.25">
      <c r="A267" s="13"/>
      <c r="B267" s="67" t="s">
        <v>153</v>
      </c>
      <c r="C267" s="44" t="s">
        <v>50</v>
      </c>
      <c r="D267" s="10" t="s">
        <v>30</v>
      </c>
      <c r="E267" s="10">
        <f>0.42/1000</f>
        <v>4.1999999999999996E-4</v>
      </c>
      <c r="F267" s="17">
        <f>F264*E267</f>
        <v>8.9302499999999993E-2</v>
      </c>
      <c r="G267" s="17"/>
      <c r="H267" s="17"/>
      <c r="I267" s="17"/>
      <c r="J267" s="17"/>
      <c r="K267" s="63"/>
      <c r="L267" s="17"/>
      <c r="M267" s="17"/>
    </row>
    <row r="268" spans="1:13" ht="18" x14ac:dyDescent="0.25">
      <c r="A268" s="13"/>
      <c r="B268" s="67" t="s">
        <v>168</v>
      </c>
      <c r="C268" s="21" t="s">
        <v>72</v>
      </c>
      <c r="D268" s="10" t="s">
        <v>30</v>
      </c>
      <c r="E268" s="10">
        <f>11.2/1000</f>
        <v>1.12E-2</v>
      </c>
      <c r="F268" s="17">
        <f>E268*F264</f>
        <v>2.3814000000000002</v>
      </c>
      <c r="G268" s="17"/>
      <c r="H268" s="17"/>
      <c r="I268" s="17"/>
      <c r="J268" s="17"/>
      <c r="K268" s="17"/>
      <c r="L268" s="17"/>
      <c r="M268" s="17"/>
    </row>
    <row r="269" spans="1:13" ht="18" x14ac:dyDescent="0.25">
      <c r="A269" s="13"/>
      <c r="B269" s="67" t="s">
        <v>169</v>
      </c>
      <c r="C269" s="21" t="s">
        <v>73</v>
      </c>
      <c r="D269" s="10" t="s">
        <v>30</v>
      </c>
      <c r="E269" s="10">
        <f>24.8/1000</f>
        <v>2.4799999999999999E-2</v>
      </c>
      <c r="F269" s="17">
        <f>E269*F264</f>
        <v>5.2730999999999995</v>
      </c>
      <c r="G269" s="17"/>
      <c r="H269" s="17"/>
      <c r="I269" s="17"/>
      <c r="J269" s="17"/>
      <c r="K269" s="17"/>
      <c r="L269" s="17"/>
      <c r="M269" s="17"/>
    </row>
    <row r="270" spans="1:13" ht="18" x14ac:dyDescent="0.25">
      <c r="A270" s="13"/>
      <c r="B270" s="67" t="s">
        <v>166</v>
      </c>
      <c r="C270" s="21" t="s">
        <v>54</v>
      </c>
      <c r="D270" s="10" t="s">
        <v>30</v>
      </c>
      <c r="E270" s="10">
        <f>4.14/1000</f>
        <v>4.1399999999999996E-3</v>
      </c>
      <c r="F270" s="17">
        <f>F264*E270</f>
        <v>0.88026749999999987</v>
      </c>
      <c r="G270" s="17"/>
      <c r="H270" s="17"/>
      <c r="I270" s="17"/>
      <c r="J270" s="17"/>
      <c r="K270" s="17"/>
      <c r="L270" s="17"/>
      <c r="M270" s="17"/>
    </row>
    <row r="271" spans="1:13" ht="18" x14ac:dyDescent="0.25">
      <c r="A271" s="13"/>
      <c r="B271" s="67" t="s">
        <v>170</v>
      </c>
      <c r="C271" s="23" t="s">
        <v>74</v>
      </c>
      <c r="D271" s="10" t="s">
        <v>30</v>
      </c>
      <c r="E271" s="10">
        <f>0.53/1000</f>
        <v>5.2999999999999998E-4</v>
      </c>
      <c r="F271" s="17">
        <f>F264*E271</f>
        <v>0.11269124999999999</v>
      </c>
      <c r="G271" s="17"/>
      <c r="H271" s="17"/>
      <c r="I271" s="17"/>
      <c r="J271" s="17"/>
      <c r="K271" s="17"/>
      <c r="L271" s="17"/>
      <c r="M271" s="17"/>
    </row>
    <row r="272" spans="1:13" ht="18" x14ac:dyDescent="0.25">
      <c r="A272" s="13"/>
      <c r="B272" s="20"/>
      <c r="C272" s="10" t="s">
        <v>55</v>
      </c>
      <c r="D272" s="51"/>
      <c r="E272" s="10"/>
      <c r="F272" s="17"/>
      <c r="G272" s="17"/>
      <c r="H272" s="17"/>
      <c r="I272" s="17"/>
      <c r="J272" s="17"/>
      <c r="K272" s="17"/>
      <c r="L272" s="17"/>
      <c r="M272" s="17"/>
    </row>
    <row r="273" spans="1:13" ht="36" x14ac:dyDescent="0.25">
      <c r="A273" s="13"/>
      <c r="B273" s="67" t="s">
        <v>160</v>
      </c>
      <c r="C273" s="23" t="s">
        <v>95</v>
      </c>
      <c r="D273" s="10" t="s">
        <v>57</v>
      </c>
      <c r="E273" s="10" t="s">
        <v>63</v>
      </c>
      <c r="F273" s="17">
        <f>F264*0.1*1.26</f>
        <v>26.790750000000003</v>
      </c>
      <c r="G273" s="17"/>
      <c r="H273" s="17"/>
      <c r="I273" s="17"/>
      <c r="J273" s="17"/>
      <c r="K273" s="17"/>
      <c r="L273" s="17"/>
      <c r="M273" s="17"/>
    </row>
    <row r="274" spans="1:13" ht="19.5" x14ac:dyDescent="0.35">
      <c r="A274" s="13"/>
      <c r="B274" s="20"/>
      <c r="C274" s="45" t="s">
        <v>58</v>
      </c>
      <c r="D274" s="10" t="s">
        <v>57</v>
      </c>
      <c r="E274" s="10">
        <f>30/1000</f>
        <v>0.03</v>
      </c>
      <c r="F274" s="17">
        <f>F264*E274</f>
        <v>6.3787500000000001</v>
      </c>
      <c r="G274" s="17"/>
      <c r="H274" s="17"/>
      <c r="I274" s="17"/>
      <c r="J274" s="17"/>
      <c r="K274" s="17"/>
      <c r="L274" s="17"/>
      <c r="M274" s="17"/>
    </row>
    <row r="275" spans="1:13" ht="36" x14ac:dyDescent="0.25">
      <c r="A275" s="13"/>
      <c r="B275" s="35" t="s">
        <v>156</v>
      </c>
      <c r="C275" s="23" t="s">
        <v>122</v>
      </c>
      <c r="D275" s="10" t="s">
        <v>35</v>
      </c>
      <c r="E275" s="10"/>
      <c r="F275" s="17">
        <f>F273*1.6</f>
        <v>42.865200000000009</v>
      </c>
      <c r="G275" s="17"/>
      <c r="H275" s="17"/>
      <c r="I275" s="17"/>
      <c r="J275" s="17"/>
      <c r="K275" s="64"/>
      <c r="L275" s="17"/>
      <c r="M275" s="17"/>
    </row>
    <row r="276" spans="1:13" ht="37.5" x14ac:dyDescent="0.25">
      <c r="A276" s="13">
        <v>6</v>
      </c>
      <c r="B276" s="9" t="s">
        <v>76</v>
      </c>
      <c r="C276" s="41" t="s">
        <v>77</v>
      </c>
      <c r="D276" s="13" t="s">
        <v>35</v>
      </c>
      <c r="E276" s="10"/>
      <c r="F276" s="34">
        <f>F281*0.0007</f>
        <v>0.14174999999999999</v>
      </c>
      <c r="G276" s="17"/>
      <c r="H276" s="17"/>
      <c r="I276" s="17"/>
      <c r="J276" s="17"/>
      <c r="K276" s="17"/>
      <c r="L276" s="17"/>
      <c r="M276" s="17"/>
    </row>
    <row r="277" spans="1:13" ht="18" x14ac:dyDescent="0.35">
      <c r="A277" s="13"/>
      <c r="B277" s="35" t="s">
        <v>171</v>
      </c>
      <c r="C277" s="45" t="s">
        <v>78</v>
      </c>
      <c r="D277" s="31" t="s">
        <v>30</v>
      </c>
      <c r="E277" s="50">
        <v>0.3</v>
      </c>
      <c r="F277" s="17">
        <f>F276*E277</f>
        <v>4.2524999999999993E-2</v>
      </c>
      <c r="G277" s="17"/>
      <c r="H277" s="17"/>
      <c r="I277" s="17"/>
      <c r="J277" s="17"/>
      <c r="K277" s="17"/>
      <c r="L277" s="17"/>
      <c r="M277" s="17"/>
    </row>
    <row r="278" spans="1:13" ht="18" x14ac:dyDescent="0.25">
      <c r="A278" s="13"/>
      <c r="B278" s="20"/>
      <c r="C278" s="10" t="s">
        <v>55</v>
      </c>
      <c r="D278" s="51"/>
      <c r="E278" s="10"/>
      <c r="F278" s="17"/>
      <c r="G278" s="17"/>
      <c r="H278" s="17"/>
      <c r="I278" s="17"/>
      <c r="J278" s="17"/>
      <c r="K278" s="17"/>
      <c r="L278" s="17"/>
      <c r="M278" s="17"/>
    </row>
    <row r="279" spans="1:13" ht="18" x14ac:dyDescent="0.25">
      <c r="A279" s="13"/>
      <c r="B279" s="35" t="s">
        <v>130</v>
      </c>
      <c r="C279" s="44" t="s">
        <v>67</v>
      </c>
      <c r="D279" s="10" t="s">
        <v>35</v>
      </c>
      <c r="E279" s="50">
        <v>1</v>
      </c>
      <c r="F279" s="17">
        <f>F276*E279</f>
        <v>0.14174999999999999</v>
      </c>
      <c r="G279" s="17"/>
      <c r="H279" s="17"/>
      <c r="I279" s="17"/>
      <c r="J279" s="17"/>
      <c r="K279" s="17"/>
      <c r="L279" s="17"/>
      <c r="M279" s="17"/>
    </row>
    <row r="280" spans="1:13" ht="18" x14ac:dyDescent="0.25">
      <c r="A280" s="13"/>
      <c r="B280" s="35" t="s">
        <v>156</v>
      </c>
      <c r="C280" s="21" t="s">
        <v>117</v>
      </c>
      <c r="D280" s="10" t="s">
        <v>35</v>
      </c>
      <c r="E280" s="10"/>
      <c r="F280" s="17">
        <f>F279</f>
        <v>0.14174999999999999</v>
      </c>
      <c r="G280" s="17"/>
      <c r="H280" s="17"/>
      <c r="I280" s="17"/>
      <c r="J280" s="17"/>
      <c r="K280" s="64"/>
      <c r="L280" s="17"/>
      <c r="M280" s="17"/>
    </row>
    <row r="281" spans="1:13" ht="51.75" x14ac:dyDescent="0.25">
      <c r="A281" s="13">
        <v>7</v>
      </c>
      <c r="B281" s="9" t="s">
        <v>83</v>
      </c>
      <c r="C281" s="41" t="s">
        <v>134</v>
      </c>
      <c r="D281" s="20" t="s">
        <v>79</v>
      </c>
      <c r="E281" s="10"/>
      <c r="F281" s="34">
        <f>45*4.5</f>
        <v>202.5</v>
      </c>
      <c r="G281" s="17"/>
      <c r="H281" s="17"/>
      <c r="I281" s="17"/>
      <c r="J281" s="17"/>
      <c r="K281" s="17"/>
      <c r="L281" s="17"/>
      <c r="M281" s="17"/>
    </row>
    <row r="282" spans="1:13" ht="18" x14ac:dyDescent="0.25">
      <c r="A282" s="13"/>
      <c r="B282" s="20"/>
      <c r="C282" s="44" t="s">
        <v>21</v>
      </c>
      <c r="D282" s="10" t="s">
        <v>22</v>
      </c>
      <c r="E282" s="10">
        <f>(37.5+0.07+0.07+0.07+0.07)/1000</f>
        <v>3.7780000000000001E-2</v>
      </c>
      <c r="F282" s="17">
        <f>F281*E282</f>
        <v>7.6504500000000002</v>
      </c>
      <c r="G282" s="17"/>
      <c r="H282" s="17"/>
      <c r="I282" s="64"/>
      <c r="J282" s="17"/>
      <c r="K282" s="17"/>
      <c r="L282" s="17"/>
      <c r="M282" s="17"/>
    </row>
    <row r="283" spans="1:13" ht="18" x14ac:dyDescent="0.35">
      <c r="A283" s="13"/>
      <c r="B283" s="67" t="s">
        <v>168</v>
      </c>
      <c r="C283" s="45" t="s">
        <v>72</v>
      </c>
      <c r="D283" s="10" t="s">
        <v>30</v>
      </c>
      <c r="E283" s="10">
        <f>3.7/1000</f>
        <v>3.7000000000000002E-3</v>
      </c>
      <c r="F283" s="17">
        <f>E283*F281</f>
        <v>0.74925000000000008</v>
      </c>
      <c r="G283" s="17"/>
      <c r="H283" s="17"/>
      <c r="I283" s="17"/>
      <c r="J283" s="17"/>
      <c r="K283" s="17"/>
      <c r="L283" s="17"/>
      <c r="M283" s="17"/>
    </row>
    <row r="284" spans="1:13" ht="18" x14ac:dyDescent="0.35">
      <c r="A284" s="13"/>
      <c r="B284" s="67" t="s">
        <v>169</v>
      </c>
      <c r="C284" s="45" t="s">
        <v>80</v>
      </c>
      <c r="D284" s="10" t="s">
        <v>30</v>
      </c>
      <c r="E284" s="10">
        <f>11.1/1000</f>
        <v>1.11E-2</v>
      </c>
      <c r="F284" s="17">
        <f>E284*F281</f>
        <v>2.2477499999999999</v>
      </c>
      <c r="G284" s="17"/>
      <c r="H284" s="17"/>
      <c r="I284" s="17"/>
      <c r="J284" s="17"/>
      <c r="K284" s="17"/>
      <c r="L284" s="17"/>
      <c r="M284" s="17"/>
    </row>
    <row r="285" spans="1:13" ht="18" x14ac:dyDescent="0.35">
      <c r="A285" s="13"/>
      <c r="B285" s="35" t="s">
        <v>172</v>
      </c>
      <c r="C285" s="45" t="s">
        <v>81</v>
      </c>
      <c r="D285" s="10" t="s">
        <v>30</v>
      </c>
      <c r="E285" s="10">
        <f>3.02/1000</f>
        <v>3.0200000000000001E-3</v>
      </c>
      <c r="F285" s="17">
        <f>E285*F281</f>
        <v>0.61155000000000004</v>
      </c>
      <c r="G285" s="17"/>
      <c r="H285" s="17"/>
      <c r="I285" s="17"/>
      <c r="J285" s="17"/>
      <c r="K285" s="17"/>
      <c r="L285" s="17"/>
      <c r="M285" s="17"/>
    </row>
    <row r="286" spans="1:13" ht="18" x14ac:dyDescent="0.35">
      <c r="A286" s="13"/>
      <c r="B286" s="20"/>
      <c r="C286" s="45" t="s">
        <v>34</v>
      </c>
      <c r="D286" s="51" t="s">
        <v>25</v>
      </c>
      <c r="E286" s="10">
        <f>2.3/1000</f>
        <v>2.3E-3</v>
      </c>
      <c r="F286" s="17">
        <f>E286*F281</f>
        <v>0.46575</v>
      </c>
      <c r="G286" s="17"/>
      <c r="H286" s="17"/>
      <c r="I286" s="17"/>
      <c r="J286" s="17"/>
      <c r="K286" s="17"/>
      <c r="L286" s="17"/>
      <c r="M286" s="17"/>
    </row>
    <row r="287" spans="1:13" ht="18" x14ac:dyDescent="0.25">
      <c r="A287" s="13"/>
      <c r="B287" s="20"/>
      <c r="C287" s="10" t="s">
        <v>55</v>
      </c>
      <c r="D287" s="51"/>
      <c r="E287" s="10"/>
      <c r="F287" s="17"/>
      <c r="G287" s="17"/>
      <c r="H287" s="17"/>
      <c r="I287" s="17"/>
      <c r="J287" s="17"/>
      <c r="K287" s="17"/>
      <c r="L287" s="17"/>
      <c r="M287" s="17"/>
    </row>
    <row r="288" spans="1:13" ht="18" x14ac:dyDescent="0.25">
      <c r="A288" s="13"/>
      <c r="B288" s="35" t="s">
        <v>131</v>
      </c>
      <c r="C288" s="37" t="s">
        <v>82</v>
      </c>
      <c r="D288" s="10" t="s">
        <v>35</v>
      </c>
      <c r="E288" s="10">
        <f>(97.4+12.1+12.1+12.1+12.1)/1000</f>
        <v>0.14579999999999999</v>
      </c>
      <c r="F288" s="17">
        <f>F281*E288</f>
        <v>29.524499999999996</v>
      </c>
      <c r="G288" s="17"/>
      <c r="H288" s="17"/>
      <c r="I288" s="17"/>
      <c r="J288" s="17"/>
      <c r="K288" s="17"/>
      <c r="L288" s="17"/>
      <c r="M288" s="17"/>
    </row>
    <row r="289" spans="1:13" ht="18" x14ac:dyDescent="0.35">
      <c r="A289" s="13"/>
      <c r="B289" s="20"/>
      <c r="C289" s="45" t="s">
        <v>65</v>
      </c>
      <c r="D289" s="51" t="s">
        <v>25</v>
      </c>
      <c r="E289" s="10">
        <f>(14.5+0.2+0.2+0.2+0.2)/1000</f>
        <v>1.5299999999999998E-2</v>
      </c>
      <c r="F289" s="17">
        <f>F281*E289</f>
        <v>3.0982499999999997</v>
      </c>
      <c r="G289" s="17"/>
      <c r="H289" s="17"/>
      <c r="I289" s="17"/>
      <c r="J289" s="17"/>
      <c r="K289" s="153"/>
      <c r="L289" s="153"/>
      <c r="M289" s="17"/>
    </row>
    <row r="290" spans="1:13" ht="18" x14ac:dyDescent="0.25">
      <c r="A290" s="13"/>
      <c r="B290" s="35" t="s">
        <v>156</v>
      </c>
      <c r="C290" s="23" t="s">
        <v>121</v>
      </c>
      <c r="D290" s="10" t="s">
        <v>35</v>
      </c>
      <c r="E290" s="10"/>
      <c r="F290" s="17">
        <f>F288</f>
        <v>29.524499999999996</v>
      </c>
      <c r="G290" s="17"/>
      <c r="H290" s="17"/>
      <c r="I290" s="17"/>
      <c r="J290" s="17"/>
      <c r="K290" s="64"/>
      <c r="L290" s="17"/>
      <c r="M290" s="17"/>
    </row>
    <row r="291" spans="1:13" ht="72" x14ac:dyDescent="0.35">
      <c r="A291" s="13">
        <v>8</v>
      </c>
      <c r="B291" s="13" t="s">
        <v>52</v>
      </c>
      <c r="C291" s="162" t="s">
        <v>96</v>
      </c>
      <c r="D291" s="16" t="s">
        <v>40</v>
      </c>
      <c r="E291" s="163"/>
      <c r="F291" s="213">
        <f>45*(0.5+0.5)*0.16</f>
        <v>7.2</v>
      </c>
      <c r="G291" s="63"/>
      <c r="H291" s="63"/>
      <c r="I291" s="63"/>
      <c r="J291" s="63"/>
      <c r="K291" s="63"/>
      <c r="L291" s="63"/>
      <c r="M291" s="63"/>
    </row>
    <row r="292" spans="1:13" ht="18" x14ac:dyDescent="0.35">
      <c r="A292" s="13"/>
      <c r="B292" s="20"/>
      <c r="C292" s="157" t="s">
        <v>21</v>
      </c>
      <c r="D292" s="10" t="s">
        <v>22</v>
      </c>
      <c r="E292" s="164">
        <v>0.15</v>
      </c>
      <c r="F292" s="63">
        <f>F291*E292</f>
        <v>1.08</v>
      </c>
      <c r="G292" s="17"/>
      <c r="H292" s="17"/>
      <c r="I292" s="64"/>
      <c r="J292" s="17"/>
      <c r="K292" s="17"/>
      <c r="L292" s="17"/>
      <c r="M292" s="17"/>
    </row>
    <row r="293" spans="1:13" ht="18" x14ac:dyDescent="0.25">
      <c r="A293" s="13"/>
      <c r="B293" s="67" t="s">
        <v>153</v>
      </c>
      <c r="C293" s="158" t="s">
        <v>50</v>
      </c>
      <c r="D293" s="10" t="s">
        <v>30</v>
      </c>
      <c r="E293" s="164">
        <v>2.1999999999999999E-2</v>
      </c>
      <c r="F293" s="63">
        <f>F291*E293</f>
        <v>0.15839999999999999</v>
      </c>
      <c r="G293" s="17"/>
      <c r="H293" s="17"/>
      <c r="I293" s="17"/>
      <c r="J293" s="17"/>
      <c r="K293" s="63"/>
      <c r="L293" s="17"/>
      <c r="M293" s="17"/>
    </row>
    <row r="294" spans="1:13" ht="18" x14ac:dyDescent="0.25">
      <c r="A294" s="13"/>
      <c r="B294" s="67" t="s">
        <v>165</v>
      </c>
      <c r="C294" s="158" t="s">
        <v>53</v>
      </c>
      <c r="D294" s="10" t="s">
        <v>30</v>
      </c>
      <c r="E294" s="164">
        <v>2.7E-2</v>
      </c>
      <c r="F294" s="63">
        <f>F291*E294</f>
        <v>0.19439999999999999</v>
      </c>
      <c r="G294" s="17"/>
      <c r="H294" s="17"/>
      <c r="I294" s="17"/>
      <c r="J294" s="17"/>
      <c r="K294" s="17"/>
      <c r="L294" s="17"/>
      <c r="M294" s="17"/>
    </row>
    <row r="295" spans="1:13" ht="18" x14ac:dyDescent="0.25">
      <c r="A295" s="13"/>
      <c r="B295" s="67" t="s">
        <v>166</v>
      </c>
      <c r="C295" s="158" t="s">
        <v>54</v>
      </c>
      <c r="D295" s="10" t="s">
        <v>30</v>
      </c>
      <c r="E295" s="164">
        <v>0.01</v>
      </c>
      <c r="F295" s="63">
        <f>F291*E295</f>
        <v>7.2000000000000008E-2</v>
      </c>
      <c r="G295" s="17"/>
      <c r="H295" s="17"/>
      <c r="I295" s="17"/>
      <c r="J295" s="17"/>
      <c r="K295" s="17"/>
      <c r="L295" s="17"/>
      <c r="M295" s="17"/>
    </row>
    <row r="296" spans="1:13" ht="18" x14ac:dyDescent="0.35">
      <c r="A296" s="13"/>
      <c r="B296" s="20"/>
      <c r="C296" s="157" t="s">
        <v>55</v>
      </c>
      <c r="D296" s="165"/>
      <c r="E296" s="164"/>
      <c r="F296" s="63"/>
      <c r="G296" s="17"/>
      <c r="H296" s="17"/>
      <c r="I296" s="17"/>
      <c r="J296" s="17"/>
      <c r="K296" s="17"/>
      <c r="L296" s="17"/>
      <c r="M296" s="17"/>
    </row>
    <row r="297" spans="1:13" ht="36" x14ac:dyDescent="0.25">
      <c r="A297" s="13"/>
      <c r="B297" s="67" t="s">
        <v>167</v>
      </c>
      <c r="C297" s="158" t="s">
        <v>97</v>
      </c>
      <c r="D297" s="10" t="s">
        <v>57</v>
      </c>
      <c r="E297" s="164">
        <v>1.22</v>
      </c>
      <c r="F297" s="63">
        <f>F291*E297</f>
        <v>8.7840000000000007</v>
      </c>
      <c r="G297" s="112"/>
      <c r="H297" s="17"/>
      <c r="I297" s="17"/>
      <c r="J297" s="17"/>
      <c r="K297" s="17"/>
      <c r="L297" s="17"/>
      <c r="M297" s="17"/>
    </row>
    <row r="298" spans="1:13" ht="19.5" x14ac:dyDescent="0.35">
      <c r="A298" s="13"/>
      <c r="B298" s="20"/>
      <c r="C298" s="157" t="s">
        <v>58</v>
      </c>
      <c r="D298" s="10" t="s">
        <v>57</v>
      </c>
      <c r="E298" s="164">
        <v>7.0000000000000007E-2</v>
      </c>
      <c r="F298" s="63">
        <f>F291*E298</f>
        <v>0.50400000000000011</v>
      </c>
      <c r="G298" s="17"/>
      <c r="H298" s="17"/>
      <c r="I298" s="17"/>
      <c r="J298" s="17"/>
      <c r="K298" s="17"/>
      <c r="L298" s="17"/>
      <c r="M298" s="17"/>
    </row>
    <row r="299" spans="1:13" ht="36" x14ac:dyDescent="0.35">
      <c r="A299" s="13"/>
      <c r="B299" s="35" t="s">
        <v>156</v>
      </c>
      <c r="C299" s="73" t="s">
        <v>119</v>
      </c>
      <c r="D299" s="49" t="s">
        <v>35</v>
      </c>
      <c r="E299" s="106"/>
      <c r="F299" s="17">
        <f>F297*1.6</f>
        <v>14.054400000000001</v>
      </c>
      <c r="G299" s="17"/>
      <c r="H299" s="17"/>
      <c r="I299" s="17"/>
      <c r="J299" s="17"/>
      <c r="K299" s="64"/>
      <c r="L299" s="17"/>
      <c r="M299" s="17"/>
    </row>
    <row r="300" spans="1:13" ht="18" x14ac:dyDescent="0.25">
      <c r="A300" s="166"/>
      <c r="B300" s="13" t="s">
        <v>23</v>
      </c>
      <c r="C300" s="46"/>
      <c r="D300" s="49"/>
      <c r="E300" s="10"/>
      <c r="F300" s="17"/>
      <c r="G300" s="17"/>
      <c r="H300" s="71"/>
      <c r="I300" s="71"/>
      <c r="J300" s="71"/>
      <c r="K300" s="71"/>
      <c r="L300" s="71"/>
      <c r="M300" s="71"/>
    </row>
    <row r="301" spans="1:13" ht="36" x14ac:dyDescent="0.25">
      <c r="A301" s="19"/>
      <c r="B301" s="19"/>
      <c r="C301" s="19" t="s">
        <v>127</v>
      </c>
      <c r="D301" s="19"/>
      <c r="E301" s="19"/>
      <c r="F301" s="19"/>
      <c r="G301" s="19"/>
      <c r="H301" s="19"/>
      <c r="I301" s="19"/>
      <c r="J301" s="19"/>
      <c r="K301" s="19"/>
      <c r="L301" s="19"/>
      <c r="M301" s="19"/>
    </row>
    <row r="302" spans="1:13" ht="36" x14ac:dyDescent="0.25">
      <c r="A302" s="60">
        <v>1</v>
      </c>
      <c r="B302" s="108" t="s">
        <v>26</v>
      </c>
      <c r="C302" s="109" t="s">
        <v>27</v>
      </c>
      <c r="D302" s="88" t="s">
        <v>28</v>
      </c>
      <c r="E302" s="10"/>
      <c r="F302" s="167">
        <f>F318*0.25</f>
        <v>56.052500000000002</v>
      </c>
      <c r="G302" s="63"/>
      <c r="H302" s="63"/>
      <c r="I302" s="63"/>
      <c r="J302" s="63"/>
      <c r="K302" s="63"/>
      <c r="L302" s="63"/>
      <c r="M302" s="63"/>
    </row>
    <row r="303" spans="1:13" ht="18" x14ac:dyDescent="0.25">
      <c r="A303" s="60"/>
      <c r="B303" s="35" t="s">
        <v>152</v>
      </c>
      <c r="C303" s="129" t="s">
        <v>29</v>
      </c>
      <c r="D303" s="111" t="s">
        <v>30</v>
      </c>
      <c r="E303" s="10">
        <v>4.7899999999999998E-2</v>
      </c>
      <c r="F303" s="168">
        <f>F302*E303</f>
        <v>2.6849147499999999</v>
      </c>
      <c r="G303" s="63"/>
      <c r="H303" s="63"/>
      <c r="I303" s="63"/>
      <c r="J303" s="63"/>
      <c r="K303" s="63"/>
      <c r="L303" s="63"/>
      <c r="M303" s="63"/>
    </row>
    <row r="304" spans="1:13" ht="31.5" x14ac:dyDescent="0.25">
      <c r="A304" s="60">
        <v>2</v>
      </c>
      <c r="B304" s="105" t="s">
        <v>31</v>
      </c>
      <c r="C304" s="117" t="s">
        <v>32</v>
      </c>
      <c r="D304" s="111" t="s">
        <v>46</v>
      </c>
      <c r="E304" s="10"/>
      <c r="F304" s="167">
        <f>F302</f>
        <v>56.052500000000002</v>
      </c>
      <c r="G304" s="63"/>
      <c r="H304" s="63"/>
      <c r="I304" s="63"/>
      <c r="J304" s="63"/>
      <c r="K304" s="63"/>
      <c r="L304" s="63"/>
      <c r="M304" s="63"/>
    </row>
    <row r="305" spans="1:13" ht="18" x14ac:dyDescent="0.25">
      <c r="A305" s="60"/>
      <c r="B305" s="62"/>
      <c r="C305" s="129" t="s">
        <v>21</v>
      </c>
      <c r="D305" s="111" t="s">
        <v>22</v>
      </c>
      <c r="E305" s="10">
        <f t="shared" ref="E305" si="0">15.5/1000</f>
        <v>1.55E-2</v>
      </c>
      <c r="F305" s="168">
        <f>F304*E305</f>
        <v>0.86881375000000005</v>
      </c>
      <c r="G305" s="63"/>
      <c r="H305" s="63"/>
      <c r="I305" s="64"/>
      <c r="J305" s="63"/>
      <c r="K305" s="63"/>
      <c r="L305" s="63"/>
      <c r="M305" s="63"/>
    </row>
    <row r="306" spans="1:13" ht="19.5" x14ac:dyDescent="0.25">
      <c r="A306" s="60"/>
      <c r="B306" s="35" t="s">
        <v>155</v>
      </c>
      <c r="C306" s="158" t="s">
        <v>86</v>
      </c>
      <c r="D306" s="111" t="s">
        <v>30</v>
      </c>
      <c r="E306" s="10">
        <f t="shared" ref="E306" si="1">34.7/1000</f>
        <v>3.4700000000000002E-2</v>
      </c>
      <c r="F306" s="168">
        <f>F304*E306</f>
        <v>1.9450217500000002</v>
      </c>
      <c r="G306" s="63"/>
      <c r="H306" s="63"/>
      <c r="I306" s="63"/>
      <c r="J306" s="63"/>
      <c r="K306" s="63"/>
      <c r="L306" s="63"/>
      <c r="M306" s="63"/>
    </row>
    <row r="307" spans="1:13" ht="18" x14ac:dyDescent="0.25">
      <c r="A307" s="60"/>
      <c r="B307" s="62"/>
      <c r="C307" s="129" t="s">
        <v>34</v>
      </c>
      <c r="D307" s="94" t="s">
        <v>25</v>
      </c>
      <c r="E307" s="10">
        <f t="shared" ref="E307" si="2">2.09/1000</f>
        <v>2.0899999999999998E-3</v>
      </c>
      <c r="F307" s="168">
        <f>F304*E307</f>
        <v>0.117149725</v>
      </c>
      <c r="G307" s="63"/>
      <c r="H307" s="63"/>
      <c r="I307" s="63"/>
      <c r="J307" s="63"/>
      <c r="K307" s="63"/>
      <c r="L307" s="63"/>
      <c r="M307" s="63"/>
    </row>
    <row r="308" spans="1:13" ht="18" x14ac:dyDescent="0.25">
      <c r="A308" s="60">
        <v>3</v>
      </c>
      <c r="B308" s="35" t="s">
        <v>156</v>
      </c>
      <c r="C308" s="117" t="s">
        <v>158</v>
      </c>
      <c r="D308" s="128" t="s">
        <v>35</v>
      </c>
      <c r="E308" s="10"/>
      <c r="F308" s="167">
        <f>F304*1.8</f>
        <v>100.89450000000001</v>
      </c>
      <c r="G308" s="63"/>
      <c r="H308" s="63"/>
      <c r="I308" s="63"/>
      <c r="J308" s="63"/>
      <c r="K308" s="63"/>
      <c r="L308" s="63"/>
      <c r="M308" s="63"/>
    </row>
    <row r="309" spans="1:13" ht="72" x14ac:dyDescent="0.25">
      <c r="A309" s="60">
        <v>4</v>
      </c>
      <c r="B309" s="13" t="s">
        <v>69</v>
      </c>
      <c r="C309" s="169" t="s">
        <v>133</v>
      </c>
      <c r="D309" s="16" t="s">
        <v>40</v>
      </c>
      <c r="E309" s="10"/>
      <c r="F309" s="34">
        <f>32.82/1.22</f>
        <v>26.901639344262296</v>
      </c>
      <c r="G309" s="17"/>
      <c r="H309" s="17"/>
      <c r="I309" s="17"/>
      <c r="J309" s="17"/>
      <c r="K309" s="17"/>
      <c r="L309" s="17"/>
      <c r="M309" s="17"/>
    </row>
    <row r="310" spans="1:13" ht="18" x14ac:dyDescent="0.25">
      <c r="A310" s="60"/>
      <c r="B310" s="20"/>
      <c r="C310" s="44" t="s">
        <v>21</v>
      </c>
      <c r="D310" s="10" t="s">
        <v>22</v>
      </c>
      <c r="E310" s="27">
        <f>15/100</f>
        <v>0.15</v>
      </c>
      <c r="F310" s="17">
        <f>F309*E310</f>
        <v>4.0352459016393443</v>
      </c>
      <c r="G310" s="17"/>
      <c r="H310" s="17"/>
      <c r="I310" s="64"/>
      <c r="J310" s="17"/>
      <c r="K310" s="17"/>
      <c r="L310" s="17"/>
      <c r="M310" s="17"/>
    </row>
    <row r="311" spans="1:13" ht="18" x14ac:dyDescent="0.25">
      <c r="A311" s="60"/>
      <c r="B311" s="67" t="s">
        <v>153</v>
      </c>
      <c r="C311" s="44" t="s">
        <v>50</v>
      </c>
      <c r="D311" s="10" t="s">
        <v>30</v>
      </c>
      <c r="E311" s="27">
        <f>2.16/100</f>
        <v>2.1600000000000001E-2</v>
      </c>
      <c r="F311" s="17">
        <f>F309*E311</f>
        <v>0.58107540983606565</v>
      </c>
      <c r="G311" s="17"/>
      <c r="H311" s="17"/>
      <c r="I311" s="17"/>
      <c r="J311" s="17"/>
      <c r="K311" s="63"/>
      <c r="L311" s="17"/>
      <c r="M311" s="17"/>
    </row>
    <row r="312" spans="1:13" ht="18" x14ac:dyDescent="0.25">
      <c r="A312" s="60"/>
      <c r="B312" s="67" t="s">
        <v>165</v>
      </c>
      <c r="C312" s="44" t="s">
        <v>53</v>
      </c>
      <c r="D312" s="10" t="s">
        <v>30</v>
      </c>
      <c r="E312" s="27">
        <f>2.73/100</f>
        <v>2.7300000000000001E-2</v>
      </c>
      <c r="F312" s="17">
        <f>E312*F309</f>
        <v>0.73441475409836077</v>
      </c>
      <c r="G312" s="17"/>
      <c r="H312" s="17"/>
      <c r="I312" s="17"/>
      <c r="J312" s="17"/>
      <c r="K312" s="17"/>
      <c r="L312" s="17"/>
      <c r="M312" s="17"/>
    </row>
    <row r="313" spans="1:13" ht="18" x14ac:dyDescent="0.25">
      <c r="A313" s="60"/>
      <c r="B313" s="67" t="s">
        <v>166</v>
      </c>
      <c r="C313" s="44" t="s">
        <v>54</v>
      </c>
      <c r="D313" s="10" t="s">
        <v>30</v>
      </c>
      <c r="E313" s="27">
        <f>0.97/100</f>
        <v>9.7000000000000003E-3</v>
      </c>
      <c r="F313" s="17">
        <f>F309*E313</f>
        <v>0.26094590163934428</v>
      </c>
      <c r="G313" s="17"/>
      <c r="H313" s="17"/>
      <c r="I313" s="17"/>
      <c r="J313" s="17"/>
      <c r="K313" s="17"/>
      <c r="L313" s="17"/>
      <c r="M313" s="17"/>
    </row>
    <row r="314" spans="1:13" ht="18" x14ac:dyDescent="0.25">
      <c r="A314" s="60"/>
      <c r="B314" s="20"/>
      <c r="C314" s="10" t="s">
        <v>55</v>
      </c>
      <c r="D314" s="51"/>
      <c r="E314" s="10"/>
      <c r="F314" s="17"/>
      <c r="G314" s="17"/>
      <c r="H314" s="17"/>
      <c r="I314" s="17"/>
      <c r="J314" s="17"/>
      <c r="K314" s="17"/>
      <c r="L314" s="17"/>
      <c r="M314" s="17"/>
    </row>
    <row r="315" spans="1:13" ht="36" x14ac:dyDescent="0.25">
      <c r="A315" s="60"/>
      <c r="B315" s="67" t="s">
        <v>167</v>
      </c>
      <c r="C315" s="23" t="s">
        <v>56</v>
      </c>
      <c r="D315" s="10" t="s">
        <v>57</v>
      </c>
      <c r="E315" s="10">
        <v>1.22</v>
      </c>
      <c r="F315" s="17">
        <f>F309*E315</f>
        <v>32.82</v>
      </c>
      <c r="G315" s="112"/>
      <c r="H315" s="17"/>
      <c r="I315" s="17"/>
      <c r="J315" s="17"/>
      <c r="K315" s="17"/>
      <c r="L315" s="17"/>
      <c r="M315" s="17"/>
    </row>
    <row r="316" spans="1:13" ht="19.5" x14ac:dyDescent="0.35">
      <c r="A316" s="60"/>
      <c r="B316" s="20"/>
      <c r="C316" s="45" t="s">
        <v>58</v>
      </c>
      <c r="D316" s="10" t="s">
        <v>57</v>
      </c>
      <c r="E316" s="27">
        <v>7.0000000000000007E-2</v>
      </c>
      <c r="F316" s="17">
        <f>F309*E316</f>
        <v>1.8831147540983608</v>
      </c>
      <c r="G316" s="17"/>
      <c r="H316" s="17"/>
      <c r="I316" s="17"/>
      <c r="J316" s="17"/>
      <c r="K316" s="17"/>
      <c r="L316" s="17"/>
      <c r="M316" s="17"/>
    </row>
    <row r="317" spans="1:13" ht="36" x14ac:dyDescent="0.35">
      <c r="A317" s="60"/>
      <c r="B317" s="35" t="s">
        <v>156</v>
      </c>
      <c r="C317" s="54" t="s">
        <v>119</v>
      </c>
      <c r="D317" s="49" t="s">
        <v>35</v>
      </c>
      <c r="E317" s="22"/>
      <c r="F317" s="17">
        <f>F315*1.6</f>
        <v>52.512</v>
      </c>
      <c r="G317" s="17"/>
      <c r="H317" s="17"/>
      <c r="I317" s="17"/>
      <c r="J317" s="17"/>
      <c r="K317" s="64"/>
      <c r="L317" s="17"/>
      <c r="M317" s="17"/>
    </row>
    <row r="318" spans="1:13" ht="34.5" x14ac:dyDescent="0.25">
      <c r="A318" s="60">
        <v>5</v>
      </c>
      <c r="B318" s="105" t="s">
        <v>70</v>
      </c>
      <c r="C318" s="32" t="s">
        <v>71</v>
      </c>
      <c r="D318" s="16" t="s">
        <v>49</v>
      </c>
      <c r="E318" s="10"/>
      <c r="F318" s="34">
        <v>224.21</v>
      </c>
      <c r="G318" s="17"/>
      <c r="H318" s="17"/>
      <c r="I318" s="17"/>
      <c r="J318" s="17"/>
      <c r="K318" s="17"/>
      <c r="L318" s="17"/>
      <c r="M318" s="17"/>
    </row>
    <row r="319" spans="1:13" ht="18" x14ac:dyDescent="0.25">
      <c r="A319" s="60"/>
      <c r="B319" s="20"/>
      <c r="C319" s="44" t="s">
        <v>21</v>
      </c>
      <c r="D319" s="10" t="s">
        <v>22</v>
      </c>
      <c r="E319" s="10">
        <f>33/1000</f>
        <v>3.3000000000000002E-2</v>
      </c>
      <c r="F319" s="17">
        <f>F318*E319</f>
        <v>7.3989300000000009</v>
      </c>
      <c r="G319" s="17"/>
      <c r="H319" s="17"/>
      <c r="I319" s="64"/>
      <c r="J319" s="17"/>
      <c r="K319" s="17"/>
      <c r="L319" s="17"/>
      <c r="M319" s="17"/>
    </row>
    <row r="320" spans="1:13" ht="18" x14ac:dyDescent="0.35">
      <c r="A320" s="60"/>
      <c r="B320" s="67" t="s">
        <v>152</v>
      </c>
      <c r="C320" s="45" t="s">
        <v>29</v>
      </c>
      <c r="D320" s="10" t="s">
        <v>30</v>
      </c>
      <c r="E320" s="10">
        <f>2.58/1000</f>
        <v>2.5800000000000003E-3</v>
      </c>
      <c r="F320" s="17">
        <f>F318*E320</f>
        <v>0.57846180000000003</v>
      </c>
      <c r="G320" s="17"/>
      <c r="H320" s="17"/>
      <c r="I320" s="17"/>
      <c r="J320" s="17"/>
      <c r="K320" s="17"/>
      <c r="L320" s="17"/>
      <c r="M320" s="17"/>
    </row>
    <row r="321" spans="1:13" ht="18" x14ac:dyDescent="0.25">
      <c r="A321" s="60"/>
      <c r="B321" s="67" t="s">
        <v>153</v>
      </c>
      <c r="C321" s="44" t="s">
        <v>50</v>
      </c>
      <c r="D321" s="10" t="s">
        <v>30</v>
      </c>
      <c r="E321" s="10">
        <f>0.42/1000</f>
        <v>4.1999999999999996E-4</v>
      </c>
      <c r="F321" s="17">
        <f>F318*E321</f>
        <v>9.4168199999999994E-2</v>
      </c>
      <c r="G321" s="17"/>
      <c r="H321" s="17"/>
      <c r="I321" s="17"/>
      <c r="J321" s="17"/>
      <c r="K321" s="63"/>
      <c r="L321" s="17"/>
      <c r="M321" s="17"/>
    </row>
    <row r="322" spans="1:13" ht="18" x14ac:dyDescent="0.35">
      <c r="A322" s="60"/>
      <c r="B322" s="67" t="s">
        <v>168</v>
      </c>
      <c r="C322" s="45" t="s">
        <v>72</v>
      </c>
      <c r="D322" s="10" t="s">
        <v>30</v>
      </c>
      <c r="E322" s="10">
        <f>11.2/1000</f>
        <v>1.12E-2</v>
      </c>
      <c r="F322" s="17">
        <f>E322*F318</f>
        <v>2.5111520000000001</v>
      </c>
      <c r="G322" s="17"/>
      <c r="H322" s="17"/>
      <c r="I322" s="17"/>
      <c r="J322" s="17"/>
      <c r="K322" s="17"/>
      <c r="L322" s="17"/>
      <c r="M322" s="17"/>
    </row>
    <row r="323" spans="1:13" ht="18" x14ac:dyDescent="0.35">
      <c r="A323" s="60"/>
      <c r="B323" s="67" t="s">
        <v>169</v>
      </c>
      <c r="C323" s="45" t="s">
        <v>73</v>
      </c>
      <c r="D323" s="10" t="s">
        <v>30</v>
      </c>
      <c r="E323" s="10">
        <f>24.8/1000</f>
        <v>2.4799999999999999E-2</v>
      </c>
      <c r="F323" s="17">
        <f>E323*F318</f>
        <v>5.5604079999999998</v>
      </c>
      <c r="G323" s="17"/>
      <c r="H323" s="17"/>
      <c r="I323" s="17"/>
      <c r="J323" s="17"/>
      <c r="K323" s="17"/>
      <c r="L323" s="17"/>
      <c r="M323" s="17"/>
    </row>
    <row r="324" spans="1:13" ht="18" x14ac:dyDescent="0.35">
      <c r="A324" s="60"/>
      <c r="B324" s="67" t="s">
        <v>166</v>
      </c>
      <c r="C324" s="45" t="s">
        <v>54</v>
      </c>
      <c r="D324" s="10" t="s">
        <v>30</v>
      </c>
      <c r="E324" s="10">
        <f>4.14/1000</f>
        <v>4.1399999999999996E-3</v>
      </c>
      <c r="F324" s="17">
        <f>F318*E324</f>
        <v>0.92822939999999998</v>
      </c>
      <c r="G324" s="17"/>
      <c r="H324" s="17"/>
      <c r="I324" s="17"/>
      <c r="J324" s="17"/>
      <c r="K324" s="17"/>
      <c r="L324" s="17"/>
      <c r="M324" s="17"/>
    </row>
    <row r="325" spans="1:13" ht="18" x14ac:dyDescent="0.25">
      <c r="A325" s="60"/>
      <c r="B325" s="67" t="s">
        <v>170</v>
      </c>
      <c r="C325" s="23" t="s">
        <v>74</v>
      </c>
      <c r="D325" s="10" t="s">
        <v>30</v>
      </c>
      <c r="E325" s="10">
        <f>0.53/1000</f>
        <v>5.2999999999999998E-4</v>
      </c>
      <c r="F325" s="17">
        <f>F318*E325</f>
        <v>0.1188313</v>
      </c>
      <c r="G325" s="17"/>
      <c r="H325" s="17"/>
      <c r="I325" s="17"/>
      <c r="J325" s="17"/>
      <c r="K325" s="17"/>
      <c r="L325" s="17"/>
      <c r="M325" s="17"/>
    </row>
    <row r="326" spans="1:13" ht="18" x14ac:dyDescent="0.25">
      <c r="A326" s="60"/>
      <c r="B326" s="20"/>
      <c r="C326" s="10" t="s">
        <v>55</v>
      </c>
      <c r="D326" s="51"/>
      <c r="E326" s="10"/>
      <c r="F326" s="17"/>
      <c r="G326" s="17"/>
      <c r="H326" s="17"/>
      <c r="I326" s="17"/>
      <c r="J326" s="17"/>
      <c r="K326" s="17"/>
      <c r="L326" s="17"/>
      <c r="M326" s="17"/>
    </row>
    <row r="327" spans="1:13" ht="36" x14ac:dyDescent="0.25">
      <c r="A327" s="60"/>
      <c r="B327" s="67" t="s">
        <v>160</v>
      </c>
      <c r="C327" s="23" t="s">
        <v>87</v>
      </c>
      <c r="D327" s="10" t="s">
        <v>57</v>
      </c>
      <c r="E327" s="10" t="s">
        <v>63</v>
      </c>
      <c r="F327" s="17">
        <f>F318*0.1*1.26</f>
        <v>28.250460000000004</v>
      </c>
      <c r="G327" s="17"/>
      <c r="H327" s="17"/>
      <c r="I327" s="17"/>
      <c r="J327" s="17"/>
      <c r="K327" s="17"/>
      <c r="L327" s="17"/>
      <c r="M327" s="17"/>
    </row>
    <row r="328" spans="1:13" ht="19.5" x14ac:dyDescent="0.35">
      <c r="A328" s="60"/>
      <c r="B328" s="20"/>
      <c r="C328" s="45" t="s">
        <v>58</v>
      </c>
      <c r="D328" s="10" t="s">
        <v>57</v>
      </c>
      <c r="E328" s="10">
        <f>30/1000</f>
        <v>0.03</v>
      </c>
      <c r="F328" s="17">
        <f>F318*E328</f>
        <v>6.7263000000000002</v>
      </c>
      <c r="G328" s="17"/>
      <c r="H328" s="17"/>
      <c r="I328" s="17"/>
      <c r="J328" s="17"/>
      <c r="K328" s="17"/>
      <c r="L328" s="17"/>
      <c r="M328" s="17"/>
    </row>
    <row r="329" spans="1:13" ht="18" x14ac:dyDescent="0.25">
      <c r="A329" s="60"/>
      <c r="B329" s="35" t="s">
        <v>156</v>
      </c>
      <c r="C329" s="152" t="s">
        <v>120</v>
      </c>
      <c r="D329" s="10" t="s">
        <v>35</v>
      </c>
      <c r="E329" s="10"/>
      <c r="F329" s="17">
        <f>F327*1.6</f>
        <v>45.200736000000006</v>
      </c>
      <c r="G329" s="17"/>
      <c r="H329" s="17"/>
      <c r="I329" s="17"/>
      <c r="J329" s="17"/>
      <c r="K329" s="64"/>
      <c r="L329" s="17"/>
      <c r="M329" s="17"/>
    </row>
    <row r="330" spans="1:13" ht="37.5" x14ac:dyDescent="0.25">
      <c r="A330" s="13">
        <v>6</v>
      </c>
      <c r="B330" s="9" t="s">
        <v>76</v>
      </c>
      <c r="C330" s="41" t="s">
        <v>115</v>
      </c>
      <c r="D330" s="13" t="s">
        <v>35</v>
      </c>
      <c r="E330" s="10"/>
      <c r="F330" s="34">
        <f>F335*0.0007</f>
        <v>0.14947099999999999</v>
      </c>
      <c r="G330" s="17"/>
      <c r="H330" s="17"/>
      <c r="I330" s="17"/>
      <c r="J330" s="17"/>
      <c r="K330" s="17"/>
      <c r="L330" s="17"/>
      <c r="M330" s="17"/>
    </row>
    <row r="331" spans="1:13" ht="18" x14ac:dyDescent="0.35">
      <c r="A331" s="13"/>
      <c r="B331" s="35" t="s">
        <v>171</v>
      </c>
      <c r="C331" s="45" t="s">
        <v>78</v>
      </c>
      <c r="D331" s="31" t="s">
        <v>30</v>
      </c>
      <c r="E331" s="50">
        <v>0.3</v>
      </c>
      <c r="F331" s="17">
        <f>F330*E331</f>
        <v>4.4841299999999994E-2</v>
      </c>
      <c r="G331" s="17"/>
      <c r="H331" s="17"/>
      <c r="I331" s="17"/>
      <c r="J331" s="17"/>
      <c r="K331" s="17"/>
      <c r="L331" s="17"/>
      <c r="M331" s="17"/>
    </row>
    <row r="332" spans="1:13" ht="18" x14ac:dyDescent="0.25">
      <c r="A332" s="13"/>
      <c r="B332" s="20"/>
      <c r="C332" s="10" t="s">
        <v>55</v>
      </c>
      <c r="D332" s="51"/>
      <c r="E332" s="10"/>
      <c r="F332" s="17"/>
      <c r="G332" s="17"/>
      <c r="H332" s="17"/>
      <c r="I332" s="17"/>
      <c r="J332" s="17"/>
      <c r="K332" s="17"/>
      <c r="L332" s="17"/>
      <c r="M332" s="17"/>
    </row>
    <row r="333" spans="1:13" ht="18" x14ac:dyDescent="0.25">
      <c r="A333" s="13"/>
      <c r="B333" s="35" t="s">
        <v>130</v>
      </c>
      <c r="C333" s="44" t="s">
        <v>67</v>
      </c>
      <c r="D333" s="10" t="s">
        <v>35</v>
      </c>
      <c r="E333" s="50">
        <v>1</v>
      </c>
      <c r="F333" s="17">
        <f>F330*E333</f>
        <v>0.14947099999999999</v>
      </c>
      <c r="G333" s="17"/>
      <c r="H333" s="17"/>
      <c r="I333" s="17"/>
      <c r="J333" s="17"/>
      <c r="K333" s="17"/>
      <c r="L333" s="17"/>
      <c r="M333" s="17"/>
    </row>
    <row r="334" spans="1:13" ht="18" x14ac:dyDescent="0.25">
      <c r="A334" s="13"/>
      <c r="B334" s="35" t="s">
        <v>156</v>
      </c>
      <c r="C334" s="21" t="s">
        <v>117</v>
      </c>
      <c r="D334" s="10" t="s">
        <v>35</v>
      </c>
      <c r="E334" s="10"/>
      <c r="F334" s="17">
        <f>F333</f>
        <v>0.14947099999999999</v>
      </c>
      <c r="G334" s="17"/>
      <c r="H334" s="17"/>
      <c r="I334" s="17"/>
      <c r="J334" s="17"/>
      <c r="K334" s="64"/>
      <c r="L334" s="17"/>
      <c r="M334" s="17"/>
    </row>
    <row r="335" spans="1:13" ht="51.75" x14ac:dyDescent="0.25">
      <c r="A335" s="13">
        <v>7</v>
      </c>
      <c r="B335" s="9" t="s">
        <v>83</v>
      </c>
      <c r="C335" s="41" t="s">
        <v>84</v>
      </c>
      <c r="D335" s="20" t="s">
        <v>79</v>
      </c>
      <c r="E335" s="10"/>
      <c r="F335" s="34">
        <v>213.53</v>
      </c>
      <c r="G335" s="17"/>
      <c r="H335" s="17"/>
      <c r="I335" s="17"/>
      <c r="J335" s="17"/>
      <c r="K335" s="17"/>
      <c r="L335" s="17"/>
      <c r="M335" s="17"/>
    </row>
    <row r="336" spans="1:13" ht="18" x14ac:dyDescent="0.25">
      <c r="A336" s="13"/>
      <c r="B336" s="20"/>
      <c r="C336" s="44" t="s">
        <v>21</v>
      </c>
      <c r="D336" s="10" t="s">
        <v>22</v>
      </c>
      <c r="E336" s="10">
        <f>37.5/1000</f>
        <v>3.7499999999999999E-2</v>
      </c>
      <c r="F336" s="17">
        <f>F335*E336</f>
        <v>8.0073749999999997</v>
      </c>
      <c r="G336" s="17"/>
      <c r="H336" s="17"/>
      <c r="I336" s="64"/>
      <c r="J336" s="17"/>
      <c r="K336" s="17"/>
      <c r="L336" s="17"/>
      <c r="M336" s="17"/>
    </row>
    <row r="337" spans="1:13" ht="18" x14ac:dyDescent="0.35">
      <c r="A337" s="13"/>
      <c r="B337" s="67" t="s">
        <v>168</v>
      </c>
      <c r="C337" s="45" t="s">
        <v>72</v>
      </c>
      <c r="D337" s="10" t="s">
        <v>30</v>
      </c>
      <c r="E337" s="10">
        <f>3.7/1000</f>
        <v>3.7000000000000002E-3</v>
      </c>
      <c r="F337" s="17">
        <f>E337*F335</f>
        <v>0.79006100000000001</v>
      </c>
      <c r="G337" s="17"/>
      <c r="H337" s="17"/>
      <c r="I337" s="17"/>
      <c r="J337" s="17"/>
      <c r="K337" s="17"/>
      <c r="L337" s="17"/>
      <c r="M337" s="17"/>
    </row>
    <row r="338" spans="1:13" ht="18" x14ac:dyDescent="0.35">
      <c r="A338" s="13"/>
      <c r="B338" s="67" t="s">
        <v>169</v>
      </c>
      <c r="C338" s="45" t="s">
        <v>80</v>
      </c>
      <c r="D338" s="10" t="s">
        <v>30</v>
      </c>
      <c r="E338" s="10">
        <f>11.1/1000</f>
        <v>1.11E-2</v>
      </c>
      <c r="F338" s="17">
        <f>E338*F335</f>
        <v>2.3701829999999999</v>
      </c>
      <c r="G338" s="17"/>
      <c r="H338" s="17"/>
      <c r="I338" s="17"/>
      <c r="J338" s="17"/>
      <c r="K338" s="17"/>
      <c r="L338" s="17"/>
      <c r="M338" s="17"/>
    </row>
    <row r="339" spans="1:13" ht="18" x14ac:dyDescent="0.35">
      <c r="A339" s="13"/>
      <c r="B339" s="35" t="s">
        <v>172</v>
      </c>
      <c r="C339" s="45" t="s">
        <v>81</v>
      </c>
      <c r="D339" s="10" t="s">
        <v>30</v>
      </c>
      <c r="E339" s="10">
        <f>3.02/1000</f>
        <v>3.0200000000000001E-3</v>
      </c>
      <c r="F339" s="17">
        <f>E339*F335</f>
        <v>0.64486060000000001</v>
      </c>
      <c r="G339" s="17"/>
      <c r="H339" s="17"/>
      <c r="I339" s="17"/>
      <c r="J339" s="17"/>
      <c r="K339" s="17"/>
      <c r="L339" s="17"/>
      <c r="M339" s="17"/>
    </row>
    <row r="340" spans="1:13" ht="18" x14ac:dyDescent="0.35">
      <c r="A340" s="13"/>
      <c r="B340" s="20"/>
      <c r="C340" s="45" t="s">
        <v>34</v>
      </c>
      <c r="D340" s="51" t="s">
        <v>25</v>
      </c>
      <c r="E340" s="10">
        <f>2.3/1000</f>
        <v>2.3E-3</v>
      </c>
      <c r="F340" s="17">
        <f>E340*F335</f>
        <v>0.49111899999999997</v>
      </c>
      <c r="G340" s="17"/>
      <c r="H340" s="17"/>
      <c r="I340" s="17"/>
      <c r="J340" s="17"/>
      <c r="K340" s="17"/>
      <c r="L340" s="17"/>
      <c r="M340" s="17"/>
    </row>
    <row r="341" spans="1:13" ht="18" x14ac:dyDescent="0.25">
      <c r="A341" s="13"/>
      <c r="B341" s="20"/>
      <c r="C341" s="10" t="s">
        <v>55</v>
      </c>
      <c r="D341" s="51"/>
      <c r="E341" s="10"/>
      <c r="F341" s="17"/>
      <c r="G341" s="17"/>
      <c r="H341" s="17"/>
      <c r="I341" s="17"/>
      <c r="J341" s="17"/>
      <c r="K341" s="17"/>
      <c r="L341" s="17"/>
      <c r="M341" s="17"/>
    </row>
    <row r="342" spans="1:13" ht="18" x14ac:dyDescent="0.25">
      <c r="A342" s="13"/>
      <c r="B342" s="35" t="s">
        <v>131</v>
      </c>
      <c r="C342" s="37" t="s">
        <v>82</v>
      </c>
      <c r="D342" s="10" t="s">
        <v>35</v>
      </c>
      <c r="E342" s="10">
        <f>97.4/1000</f>
        <v>9.74E-2</v>
      </c>
      <c r="F342" s="17">
        <f>F335*E342</f>
        <v>20.797822</v>
      </c>
      <c r="G342" s="17"/>
      <c r="H342" s="17"/>
      <c r="I342" s="17"/>
      <c r="J342" s="17"/>
      <c r="K342" s="17"/>
      <c r="L342" s="17"/>
      <c r="M342" s="17"/>
    </row>
    <row r="343" spans="1:13" ht="18" x14ac:dyDescent="0.35">
      <c r="A343" s="13"/>
      <c r="B343" s="20"/>
      <c r="C343" s="45" t="s">
        <v>65</v>
      </c>
      <c r="D343" s="51" t="s">
        <v>25</v>
      </c>
      <c r="E343" s="10">
        <f>14.5/1000</f>
        <v>1.4500000000000001E-2</v>
      </c>
      <c r="F343" s="17">
        <f>F335*E343</f>
        <v>3.0961850000000002</v>
      </c>
      <c r="G343" s="17"/>
      <c r="H343" s="17"/>
      <c r="I343" s="17"/>
      <c r="J343" s="17"/>
      <c r="K343" s="153"/>
      <c r="L343" s="153"/>
      <c r="M343" s="17"/>
    </row>
    <row r="344" spans="1:13" ht="18" x14ac:dyDescent="0.25">
      <c r="A344" s="13"/>
      <c r="B344" s="35" t="s">
        <v>156</v>
      </c>
      <c r="C344" s="23" t="s">
        <v>121</v>
      </c>
      <c r="D344" s="10" t="s">
        <v>35</v>
      </c>
      <c r="E344" s="10"/>
      <c r="F344" s="17">
        <f>F342</f>
        <v>20.797822</v>
      </c>
      <c r="G344" s="17"/>
      <c r="H344" s="17"/>
      <c r="I344" s="17"/>
      <c r="J344" s="17"/>
      <c r="K344" s="64"/>
      <c r="L344" s="17"/>
      <c r="M344" s="17"/>
    </row>
    <row r="345" spans="1:13" ht="18" x14ac:dyDescent="0.25">
      <c r="A345" s="170"/>
      <c r="B345" s="13" t="s">
        <v>23</v>
      </c>
      <c r="C345" s="159"/>
      <c r="D345" s="62"/>
      <c r="E345" s="155"/>
      <c r="F345" s="63"/>
      <c r="G345" s="63"/>
      <c r="H345" s="160"/>
      <c r="I345" s="160"/>
      <c r="J345" s="160"/>
      <c r="K345" s="160"/>
      <c r="L345" s="160"/>
      <c r="M345" s="160"/>
    </row>
    <row r="346" spans="1:13" ht="18" x14ac:dyDescent="0.25">
      <c r="A346" s="19"/>
      <c r="B346" s="19"/>
      <c r="C346" s="19" t="s">
        <v>180</v>
      </c>
      <c r="D346" s="19" t="s">
        <v>25</v>
      </c>
      <c r="E346" s="19"/>
      <c r="F346" s="19"/>
      <c r="G346" s="19"/>
      <c r="H346" s="160"/>
      <c r="I346" s="160"/>
      <c r="J346" s="160"/>
      <c r="K346" s="160"/>
      <c r="L346" s="160"/>
      <c r="M346" s="160"/>
    </row>
    <row r="347" spans="1:13" ht="18" x14ac:dyDescent="0.25">
      <c r="A347" s="19"/>
      <c r="B347" s="19"/>
      <c r="C347" s="19" t="s">
        <v>181</v>
      </c>
      <c r="D347" s="19"/>
      <c r="E347" s="19"/>
      <c r="F347" s="19"/>
      <c r="G347" s="19"/>
      <c r="H347" s="19"/>
      <c r="I347" s="19"/>
      <c r="J347" s="19"/>
      <c r="K347" s="19"/>
      <c r="L347" s="19"/>
      <c r="M347" s="19"/>
    </row>
    <row r="348" spans="1:13" ht="18" x14ac:dyDescent="0.25">
      <c r="A348" s="19"/>
      <c r="B348" s="19"/>
      <c r="C348" s="19" t="s">
        <v>98</v>
      </c>
      <c r="D348" s="19"/>
      <c r="E348" s="19"/>
      <c r="F348" s="19"/>
      <c r="G348" s="19"/>
      <c r="H348" s="19"/>
      <c r="I348" s="19"/>
      <c r="J348" s="19"/>
      <c r="K348" s="19"/>
      <c r="L348" s="19"/>
      <c r="M348" s="19"/>
    </row>
    <row r="349" spans="1:13" ht="69" x14ac:dyDescent="0.25">
      <c r="A349" s="13">
        <v>1</v>
      </c>
      <c r="B349" s="171" t="s">
        <v>99</v>
      </c>
      <c r="C349" s="172" t="s">
        <v>100</v>
      </c>
      <c r="D349" s="173" t="s">
        <v>101</v>
      </c>
      <c r="E349" s="174"/>
      <c r="F349" s="175">
        <v>3</v>
      </c>
      <c r="G349" s="176"/>
      <c r="H349" s="177"/>
      <c r="I349" s="176"/>
      <c r="J349" s="177"/>
      <c r="K349" s="176"/>
      <c r="L349" s="177"/>
      <c r="M349" s="177"/>
    </row>
    <row r="350" spans="1:13" ht="18" x14ac:dyDescent="0.35">
      <c r="A350" s="13"/>
      <c r="B350" s="178"/>
      <c r="C350" s="179" t="s">
        <v>21</v>
      </c>
      <c r="D350" s="39" t="s">
        <v>22</v>
      </c>
      <c r="E350" s="180">
        <v>3.23</v>
      </c>
      <c r="F350" s="176">
        <f>F349*E350</f>
        <v>9.69</v>
      </c>
      <c r="G350" s="176"/>
      <c r="H350" s="177"/>
      <c r="I350" s="64"/>
      <c r="J350" s="177"/>
      <c r="K350" s="176"/>
      <c r="L350" s="177"/>
      <c r="M350" s="177"/>
    </row>
    <row r="351" spans="1:13" ht="18" x14ac:dyDescent="0.35">
      <c r="A351" s="13"/>
      <c r="B351" s="35" t="s">
        <v>173</v>
      </c>
      <c r="C351" s="179" t="s">
        <v>102</v>
      </c>
      <c r="D351" s="39" t="s">
        <v>30</v>
      </c>
      <c r="E351" s="180">
        <v>0.15</v>
      </c>
      <c r="F351" s="176">
        <f>F349*E351</f>
        <v>0.44999999999999996</v>
      </c>
      <c r="G351" s="176"/>
      <c r="H351" s="177"/>
      <c r="I351" s="176"/>
      <c r="J351" s="177"/>
      <c r="K351" s="176"/>
      <c r="L351" s="177"/>
      <c r="M351" s="177"/>
    </row>
    <row r="352" spans="1:13" ht="18" x14ac:dyDescent="0.35">
      <c r="A352" s="13"/>
      <c r="B352" s="35" t="s">
        <v>174</v>
      </c>
      <c r="C352" s="181" t="s">
        <v>103</v>
      </c>
      <c r="D352" s="39" t="s">
        <v>30</v>
      </c>
      <c r="E352" s="180">
        <v>0.28599999999999998</v>
      </c>
      <c r="F352" s="176">
        <f>F349*E352</f>
        <v>0.85799999999999987</v>
      </c>
      <c r="G352" s="176"/>
      <c r="H352" s="177"/>
      <c r="I352" s="176"/>
      <c r="J352" s="177"/>
      <c r="K352" s="176"/>
      <c r="L352" s="177"/>
      <c r="M352" s="177"/>
    </row>
    <row r="353" spans="1:13" ht="18" x14ac:dyDescent="0.25">
      <c r="A353" s="13"/>
      <c r="B353" s="178"/>
      <c r="C353" s="182" t="s">
        <v>34</v>
      </c>
      <c r="D353" s="39" t="s">
        <v>25</v>
      </c>
      <c r="E353" s="180">
        <v>0.64300000000000002</v>
      </c>
      <c r="F353" s="176">
        <f>F349*E353</f>
        <v>1.929</v>
      </c>
      <c r="G353" s="176"/>
      <c r="H353" s="177"/>
      <c r="I353" s="176"/>
      <c r="J353" s="177"/>
      <c r="K353" s="176"/>
      <c r="L353" s="177"/>
      <c r="M353" s="177"/>
    </row>
    <row r="354" spans="1:13" ht="18" x14ac:dyDescent="0.25">
      <c r="A354" s="13"/>
      <c r="B354" s="178"/>
      <c r="C354" s="39" t="s">
        <v>55</v>
      </c>
      <c r="D354" s="39"/>
      <c r="E354" s="180"/>
      <c r="F354" s="176"/>
      <c r="G354" s="176"/>
      <c r="H354" s="177"/>
      <c r="I354" s="176"/>
      <c r="J354" s="177"/>
      <c r="K354" s="176"/>
      <c r="L354" s="177"/>
      <c r="M354" s="177"/>
    </row>
    <row r="355" spans="1:13" ht="54" x14ac:dyDescent="0.25">
      <c r="A355" s="13"/>
      <c r="B355" s="35" t="s">
        <v>132</v>
      </c>
      <c r="C355" s="183" t="s">
        <v>142</v>
      </c>
      <c r="D355" s="39" t="s">
        <v>101</v>
      </c>
      <c r="E355" s="180" t="s">
        <v>63</v>
      </c>
      <c r="F355" s="176">
        <v>3</v>
      </c>
      <c r="G355" s="176"/>
      <c r="H355" s="177"/>
      <c r="I355" s="176"/>
      <c r="J355" s="177"/>
      <c r="K355" s="176"/>
      <c r="L355" s="177"/>
      <c r="M355" s="177"/>
    </row>
    <row r="356" spans="1:13" ht="19.5" x14ac:dyDescent="0.25">
      <c r="A356" s="13"/>
      <c r="B356" s="35" t="s">
        <v>164</v>
      </c>
      <c r="C356" s="184" t="s">
        <v>104</v>
      </c>
      <c r="D356" s="10" t="s">
        <v>57</v>
      </c>
      <c r="E356" s="180" t="s">
        <v>63</v>
      </c>
      <c r="F356" s="176">
        <f>(F355)*0.1</f>
        <v>0.30000000000000004</v>
      </c>
      <c r="G356" s="176"/>
      <c r="H356" s="177"/>
      <c r="I356" s="176"/>
      <c r="J356" s="177"/>
      <c r="K356" s="176"/>
      <c r="L356" s="177"/>
      <c r="M356" s="177"/>
    </row>
    <row r="357" spans="1:13" ht="18" x14ac:dyDescent="0.25">
      <c r="A357" s="13"/>
      <c r="B357" s="35" t="s">
        <v>175</v>
      </c>
      <c r="C357" s="185" t="s">
        <v>105</v>
      </c>
      <c r="D357" s="39" t="s">
        <v>101</v>
      </c>
      <c r="E357" s="180" t="s">
        <v>63</v>
      </c>
      <c r="F357" s="176">
        <f>F349</f>
        <v>3</v>
      </c>
      <c r="G357" s="176"/>
      <c r="H357" s="177"/>
      <c r="I357" s="176"/>
      <c r="J357" s="177"/>
      <c r="K357" s="176"/>
      <c r="L357" s="177"/>
      <c r="M357" s="177"/>
    </row>
    <row r="358" spans="1:13" ht="18" x14ac:dyDescent="0.25">
      <c r="A358" s="13"/>
      <c r="B358" s="178"/>
      <c r="C358" s="182" t="s">
        <v>65</v>
      </c>
      <c r="D358" s="39" t="s">
        <v>25</v>
      </c>
      <c r="E358" s="180">
        <v>0.41299999999999998</v>
      </c>
      <c r="F358" s="176">
        <f>F349*E358</f>
        <v>1.2389999999999999</v>
      </c>
      <c r="G358" s="176"/>
      <c r="H358" s="177"/>
      <c r="I358" s="176"/>
      <c r="J358" s="177"/>
      <c r="K358" s="176"/>
      <c r="L358" s="177"/>
      <c r="M358" s="177"/>
    </row>
    <row r="359" spans="1:13" ht="36" x14ac:dyDescent="0.25">
      <c r="A359" s="13"/>
      <c r="B359" s="35" t="s">
        <v>156</v>
      </c>
      <c r="C359" s="183" t="s">
        <v>123</v>
      </c>
      <c r="D359" s="39" t="s">
        <v>42</v>
      </c>
      <c r="E359" s="180"/>
      <c r="F359" s="176">
        <f>(((F355)*21.91/1000)+(F357*3/1000))</f>
        <v>7.4730000000000005E-2</v>
      </c>
      <c r="G359" s="176"/>
      <c r="H359" s="177"/>
      <c r="I359" s="176"/>
      <c r="J359" s="177"/>
      <c r="K359" s="64"/>
      <c r="L359" s="177"/>
      <c r="M359" s="177"/>
    </row>
    <row r="360" spans="1:13" ht="18" x14ac:dyDescent="0.25">
      <c r="A360" s="13"/>
      <c r="B360" s="35" t="s">
        <v>156</v>
      </c>
      <c r="C360" s="183" t="s">
        <v>118</v>
      </c>
      <c r="D360" s="39" t="s">
        <v>42</v>
      </c>
      <c r="E360" s="180"/>
      <c r="F360" s="176">
        <f>F356*2.4</f>
        <v>0.72000000000000008</v>
      </c>
      <c r="G360" s="176"/>
      <c r="H360" s="177"/>
      <c r="I360" s="176"/>
      <c r="J360" s="177"/>
      <c r="K360" s="64"/>
      <c r="L360" s="177"/>
      <c r="M360" s="177"/>
    </row>
    <row r="361" spans="1:13" ht="18" x14ac:dyDescent="0.25">
      <c r="A361" s="13"/>
      <c r="B361" s="138" t="s">
        <v>23</v>
      </c>
      <c r="C361" s="46"/>
      <c r="D361" s="49"/>
      <c r="E361" s="17"/>
      <c r="F361" s="17"/>
      <c r="G361" s="17"/>
      <c r="H361" s="71"/>
      <c r="I361" s="71"/>
      <c r="J361" s="71"/>
      <c r="K361" s="71"/>
      <c r="L361" s="71"/>
      <c r="M361" s="71"/>
    </row>
    <row r="362" spans="1:13" ht="18" x14ac:dyDescent="0.25">
      <c r="A362" s="19"/>
      <c r="B362" s="19"/>
      <c r="C362" s="19" t="s">
        <v>106</v>
      </c>
      <c r="D362" s="19"/>
      <c r="E362" s="19"/>
      <c r="F362" s="19"/>
      <c r="G362" s="19"/>
      <c r="H362" s="19"/>
      <c r="I362" s="19"/>
      <c r="J362" s="19"/>
      <c r="K362" s="19"/>
      <c r="L362" s="19"/>
      <c r="M362" s="19"/>
    </row>
    <row r="363" spans="1:13" ht="72" x14ac:dyDescent="0.25">
      <c r="A363" s="13">
        <v>1</v>
      </c>
      <c r="B363" s="171" t="s">
        <v>107</v>
      </c>
      <c r="C363" s="26" t="s">
        <v>108</v>
      </c>
      <c r="D363" s="16" t="s">
        <v>61</v>
      </c>
      <c r="E363" s="186"/>
      <c r="F363" s="34">
        <v>817.47</v>
      </c>
      <c r="G363" s="17"/>
      <c r="H363" s="17"/>
      <c r="I363" s="17"/>
      <c r="J363" s="17"/>
      <c r="K363" s="17"/>
      <c r="L363" s="17"/>
      <c r="M363" s="17"/>
    </row>
    <row r="364" spans="1:13" ht="18" x14ac:dyDescent="0.25">
      <c r="A364" s="13"/>
      <c r="B364" s="20"/>
      <c r="C364" s="44" t="s">
        <v>21</v>
      </c>
      <c r="D364" s="10" t="s">
        <v>22</v>
      </c>
      <c r="E364" s="22">
        <f>3.25/1000</f>
        <v>3.2499999999999999E-3</v>
      </c>
      <c r="F364" s="176">
        <f>F363*E364</f>
        <v>2.6567775</v>
      </c>
      <c r="G364" s="176"/>
      <c r="H364" s="176"/>
      <c r="I364" s="64"/>
      <c r="J364" s="176"/>
      <c r="K364" s="176"/>
      <c r="L364" s="176"/>
      <c r="M364" s="176"/>
    </row>
    <row r="365" spans="1:13" ht="18" x14ac:dyDescent="0.35">
      <c r="A365" s="13"/>
      <c r="B365" s="35" t="s">
        <v>176</v>
      </c>
      <c r="C365" s="45" t="s">
        <v>114</v>
      </c>
      <c r="D365" s="39" t="s">
        <v>30</v>
      </c>
      <c r="E365" s="22">
        <f>0.88/1000</f>
        <v>8.8000000000000003E-4</v>
      </c>
      <c r="F365" s="176">
        <f>F363*E365</f>
        <v>0.71937360000000006</v>
      </c>
      <c r="G365" s="176"/>
      <c r="H365" s="176"/>
      <c r="I365" s="176"/>
      <c r="J365" s="176"/>
      <c r="K365" s="176"/>
      <c r="L365" s="176"/>
      <c r="M365" s="176"/>
    </row>
    <row r="366" spans="1:13" ht="18" x14ac:dyDescent="0.35">
      <c r="A366" s="13"/>
      <c r="B366" s="20"/>
      <c r="C366" s="45" t="s">
        <v>34</v>
      </c>
      <c r="D366" s="187" t="s">
        <v>25</v>
      </c>
      <c r="E366" s="22">
        <f>3.52/1000</f>
        <v>3.5200000000000001E-3</v>
      </c>
      <c r="F366" s="176">
        <f>F363*E366</f>
        <v>2.8774944000000002</v>
      </c>
      <c r="G366" s="176"/>
      <c r="H366" s="176"/>
      <c r="I366" s="176"/>
      <c r="J366" s="176"/>
      <c r="K366" s="176"/>
      <c r="L366" s="176"/>
      <c r="M366" s="176"/>
    </row>
    <row r="367" spans="1:13" ht="18" x14ac:dyDescent="0.25">
      <c r="A367" s="13"/>
      <c r="B367" s="20"/>
      <c r="C367" s="10" t="s">
        <v>55</v>
      </c>
      <c r="D367" s="51"/>
      <c r="E367" s="22"/>
      <c r="F367" s="176"/>
      <c r="G367" s="176"/>
      <c r="H367" s="176"/>
      <c r="I367" s="176"/>
      <c r="J367" s="176"/>
      <c r="K367" s="176"/>
      <c r="L367" s="176"/>
      <c r="M367" s="176"/>
    </row>
    <row r="368" spans="1:13" ht="18" x14ac:dyDescent="0.25">
      <c r="A368" s="13"/>
      <c r="B368" s="35" t="s">
        <v>177</v>
      </c>
      <c r="C368" s="37" t="s">
        <v>110</v>
      </c>
      <c r="D368" s="51" t="s">
        <v>111</v>
      </c>
      <c r="E368" s="22">
        <f>42/1000</f>
        <v>4.2000000000000003E-2</v>
      </c>
      <c r="F368" s="176">
        <f>F363*E368</f>
        <v>34.333740000000006</v>
      </c>
      <c r="G368" s="176"/>
      <c r="H368" s="176"/>
      <c r="I368" s="176"/>
      <c r="J368" s="176"/>
      <c r="K368" s="176"/>
      <c r="L368" s="176"/>
      <c r="M368" s="176"/>
    </row>
    <row r="369" spans="1:13" ht="18" x14ac:dyDescent="0.25">
      <c r="A369" s="13"/>
      <c r="B369" s="35" t="s">
        <v>156</v>
      </c>
      <c r="C369" s="152" t="s">
        <v>124</v>
      </c>
      <c r="D369" s="10" t="s">
        <v>42</v>
      </c>
      <c r="E369" s="22"/>
      <c r="F369" s="176">
        <f>F368/1000</f>
        <v>3.4333740000000008E-2</v>
      </c>
      <c r="G369" s="176"/>
      <c r="H369" s="176"/>
      <c r="I369" s="176"/>
      <c r="J369" s="176"/>
      <c r="K369" s="64"/>
      <c r="L369" s="176"/>
      <c r="M369" s="176"/>
    </row>
    <row r="370" spans="1:13" ht="90" x14ac:dyDescent="0.25">
      <c r="A370" s="13">
        <v>2</v>
      </c>
      <c r="B370" s="171" t="s">
        <v>107</v>
      </c>
      <c r="C370" s="26" t="s">
        <v>125</v>
      </c>
      <c r="D370" s="13" t="s">
        <v>61</v>
      </c>
      <c r="E370" s="42"/>
      <c r="F370" s="71">
        <v>37.69</v>
      </c>
      <c r="G370" s="17"/>
      <c r="H370" s="17"/>
      <c r="I370" s="17"/>
      <c r="J370" s="17"/>
      <c r="K370" s="17"/>
      <c r="L370" s="17"/>
      <c r="M370" s="17"/>
    </row>
    <row r="371" spans="1:13" ht="18" x14ac:dyDescent="0.25">
      <c r="A371" s="13"/>
      <c r="B371" s="20"/>
      <c r="C371" s="44" t="s">
        <v>21</v>
      </c>
      <c r="D371" s="10" t="s">
        <v>22</v>
      </c>
      <c r="E371" s="22">
        <f>3.25/1000</f>
        <v>3.2499999999999999E-3</v>
      </c>
      <c r="F371" s="17">
        <f>F370*E371</f>
        <v>0.12249249999999999</v>
      </c>
      <c r="G371" s="176"/>
      <c r="H371" s="176"/>
      <c r="I371" s="64"/>
      <c r="J371" s="176"/>
      <c r="K371" s="176"/>
      <c r="L371" s="176"/>
      <c r="M371" s="176"/>
    </row>
    <row r="372" spans="1:13" ht="18" x14ac:dyDescent="0.35">
      <c r="A372" s="13"/>
      <c r="B372" s="35" t="s">
        <v>176</v>
      </c>
      <c r="C372" s="45" t="s">
        <v>109</v>
      </c>
      <c r="D372" s="39" t="s">
        <v>30</v>
      </c>
      <c r="E372" s="22">
        <f>0.88/1000</f>
        <v>8.8000000000000003E-4</v>
      </c>
      <c r="F372" s="17">
        <f>F370*E372</f>
        <v>3.3167200000000001E-2</v>
      </c>
      <c r="G372" s="176"/>
      <c r="H372" s="176"/>
      <c r="I372" s="176"/>
      <c r="J372" s="176"/>
      <c r="K372" s="176"/>
      <c r="L372" s="176"/>
      <c r="M372" s="176"/>
    </row>
    <row r="373" spans="1:13" ht="18" x14ac:dyDescent="0.35">
      <c r="A373" s="13"/>
      <c r="B373" s="20"/>
      <c r="C373" s="45" t="s">
        <v>34</v>
      </c>
      <c r="D373" s="187" t="s">
        <v>25</v>
      </c>
      <c r="E373" s="22">
        <f>3.52/1000</f>
        <v>3.5200000000000001E-3</v>
      </c>
      <c r="F373" s="17">
        <f>F370*E373</f>
        <v>0.1326688</v>
      </c>
      <c r="G373" s="176"/>
      <c r="H373" s="176"/>
      <c r="I373" s="176"/>
      <c r="J373" s="176"/>
      <c r="K373" s="176"/>
      <c r="L373" s="176"/>
      <c r="M373" s="176"/>
    </row>
    <row r="374" spans="1:13" ht="18" x14ac:dyDescent="0.25">
      <c r="A374" s="13"/>
      <c r="B374" s="20"/>
      <c r="C374" s="10" t="s">
        <v>55</v>
      </c>
      <c r="D374" s="51"/>
      <c r="E374" s="22"/>
      <c r="F374" s="17"/>
      <c r="G374" s="176"/>
      <c r="H374" s="176"/>
      <c r="I374" s="176"/>
      <c r="J374" s="176"/>
      <c r="K374" s="176"/>
      <c r="L374" s="176"/>
      <c r="M374" s="176"/>
    </row>
    <row r="375" spans="1:13" ht="18" x14ac:dyDescent="0.25">
      <c r="A375" s="13"/>
      <c r="B375" s="35" t="s">
        <v>177</v>
      </c>
      <c r="C375" s="37" t="s">
        <v>110</v>
      </c>
      <c r="D375" s="51" t="s">
        <v>111</v>
      </c>
      <c r="E375" s="22">
        <f>42/1000</f>
        <v>4.2000000000000003E-2</v>
      </c>
      <c r="F375" s="17">
        <f>F370*E375</f>
        <v>1.5829800000000001</v>
      </c>
      <c r="G375" s="176"/>
      <c r="H375" s="176"/>
      <c r="I375" s="176"/>
      <c r="J375" s="176"/>
      <c r="K375" s="176"/>
      <c r="L375" s="176"/>
      <c r="M375" s="176"/>
    </row>
    <row r="376" spans="1:13" ht="18" x14ac:dyDescent="0.25">
      <c r="A376" s="13"/>
      <c r="B376" s="35" t="s">
        <v>156</v>
      </c>
      <c r="C376" s="152" t="s">
        <v>124</v>
      </c>
      <c r="D376" s="10" t="s">
        <v>42</v>
      </c>
      <c r="E376" s="22"/>
      <c r="F376" s="188">
        <f>F375/1000</f>
        <v>1.5829800000000001E-3</v>
      </c>
      <c r="G376" s="176"/>
      <c r="H376" s="176"/>
      <c r="I376" s="176"/>
      <c r="J376" s="176"/>
      <c r="K376" s="64"/>
      <c r="L376" s="176"/>
      <c r="M376" s="176"/>
    </row>
    <row r="377" spans="1:13" ht="18" x14ac:dyDescent="0.25">
      <c r="A377" s="138"/>
      <c r="B377" s="138" t="s">
        <v>23</v>
      </c>
      <c r="C377" s="46"/>
      <c r="D377" s="49"/>
      <c r="E377" s="17"/>
      <c r="F377" s="17"/>
      <c r="G377" s="17"/>
      <c r="H377" s="71"/>
      <c r="I377" s="71"/>
      <c r="J377" s="71"/>
      <c r="K377" s="71"/>
      <c r="L377" s="71"/>
      <c r="M377" s="71"/>
    </row>
    <row r="378" spans="1:13" ht="18" x14ac:dyDescent="0.25">
      <c r="A378" s="19"/>
      <c r="B378" s="19"/>
      <c r="C378" s="19" t="s">
        <v>112</v>
      </c>
      <c r="D378" s="19"/>
      <c r="E378" s="19"/>
      <c r="F378" s="19"/>
      <c r="G378" s="19"/>
      <c r="H378" s="71"/>
      <c r="I378" s="71"/>
      <c r="J378" s="71"/>
      <c r="K378" s="71"/>
      <c r="L378" s="71"/>
      <c r="M378" s="71"/>
    </row>
    <row r="379" spans="1:13" ht="18" x14ac:dyDescent="0.25">
      <c r="A379" s="19"/>
      <c r="B379" s="19"/>
      <c r="C379" s="19" t="s">
        <v>113</v>
      </c>
      <c r="D379" s="19"/>
      <c r="E379" s="19"/>
      <c r="F379" s="19"/>
      <c r="G379" s="19"/>
      <c r="H379" s="160"/>
      <c r="I379" s="160"/>
      <c r="J379" s="160"/>
      <c r="K379" s="160"/>
      <c r="L379" s="160"/>
      <c r="M379" s="160"/>
    </row>
    <row r="380" spans="1:13" ht="18" x14ac:dyDescent="0.25">
      <c r="A380" s="19"/>
      <c r="B380" s="19"/>
      <c r="C380" s="189" t="s">
        <v>88</v>
      </c>
      <c r="D380" s="190" t="s">
        <v>89</v>
      </c>
      <c r="E380" s="191"/>
      <c r="F380" s="19"/>
      <c r="G380" s="19"/>
      <c r="H380" s="19"/>
      <c r="I380" s="19"/>
      <c r="J380" s="19"/>
      <c r="K380" s="19"/>
      <c r="L380" s="19"/>
      <c r="M380" s="160"/>
    </row>
    <row r="381" spans="1:13" ht="18" x14ac:dyDescent="0.25">
      <c r="A381" s="19"/>
      <c r="B381" s="19"/>
      <c r="C381" s="192" t="s">
        <v>23</v>
      </c>
      <c r="D381" s="105" t="s">
        <v>25</v>
      </c>
      <c r="E381" s="155"/>
      <c r="F381" s="19"/>
      <c r="G381" s="19"/>
      <c r="H381" s="19"/>
      <c r="I381" s="19"/>
      <c r="J381" s="19"/>
      <c r="K381" s="19"/>
      <c r="L381" s="19"/>
      <c r="M381" s="160"/>
    </row>
    <row r="382" spans="1:13" ht="18" x14ac:dyDescent="0.25">
      <c r="A382" s="19"/>
      <c r="B382" s="19"/>
      <c r="C382" s="189" t="s">
        <v>90</v>
      </c>
      <c r="D382" s="190" t="s">
        <v>89</v>
      </c>
      <c r="E382" s="191"/>
      <c r="F382" s="19"/>
      <c r="G382" s="19"/>
      <c r="H382" s="19"/>
      <c r="I382" s="19"/>
      <c r="J382" s="19"/>
      <c r="K382" s="19"/>
      <c r="L382" s="19"/>
      <c r="M382" s="160"/>
    </row>
    <row r="383" spans="1:13" ht="18" x14ac:dyDescent="0.25">
      <c r="A383" s="19"/>
      <c r="B383" s="19"/>
      <c r="C383" s="192" t="s">
        <v>23</v>
      </c>
      <c r="D383" s="105" t="s">
        <v>25</v>
      </c>
      <c r="E383" s="155"/>
      <c r="F383" s="19"/>
      <c r="G383" s="19"/>
      <c r="H383" s="19"/>
      <c r="I383" s="19"/>
      <c r="J383" s="19"/>
      <c r="K383" s="19"/>
      <c r="L383" s="19"/>
      <c r="M383" s="160"/>
    </row>
    <row r="384" spans="1:13" ht="30" x14ac:dyDescent="0.25">
      <c r="A384" s="19"/>
      <c r="B384" s="19"/>
      <c r="C384" s="226" t="s">
        <v>234</v>
      </c>
      <c r="D384" s="190" t="s">
        <v>89</v>
      </c>
      <c r="E384" s="191"/>
      <c r="F384" s="19"/>
      <c r="G384" s="19"/>
      <c r="H384" s="19"/>
      <c r="I384" s="19"/>
      <c r="J384" s="19"/>
      <c r="K384" s="19"/>
      <c r="L384" s="19"/>
      <c r="M384" s="160"/>
    </row>
    <row r="385" spans="1:13" ht="18" x14ac:dyDescent="0.25">
      <c r="A385" s="19"/>
      <c r="B385" s="19"/>
      <c r="C385" s="193" t="s">
        <v>23</v>
      </c>
      <c r="D385" s="194" t="s">
        <v>25</v>
      </c>
      <c r="E385" s="195"/>
      <c r="F385" s="19"/>
      <c r="G385" s="19"/>
      <c r="H385" s="19"/>
      <c r="I385" s="19"/>
      <c r="J385" s="19"/>
      <c r="K385" s="19"/>
      <c r="L385" s="19"/>
      <c r="M385" s="160"/>
    </row>
    <row r="386" spans="1:13" ht="18" x14ac:dyDescent="0.25">
      <c r="A386" s="19"/>
      <c r="B386" s="19"/>
      <c r="C386" s="196" t="s">
        <v>91</v>
      </c>
      <c r="D386" s="197" t="s">
        <v>89</v>
      </c>
      <c r="E386" s="198">
        <v>18</v>
      </c>
      <c r="F386" s="19"/>
      <c r="G386" s="19"/>
      <c r="H386" s="19"/>
      <c r="I386" s="19"/>
      <c r="J386" s="19"/>
      <c r="K386" s="19"/>
      <c r="L386" s="19"/>
      <c r="M386" s="160"/>
    </row>
    <row r="387" spans="1:13" ht="18" x14ac:dyDescent="0.25">
      <c r="A387" s="19"/>
      <c r="B387" s="19"/>
      <c r="C387" s="199" t="s">
        <v>92</v>
      </c>
      <c r="D387" s="8" t="s">
        <v>25</v>
      </c>
      <c r="E387" s="200"/>
      <c r="F387" s="19"/>
      <c r="G387" s="19"/>
      <c r="H387" s="19"/>
      <c r="I387" s="19"/>
      <c r="J387" s="19"/>
      <c r="K387" s="19"/>
      <c r="L387" s="19"/>
      <c r="M387" s="160"/>
    </row>
    <row r="388" spans="1:13" ht="17.25" x14ac:dyDescent="0.25">
      <c r="A388" s="1"/>
      <c r="B388" s="2"/>
      <c r="C388" s="3"/>
      <c r="D388" s="4"/>
      <c r="E388" s="4"/>
      <c r="F388" s="4"/>
      <c r="G388" s="4"/>
      <c r="H388" s="4"/>
      <c r="I388" s="4"/>
      <c r="J388" s="4"/>
      <c r="K388" s="4"/>
      <c r="L388" s="5"/>
      <c r="M388" s="5"/>
    </row>
    <row r="389" spans="1:13" ht="22.5" x14ac:dyDescent="0.25">
      <c r="A389" s="219" t="s">
        <v>93</v>
      </c>
      <c r="B389" s="220"/>
      <c r="C389" s="220"/>
      <c r="D389" s="220"/>
      <c r="E389" s="220"/>
      <c r="F389" s="220"/>
      <c r="G389" s="220"/>
      <c r="H389" s="220"/>
      <c r="I389" s="220"/>
      <c r="J389" s="220"/>
      <c r="K389" s="220"/>
      <c r="L389" s="220"/>
      <c r="M389" s="220"/>
    </row>
  </sheetData>
  <mergeCells count="18">
    <mergeCell ref="A1:M1"/>
    <mergeCell ref="A2:M2"/>
    <mergeCell ref="A3:M3"/>
    <mergeCell ref="A4:M4"/>
    <mergeCell ref="A5:M5"/>
    <mergeCell ref="D6:E6"/>
    <mergeCell ref="G6:L6"/>
    <mergeCell ref="F7:F8"/>
    <mergeCell ref="A6:C6"/>
    <mergeCell ref="A389:M389"/>
    <mergeCell ref="A7:A8"/>
    <mergeCell ref="B7:B8"/>
    <mergeCell ref="C7:C8"/>
    <mergeCell ref="D7:D8"/>
    <mergeCell ref="E7:E8"/>
    <mergeCell ref="G7:H7"/>
    <mergeCell ref="I7:J7"/>
    <mergeCell ref="K7:L7"/>
  </mergeCells>
  <conditionalFormatting sqref="F11:M11 E12:M12 F146:M146">
    <cfRule type="cellIs" dxfId="246" priority="1505" stopIfTrue="1" operator="lessThan">
      <formula>0</formula>
    </cfRule>
  </conditionalFormatting>
  <conditionalFormatting sqref="J13">
    <cfRule type="cellIs" dxfId="245" priority="1504" stopIfTrue="1" operator="lessThan">
      <formula>0</formula>
    </cfRule>
  </conditionalFormatting>
  <conditionalFormatting sqref="H13">
    <cfRule type="cellIs" dxfId="244" priority="1503" stopIfTrue="1" operator="lessThan">
      <formula>0</formula>
    </cfRule>
  </conditionalFormatting>
  <conditionalFormatting sqref="L13">
    <cfRule type="cellIs" dxfId="243" priority="1502" stopIfTrue="1" operator="lessThan">
      <formula>0</formula>
    </cfRule>
  </conditionalFormatting>
  <conditionalFormatting sqref="M13">
    <cfRule type="cellIs" dxfId="242" priority="1501" stopIfTrue="1" operator="lessThan">
      <formula>0</formula>
    </cfRule>
  </conditionalFormatting>
  <conditionalFormatting sqref="H14:M14">
    <cfRule type="cellIs" dxfId="241" priority="1500" stopIfTrue="1" operator="lessThan">
      <formula>0</formula>
    </cfRule>
  </conditionalFormatting>
  <conditionalFormatting sqref="F28:M28">
    <cfRule type="cellIs" dxfId="240" priority="1499" stopIfTrue="1" operator="lessThan">
      <formula>0</formula>
    </cfRule>
  </conditionalFormatting>
  <conditionalFormatting sqref="G35:M35">
    <cfRule type="cellIs" dxfId="239" priority="1493" stopIfTrue="1" operator="lessThan">
      <formula>0</formula>
    </cfRule>
  </conditionalFormatting>
  <conditionalFormatting sqref="B42:C42 E42 G42:M42">
    <cfRule type="cellIs" dxfId="238" priority="1487" stopIfTrue="1" operator="equal">
      <formula>8223.307275</formula>
    </cfRule>
  </conditionalFormatting>
  <conditionalFormatting sqref="F42">
    <cfRule type="cellIs" dxfId="237" priority="1486" stopIfTrue="1" operator="lessThan">
      <formula>0</formula>
    </cfRule>
  </conditionalFormatting>
  <conditionalFormatting sqref="F47:M47">
    <cfRule type="cellIs" dxfId="236" priority="1483" stopIfTrue="1" operator="lessThan">
      <formula>0</formula>
    </cfRule>
  </conditionalFormatting>
  <conditionalFormatting sqref="F62:M62">
    <cfRule type="cellIs" dxfId="235" priority="1474" stopIfTrue="1" operator="lessThan">
      <formula>0</formula>
    </cfRule>
  </conditionalFormatting>
  <conditionalFormatting sqref="F63:M64">
    <cfRule type="cellIs" dxfId="234" priority="1473" stopIfTrue="1" operator="lessThan">
      <formula>0</formula>
    </cfRule>
  </conditionalFormatting>
  <conditionalFormatting sqref="F345:M345">
    <cfRule type="cellIs" dxfId="233" priority="1055" stopIfTrue="1" operator="lessThan">
      <formula>0</formula>
    </cfRule>
  </conditionalFormatting>
  <conditionalFormatting sqref="M381:M387">
    <cfRule type="cellIs" dxfId="232" priority="1048" stopIfTrue="1" operator="lessThan">
      <formula>0</formula>
    </cfRule>
  </conditionalFormatting>
  <conditionalFormatting sqref="D6">
    <cfRule type="cellIs" dxfId="231" priority="1047" stopIfTrue="1" operator="lessThan">
      <formula>0</formula>
    </cfRule>
  </conditionalFormatting>
  <conditionalFormatting sqref="H346:M346">
    <cfRule type="cellIs" dxfId="230" priority="1054" stopIfTrue="1" operator="lessThan">
      <formula>0</formula>
    </cfRule>
  </conditionalFormatting>
  <conditionalFormatting sqref="H379:M379">
    <cfRule type="cellIs" dxfId="229" priority="1050" stopIfTrue="1" operator="lessThan">
      <formula>0</formula>
    </cfRule>
  </conditionalFormatting>
  <conditionalFormatting sqref="F237:F244">
    <cfRule type="cellIs" dxfId="228" priority="1080" stopIfTrue="1" operator="lessThan">
      <formula>0</formula>
    </cfRule>
  </conditionalFormatting>
  <conditionalFormatting sqref="E245:F245">
    <cfRule type="cellIs" dxfId="227" priority="1079" stopIfTrue="1" operator="lessThan">
      <formula>0</formula>
    </cfRule>
  </conditionalFormatting>
  <conditionalFormatting sqref="F302:M302 F303">
    <cfRule type="cellIs" dxfId="226" priority="1073" stopIfTrue="1" operator="lessThan">
      <formula>0</formula>
    </cfRule>
  </conditionalFormatting>
  <conditionalFormatting sqref="F304:F308">
    <cfRule type="cellIs" dxfId="225" priority="1071" stopIfTrue="1" operator="lessThan">
      <formula>0</formula>
    </cfRule>
  </conditionalFormatting>
  <conditionalFormatting sqref="E317:F317">
    <cfRule type="cellIs" dxfId="224" priority="1065" stopIfTrue="1" operator="lessThan">
      <formula>0</formula>
    </cfRule>
  </conditionalFormatting>
  <conditionalFormatting sqref="M380">
    <cfRule type="cellIs" dxfId="223" priority="1049" stopIfTrue="1" operator="lessThan">
      <formula>0</formula>
    </cfRule>
  </conditionalFormatting>
  <conditionalFormatting sqref="F183:M183">
    <cfRule type="cellIs" dxfId="222" priority="1099" stopIfTrue="1" operator="lessThan">
      <formula>0</formula>
    </cfRule>
  </conditionalFormatting>
  <conditionalFormatting sqref="F147:M147">
    <cfRule type="cellIs" dxfId="221" priority="1108" stopIfTrue="1" operator="lessThan">
      <formula>0</formula>
    </cfRule>
  </conditionalFormatting>
  <conditionalFormatting sqref="F156:M156">
    <cfRule type="cellIs" dxfId="220" priority="1104" stopIfTrue="1" operator="lessThan">
      <formula>0</formula>
    </cfRule>
  </conditionalFormatting>
  <conditionalFormatting sqref="F192:M192">
    <cfRule type="cellIs" dxfId="219" priority="1094" stopIfTrue="1" operator="lessThan">
      <formula>0</formula>
    </cfRule>
  </conditionalFormatting>
  <conditionalFormatting sqref="F309:F316">
    <cfRule type="cellIs" dxfId="218" priority="1066" stopIfTrue="1" operator="lessThan">
      <formula>0</formula>
    </cfRule>
  </conditionalFormatting>
  <conditionalFormatting sqref="F318:F328">
    <cfRule type="cellIs" dxfId="217" priority="1060" stopIfTrue="1" operator="lessThan">
      <formula>0</formula>
    </cfRule>
  </conditionalFormatting>
  <conditionalFormatting sqref="C304">
    <cfRule type="cellIs" dxfId="216" priority="1070" stopIfTrue="1" operator="equal">
      <formula>8223.307275</formula>
    </cfRule>
  </conditionalFormatting>
  <conditionalFormatting sqref="C308">
    <cfRule type="cellIs" dxfId="215" priority="1069" stopIfTrue="1" operator="equal">
      <formula>8223.307275</formula>
    </cfRule>
  </conditionalFormatting>
  <conditionalFormatting sqref="B57">
    <cfRule type="cellIs" dxfId="214" priority="334" stopIfTrue="1" operator="equal">
      <formula>8223.307275</formula>
    </cfRule>
  </conditionalFormatting>
  <conditionalFormatting sqref="F29:J29 L29:M29">
    <cfRule type="cellIs" dxfId="213" priority="218" stopIfTrue="1" operator="lessThan">
      <formula>0</formula>
    </cfRule>
  </conditionalFormatting>
  <conditionalFormatting sqref="K19">
    <cfRule type="cellIs" dxfId="212" priority="217" stopIfTrue="1" operator="lessThan">
      <formula>0</formula>
    </cfRule>
  </conditionalFormatting>
  <conditionalFormatting sqref="G21:M21 G23:M24 G22:H22 J22:M22">
    <cfRule type="cellIs" dxfId="211" priority="216" stopIfTrue="1" operator="lessThan">
      <formula>0</formula>
    </cfRule>
  </conditionalFormatting>
  <conditionalFormatting sqref="I22">
    <cfRule type="cellIs" dxfId="210" priority="215" stopIfTrue="1" operator="lessThan">
      <formula>0</formula>
    </cfRule>
  </conditionalFormatting>
  <conditionalFormatting sqref="G30:M30 G32:M33 G31:H31 J31:M31">
    <cfRule type="cellIs" dxfId="209" priority="214" stopIfTrue="1" operator="lessThan">
      <formula>0</formula>
    </cfRule>
  </conditionalFormatting>
  <conditionalFormatting sqref="G34:M34">
    <cfRule type="cellIs" dxfId="208" priority="213" stopIfTrue="1" operator="lessThan">
      <formula>0</formula>
    </cfRule>
  </conditionalFormatting>
  <conditionalFormatting sqref="I31">
    <cfRule type="cellIs" dxfId="207" priority="212" stopIfTrue="1" operator="lessThan">
      <formula>0</formula>
    </cfRule>
  </conditionalFormatting>
  <conditionalFormatting sqref="G36:J36">
    <cfRule type="cellIs" dxfId="206" priority="211" stopIfTrue="1" operator="lessThan">
      <formula>0</formula>
    </cfRule>
  </conditionalFormatting>
  <conditionalFormatting sqref="I38">
    <cfRule type="cellIs" dxfId="205" priority="210" stopIfTrue="1" operator="lessThan">
      <formula>0</formula>
    </cfRule>
  </conditionalFormatting>
  <conditionalFormatting sqref="E40:M40">
    <cfRule type="cellIs" dxfId="204" priority="209" stopIfTrue="1" operator="lessThan">
      <formula>0</formula>
    </cfRule>
  </conditionalFormatting>
  <conditionalFormatting sqref="K39">
    <cfRule type="cellIs" dxfId="203" priority="208" stopIfTrue="1" operator="lessThan">
      <formula>0</formula>
    </cfRule>
  </conditionalFormatting>
  <conditionalFormatting sqref="B43:F43 B45:E45 E46 F44:F46 E44">
    <cfRule type="cellIs" dxfId="202" priority="207" stopIfTrue="1" operator="equal">
      <formula>8223.307275</formula>
    </cfRule>
  </conditionalFormatting>
  <conditionalFormatting sqref="G45:M46 G43:H43 J43:M43 G44:J44 L44:M44">
    <cfRule type="cellIs" dxfId="201" priority="206" stopIfTrue="1" operator="lessThan">
      <formula>0</formula>
    </cfRule>
  </conditionalFormatting>
  <conditionalFormatting sqref="I43">
    <cfRule type="cellIs" dxfId="200" priority="205" stopIfTrue="1" operator="lessThan">
      <formula>0</formula>
    </cfRule>
  </conditionalFormatting>
  <conditionalFormatting sqref="F49:M49 F48:J48 L48:M48">
    <cfRule type="cellIs" dxfId="199" priority="204" stopIfTrue="1" operator="lessThan">
      <formula>0</formula>
    </cfRule>
  </conditionalFormatting>
  <conditionalFormatting sqref="K48">
    <cfRule type="cellIs" dxfId="198" priority="203" stopIfTrue="1" operator="lessThan">
      <formula>0</formula>
    </cfRule>
  </conditionalFormatting>
  <conditionalFormatting sqref="C52">
    <cfRule type="cellIs" dxfId="197" priority="201" stopIfTrue="1" operator="equal">
      <formula>8223.307275</formula>
    </cfRule>
  </conditionalFormatting>
  <conditionalFormatting sqref="C51">
    <cfRule type="cellIs" dxfId="196" priority="202" stopIfTrue="1" operator="equal">
      <formula>8223.307275</formula>
    </cfRule>
  </conditionalFormatting>
  <conditionalFormatting sqref="F52:M56 F51:H51 J51:M51">
    <cfRule type="cellIs" dxfId="195" priority="200" stopIfTrue="1" operator="lessThan">
      <formula>0</formula>
    </cfRule>
  </conditionalFormatting>
  <conditionalFormatting sqref="I51">
    <cfRule type="cellIs" dxfId="194" priority="199" stopIfTrue="1" operator="lessThan">
      <formula>0</formula>
    </cfRule>
  </conditionalFormatting>
  <conditionalFormatting sqref="D59">
    <cfRule type="cellIs" dxfId="193" priority="198" stopIfTrue="1" operator="equal">
      <formula>8223.307275</formula>
    </cfRule>
  </conditionalFormatting>
  <conditionalFormatting sqref="E155:J155 L155:M155">
    <cfRule type="cellIs" dxfId="192" priority="196" stopIfTrue="1" operator="lessThan">
      <formula>0</formula>
    </cfRule>
  </conditionalFormatting>
  <conditionalFormatting sqref="F153 H153:M153 F154:M154 F149:M152 F148:H148 J148:M148">
    <cfRule type="cellIs" dxfId="191" priority="197" stopIfTrue="1" operator="lessThan">
      <formula>0</formula>
    </cfRule>
  </conditionalFormatting>
  <conditionalFormatting sqref="I148">
    <cfRule type="cellIs" dxfId="190" priority="195" stopIfTrue="1" operator="lessThan">
      <formula>0</formula>
    </cfRule>
  </conditionalFormatting>
  <conditionalFormatting sqref="G153">
    <cfRule type="cellIs" dxfId="189" priority="194" stopIfTrue="1" operator="lessThan">
      <formula>0</formula>
    </cfRule>
  </conditionalFormatting>
  <conditionalFormatting sqref="F165:M166">
    <cfRule type="cellIs" dxfId="188" priority="193" stopIfTrue="1" operator="lessThan">
      <formula>0</formula>
    </cfRule>
  </conditionalFormatting>
  <conditionalFormatting sqref="F157:H157 J157:M157 F158:M158 F163:M164 F162:J162 L162:M162 F160:M161 F159:J159 L159:M159">
    <cfRule type="cellIs" dxfId="187" priority="192" stopIfTrue="1" operator="lessThan">
      <formula>0</formula>
    </cfRule>
  </conditionalFormatting>
  <conditionalFormatting sqref="F167:J167 L167:M167">
    <cfRule type="cellIs" dxfId="186" priority="191" stopIfTrue="1" operator="lessThan">
      <formula>0</formula>
    </cfRule>
  </conditionalFormatting>
  <conditionalFormatting sqref="I157">
    <cfRule type="cellIs" dxfId="185" priority="190" stopIfTrue="1" operator="lessThan">
      <formula>0</formula>
    </cfRule>
  </conditionalFormatting>
  <conditionalFormatting sqref="K162">
    <cfRule type="cellIs" dxfId="184" priority="189" stopIfTrue="1" operator="lessThan">
      <formula>0</formula>
    </cfRule>
  </conditionalFormatting>
  <conditionalFormatting sqref="K159">
    <cfRule type="cellIs" dxfId="183" priority="188" stopIfTrue="1" operator="lessThan">
      <formula>0</formula>
    </cfRule>
  </conditionalFormatting>
  <conditionalFormatting sqref="I174">
    <cfRule type="cellIs" dxfId="182" priority="187" stopIfTrue="1" operator="lessThan">
      <formula>0</formula>
    </cfRule>
  </conditionalFormatting>
  <conditionalFormatting sqref="K175:K176">
    <cfRule type="cellIs" dxfId="181" priority="186" stopIfTrue="1" operator="lessThan">
      <formula>0</formula>
    </cfRule>
  </conditionalFormatting>
  <conditionalFormatting sqref="E191:F191">
    <cfRule type="cellIs" dxfId="180" priority="184" stopIfTrue="1" operator="lessThan">
      <formula>0</formula>
    </cfRule>
  </conditionalFormatting>
  <conditionalFormatting sqref="F184:F190">
    <cfRule type="cellIs" dxfId="179" priority="185" stopIfTrue="1" operator="lessThan">
      <formula>0</formula>
    </cfRule>
  </conditionalFormatting>
  <conditionalFormatting sqref="G191:J191 L191:M191">
    <cfRule type="cellIs" dxfId="178" priority="182" stopIfTrue="1" operator="lessThan">
      <formula>0</formula>
    </cfRule>
  </conditionalFormatting>
  <conditionalFormatting sqref="H189:M189 G190:M190 G185:M188 G184:H184 J184:M184">
    <cfRule type="cellIs" dxfId="177" priority="183" stopIfTrue="1" operator="lessThan">
      <formula>0</formula>
    </cfRule>
  </conditionalFormatting>
  <conditionalFormatting sqref="I184">
    <cfRule type="cellIs" dxfId="176" priority="181" stopIfTrue="1" operator="lessThan">
      <formula>0</formula>
    </cfRule>
  </conditionalFormatting>
  <conditionalFormatting sqref="G189">
    <cfRule type="cellIs" dxfId="175" priority="180" stopIfTrue="1" operator="lessThan">
      <formula>0</formula>
    </cfRule>
  </conditionalFormatting>
  <conditionalFormatting sqref="G195:M195">
    <cfRule type="cellIs" dxfId="174" priority="179" stopIfTrue="1" operator="lessThan">
      <formula>0</formula>
    </cfRule>
  </conditionalFormatting>
  <conditionalFormatting sqref="G201:M201">
    <cfRule type="cellIs" dxfId="173" priority="176" stopIfTrue="1" operator="lessThan">
      <formula>0</formula>
    </cfRule>
  </conditionalFormatting>
  <conditionalFormatting sqref="G196:M196 G198:M199 G197:H197 J197:M197">
    <cfRule type="cellIs" dxfId="172" priority="178" stopIfTrue="1" operator="lessThan">
      <formula>0</formula>
    </cfRule>
  </conditionalFormatting>
  <conditionalFormatting sqref="G200:M200">
    <cfRule type="cellIs" dxfId="171" priority="177" stopIfTrue="1" operator="lessThan">
      <formula>0</formula>
    </cfRule>
  </conditionalFormatting>
  <conditionalFormatting sqref="I197">
    <cfRule type="cellIs" dxfId="170" priority="175" stopIfTrue="1" operator="lessThan">
      <formula>0</formula>
    </cfRule>
  </conditionalFormatting>
  <conditionalFormatting sqref="G210:M210">
    <cfRule type="cellIs" dxfId="169" priority="174" stopIfTrue="1" operator="lessThan">
      <formula>0</formula>
    </cfRule>
  </conditionalFormatting>
  <conditionalFormatting sqref="G237:M237">
    <cfRule type="cellIs" dxfId="168" priority="173" stopIfTrue="1" operator="lessThan">
      <formula>0</formula>
    </cfRule>
  </conditionalFormatting>
  <conditionalFormatting sqref="G209:J209 L209:M209">
    <cfRule type="cellIs" dxfId="167" priority="171" stopIfTrue="1" operator="lessThan">
      <formula>0</formula>
    </cfRule>
  </conditionalFormatting>
  <conditionalFormatting sqref="H207:M207 G208:M208 G203:M206 G202:H202 J202:M202">
    <cfRule type="cellIs" dxfId="166" priority="172" stopIfTrue="1" operator="lessThan">
      <formula>0</formula>
    </cfRule>
  </conditionalFormatting>
  <conditionalFormatting sqref="I202">
    <cfRule type="cellIs" dxfId="165" priority="170" stopIfTrue="1" operator="lessThan">
      <formula>0</formula>
    </cfRule>
  </conditionalFormatting>
  <conditionalFormatting sqref="G207">
    <cfRule type="cellIs" dxfId="164" priority="169" stopIfTrue="1" operator="lessThan">
      <formula>0</formula>
    </cfRule>
  </conditionalFormatting>
  <conditionalFormatting sqref="G219:M220">
    <cfRule type="cellIs" dxfId="163" priority="168" stopIfTrue="1" operator="lessThan">
      <formula>0</formula>
    </cfRule>
  </conditionalFormatting>
  <conditionalFormatting sqref="G211:H211 J211:M211 G212:M212 G217:M218 G216:J216 L216:M216 G214:M215 G213:J213 L213:M213">
    <cfRule type="cellIs" dxfId="162" priority="167" stopIfTrue="1" operator="lessThan">
      <formula>0</formula>
    </cfRule>
  </conditionalFormatting>
  <conditionalFormatting sqref="G221:J221 L221:M221">
    <cfRule type="cellIs" dxfId="161" priority="166" stopIfTrue="1" operator="lessThan">
      <formula>0</formula>
    </cfRule>
  </conditionalFormatting>
  <conditionalFormatting sqref="I211">
    <cfRule type="cellIs" dxfId="160" priority="165" stopIfTrue="1" operator="lessThan">
      <formula>0</formula>
    </cfRule>
  </conditionalFormatting>
  <conditionalFormatting sqref="K216">
    <cfRule type="cellIs" dxfId="159" priority="164" stopIfTrue="1" operator="lessThan">
      <formula>0</formula>
    </cfRule>
  </conditionalFormatting>
  <conditionalFormatting sqref="K213">
    <cfRule type="cellIs" dxfId="158" priority="163" stopIfTrue="1" operator="lessThan">
      <formula>0</formula>
    </cfRule>
  </conditionalFormatting>
  <conditionalFormatting sqref="I228">
    <cfRule type="cellIs" dxfId="157" priority="162" stopIfTrue="1" operator="lessThan">
      <formula>0</formula>
    </cfRule>
  </conditionalFormatting>
  <conditionalFormatting sqref="K229:K230">
    <cfRule type="cellIs" dxfId="156" priority="161" stopIfTrue="1" operator="lessThan">
      <formula>0</formula>
    </cfRule>
  </conditionalFormatting>
  <conditionalFormatting sqref="G245:J245 L245:M245">
    <cfRule type="cellIs" dxfId="155" priority="159" stopIfTrue="1" operator="lessThan">
      <formula>0</formula>
    </cfRule>
  </conditionalFormatting>
  <conditionalFormatting sqref="H243:M243 G244:M244 G239:M242 G238:H238 J238:M238">
    <cfRule type="cellIs" dxfId="154" priority="160" stopIfTrue="1" operator="lessThan">
      <formula>0</formula>
    </cfRule>
  </conditionalFormatting>
  <conditionalFormatting sqref="I238">
    <cfRule type="cellIs" dxfId="153" priority="158" stopIfTrue="1" operator="lessThan">
      <formula>0</formula>
    </cfRule>
  </conditionalFormatting>
  <conditionalFormatting sqref="G243">
    <cfRule type="cellIs" dxfId="152" priority="157" stopIfTrue="1" operator="lessThan">
      <formula>0</formula>
    </cfRule>
  </conditionalFormatting>
  <conditionalFormatting sqref="G303:M303">
    <cfRule type="cellIs" dxfId="151" priority="156" stopIfTrue="1" operator="lessThan">
      <formula>0</formula>
    </cfRule>
  </conditionalFormatting>
  <conditionalFormatting sqref="G309:M309">
    <cfRule type="cellIs" dxfId="150" priority="153" stopIfTrue="1" operator="lessThan">
      <formula>0</formula>
    </cfRule>
  </conditionalFormatting>
  <conditionalFormatting sqref="G304:M304 G306:M307 G305:H305 J305:M305">
    <cfRule type="cellIs" dxfId="149" priority="155" stopIfTrue="1" operator="lessThan">
      <formula>0</formula>
    </cfRule>
  </conditionalFormatting>
  <conditionalFormatting sqref="G308:M308">
    <cfRule type="cellIs" dxfId="148" priority="154" stopIfTrue="1" operator="lessThan">
      <formula>0</formula>
    </cfRule>
  </conditionalFormatting>
  <conditionalFormatting sqref="I305">
    <cfRule type="cellIs" dxfId="147" priority="152" stopIfTrue="1" operator="lessThan">
      <formula>0</formula>
    </cfRule>
  </conditionalFormatting>
  <conditionalFormatting sqref="G318:M318">
    <cfRule type="cellIs" dxfId="146" priority="151" stopIfTrue="1" operator="lessThan">
      <formula>0</formula>
    </cfRule>
  </conditionalFormatting>
  <conditionalFormatting sqref="G317:J317 L317:M317">
    <cfRule type="cellIs" dxfId="145" priority="149" stopIfTrue="1" operator="lessThan">
      <formula>0</formula>
    </cfRule>
  </conditionalFormatting>
  <conditionalFormatting sqref="H315:M315 G316:M316 G311:M314 G310:H310 J310:M310">
    <cfRule type="cellIs" dxfId="144" priority="150" stopIfTrue="1" operator="lessThan">
      <formula>0</formula>
    </cfRule>
  </conditionalFormatting>
  <conditionalFormatting sqref="I310">
    <cfRule type="cellIs" dxfId="143" priority="148" stopIfTrue="1" operator="lessThan">
      <formula>0</formula>
    </cfRule>
  </conditionalFormatting>
  <conditionalFormatting sqref="G315">
    <cfRule type="cellIs" dxfId="142" priority="147" stopIfTrue="1" operator="lessThan">
      <formula>0</formula>
    </cfRule>
  </conditionalFormatting>
  <conditionalFormatting sqref="G327:M328">
    <cfRule type="cellIs" dxfId="141" priority="146" stopIfTrue="1" operator="lessThan">
      <formula>0</formula>
    </cfRule>
  </conditionalFormatting>
  <conditionalFormatting sqref="G319:H319 J319:M319 G320:M320 G325:M326 G324:J324 L324:M324 G322:M323 G321:J321 L321:M321">
    <cfRule type="cellIs" dxfId="140" priority="145" stopIfTrue="1" operator="lessThan">
      <formula>0</formula>
    </cfRule>
  </conditionalFormatting>
  <conditionalFormatting sqref="G329:J329 L329:M329">
    <cfRule type="cellIs" dxfId="139" priority="144" stopIfTrue="1" operator="lessThan">
      <formula>0</formula>
    </cfRule>
  </conditionalFormatting>
  <conditionalFormatting sqref="I319">
    <cfRule type="cellIs" dxfId="138" priority="143" stopIfTrue="1" operator="lessThan">
      <formula>0</formula>
    </cfRule>
  </conditionalFormatting>
  <conditionalFormatting sqref="K324">
    <cfRule type="cellIs" dxfId="137" priority="142" stopIfTrue="1" operator="lessThan">
      <formula>0</formula>
    </cfRule>
  </conditionalFormatting>
  <conditionalFormatting sqref="K321">
    <cfRule type="cellIs" dxfId="136" priority="141" stopIfTrue="1" operator="lessThan">
      <formula>0</formula>
    </cfRule>
  </conditionalFormatting>
  <conditionalFormatting sqref="I336">
    <cfRule type="cellIs" dxfId="135" priority="140" stopIfTrue="1" operator="lessThan">
      <formula>0</formula>
    </cfRule>
  </conditionalFormatting>
  <conditionalFormatting sqref="K337:K338">
    <cfRule type="cellIs" dxfId="134" priority="139" stopIfTrue="1" operator="lessThan">
      <formula>0</formula>
    </cfRule>
  </conditionalFormatting>
  <conditionalFormatting sqref="I350">
    <cfRule type="cellIs" dxfId="133" priority="138" stopIfTrue="1" operator="lessThan">
      <formula>0</formula>
    </cfRule>
  </conditionalFormatting>
  <conditionalFormatting sqref="I364">
    <cfRule type="cellIs" dxfId="132" priority="137" stopIfTrue="1" operator="lessThan">
      <formula>0</formula>
    </cfRule>
  </conditionalFormatting>
  <conditionalFormatting sqref="I371">
    <cfRule type="cellIs" dxfId="131" priority="136" stopIfTrue="1" operator="lessThan">
      <formula>0</formula>
    </cfRule>
  </conditionalFormatting>
  <conditionalFormatting sqref="F65:M65">
    <cfRule type="cellIs" dxfId="130" priority="135" stopIfTrue="1" operator="lessThan">
      <formula>0</formula>
    </cfRule>
  </conditionalFormatting>
  <conditionalFormatting sqref="F145:M145">
    <cfRule type="cellIs" dxfId="129" priority="134" stopIfTrue="1" operator="lessThan">
      <formula>0</formula>
    </cfRule>
  </conditionalFormatting>
  <conditionalFormatting sqref="E66:M66">
    <cfRule type="cellIs" dxfId="128" priority="133" stopIfTrue="1" operator="lessThan">
      <formula>0</formula>
    </cfRule>
  </conditionalFormatting>
  <conditionalFormatting sqref="E69">
    <cfRule type="cellIs" dxfId="127" priority="131" stopIfTrue="1" operator="lessThan">
      <formula>0</formula>
    </cfRule>
  </conditionalFormatting>
  <conditionalFormatting sqref="F67:F69">
    <cfRule type="cellIs" dxfId="126" priority="132" stopIfTrue="1" operator="lessThan">
      <formula>0</formula>
    </cfRule>
  </conditionalFormatting>
  <conditionalFormatting sqref="I67">
    <cfRule type="cellIs" dxfId="125" priority="130" stopIfTrue="1" operator="lessThan">
      <formula>0</formula>
    </cfRule>
  </conditionalFormatting>
  <conditionalFormatting sqref="G69:M69">
    <cfRule type="cellIs" dxfId="124" priority="129" stopIfTrue="1" operator="lessThan">
      <formula>0</formula>
    </cfRule>
  </conditionalFormatting>
  <conditionalFormatting sqref="L70:M71 E70:J71">
    <cfRule type="cellIs" dxfId="123" priority="128" stopIfTrue="1" operator="lessThan">
      <formula>0</formula>
    </cfRule>
  </conditionalFormatting>
  <conditionalFormatting sqref="K70:K71">
    <cfRule type="cellIs" dxfId="122" priority="127" stopIfTrue="1" operator="lessThan">
      <formula>0</formula>
    </cfRule>
  </conditionalFormatting>
  <conditionalFormatting sqref="L72:M72 E72:J72">
    <cfRule type="cellIs" dxfId="121" priority="126" stopIfTrue="1" operator="lessThan">
      <formula>0</formula>
    </cfRule>
  </conditionalFormatting>
  <conditionalFormatting sqref="K72">
    <cfRule type="cellIs" dxfId="120" priority="125" stopIfTrue="1" operator="lessThan">
      <formula>0</formula>
    </cfRule>
  </conditionalFormatting>
  <conditionalFormatting sqref="L76:M76 E76:J76">
    <cfRule type="cellIs" dxfId="119" priority="124" stopIfTrue="1" operator="lessThan">
      <formula>0</formula>
    </cfRule>
  </conditionalFormatting>
  <conditionalFormatting sqref="E75">
    <cfRule type="cellIs" dxfId="118" priority="122" stopIfTrue="1" operator="lessThan">
      <formula>0</formula>
    </cfRule>
  </conditionalFormatting>
  <conditionalFormatting sqref="F73:F75">
    <cfRule type="cellIs" dxfId="117" priority="123" stopIfTrue="1" operator="lessThan">
      <formula>0</formula>
    </cfRule>
  </conditionalFormatting>
  <conditionalFormatting sqref="K76">
    <cfRule type="cellIs" dxfId="116" priority="121" stopIfTrue="1" operator="lessThan">
      <formula>0</formula>
    </cfRule>
  </conditionalFormatting>
  <conditionalFormatting sqref="I73">
    <cfRule type="cellIs" dxfId="115" priority="120" stopIfTrue="1" operator="lessThan">
      <formula>0</formula>
    </cfRule>
  </conditionalFormatting>
  <conditionalFormatting sqref="G75:M75">
    <cfRule type="cellIs" dxfId="114" priority="119" stopIfTrue="1" operator="lessThan">
      <formula>0</formula>
    </cfRule>
  </conditionalFormatting>
  <conditionalFormatting sqref="F78:J78 L78:M78">
    <cfRule type="cellIs" dxfId="113" priority="116" stopIfTrue="1" operator="lessThan">
      <formula>0</formula>
    </cfRule>
  </conditionalFormatting>
  <conditionalFormatting sqref="K78">
    <cfRule type="cellIs" dxfId="112" priority="115" stopIfTrue="1" operator="lessThan">
      <formula>0</formula>
    </cfRule>
  </conditionalFormatting>
  <conditionalFormatting sqref="K79">
    <cfRule type="cellIs" dxfId="111" priority="113" stopIfTrue="1" operator="lessThan">
      <formula>0</formula>
    </cfRule>
  </conditionalFormatting>
  <conditionalFormatting sqref="L77:M77 L80:M80 E80:J80 E78:E79 E77:J77 E81">
    <cfRule type="cellIs" dxfId="110" priority="118" stopIfTrue="1" operator="lessThan">
      <formula>0</formula>
    </cfRule>
  </conditionalFormatting>
  <conditionalFormatting sqref="K77 K80">
    <cfRule type="cellIs" dxfId="109" priority="117" stopIfTrue="1" operator="lessThan">
      <formula>0</formula>
    </cfRule>
  </conditionalFormatting>
  <conditionalFormatting sqref="F79:J79 L79:M79">
    <cfRule type="cellIs" dxfId="108" priority="114" stopIfTrue="1" operator="lessThan">
      <formula>0</formula>
    </cfRule>
  </conditionalFormatting>
  <conditionalFormatting sqref="F81">
    <cfRule type="cellIs" dxfId="107" priority="111" stopIfTrue="1" operator="lessThan">
      <formula>0</formula>
    </cfRule>
  </conditionalFormatting>
  <conditionalFormatting sqref="E82:M82">
    <cfRule type="cellIs" dxfId="106" priority="112" stopIfTrue="1" operator="lessThan">
      <formula>0</formula>
    </cfRule>
  </conditionalFormatting>
  <conditionalFormatting sqref="G81:M81">
    <cfRule type="cellIs" dxfId="105" priority="110" stopIfTrue="1" operator="lessThan">
      <formula>0</formula>
    </cfRule>
  </conditionalFormatting>
  <conditionalFormatting sqref="G84:K84 G88:K90 G87:J87 G86:K86 G85:H85 J85:K85">
    <cfRule type="cellIs" dxfId="104" priority="106" stopIfTrue="1" operator="lessThan">
      <formula>0</formula>
    </cfRule>
  </conditionalFormatting>
  <conditionalFormatting sqref="E85:F90 E84">
    <cfRule type="cellIs" dxfId="103" priority="109" stopIfTrue="1" operator="lessThan">
      <formula>0</formula>
    </cfRule>
  </conditionalFormatting>
  <conditionalFormatting sqref="L84:M90">
    <cfRule type="cellIs" dxfId="102" priority="107" stopIfTrue="1" operator="lessThan">
      <formula>0</formula>
    </cfRule>
  </conditionalFormatting>
  <conditionalFormatting sqref="F84">
    <cfRule type="cellIs" dxfId="101" priority="108" stopIfTrue="1" operator="lessThan">
      <formula>0</formula>
    </cfRule>
  </conditionalFormatting>
  <conditionalFormatting sqref="K87">
    <cfRule type="cellIs" dxfId="100" priority="105" stopIfTrue="1" operator="lessThan">
      <formula>0</formula>
    </cfRule>
  </conditionalFormatting>
  <conditionalFormatting sqref="I85">
    <cfRule type="cellIs" dxfId="99" priority="104" stopIfTrue="1" operator="lessThan">
      <formula>0</formula>
    </cfRule>
  </conditionalFormatting>
  <conditionalFormatting sqref="G91:J91 L91:M91">
    <cfRule type="cellIs" dxfId="98" priority="102" stopIfTrue="1" operator="lessThan">
      <formula>0</formula>
    </cfRule>
  </conditionalFormatting>
  <conditionalFormatting sqref="E91:F91">
    <cfRule type="cellIs" dxfId="97" priority="103" stopIfTrue="1" operator="lessThan">
      <formula>0</formula>
    </cfRule>
  </conditionalFormatting>
  <conditionalFormatting sqref="E92:J92 L92:M92 E93:F96">
    <cfRule type="cellIs" dxfId="96" priority="101" stopIfTrue="1" operator="lessThan">
      <formula>0</formula>
    </cfRule>
  </conditionalFormatting>
  <conditionalFormatting sqref="E98:G98">
    <cfRule type="cellIs" dxfId="95" priority="100" stopIfTrue="1" operator="lessThan">
      <formula>0</formula>
    </cfRule>
  </conditionalFormatting>
  <conditionalFormatting sqref="K92">
    <cfRule type="cellIs" dxfId="94" priority="99" stopIfTrue="1" operator="lessThan">
      <formula>0</formula>
    </cfRule>
  </conditionalFormatting>
  <conditionalFormatting sqref="H98:M98">
    <cfRule type="cellIs" dxfId="93" priority="98" stopIfTrue="1" operator="lessThan">
      <formula>0</formula>
    </cfRule>
  </conditionalFormatting>
  <conditionalFormatting sqref="E97:F97">
    <cfRule type="cellIs" dxfId="92" priority="97" stopIfTrue="1" operator="lessThan">
      <formula>0</formula>
    </cfRule>
  </conditionalFormatting>
  <conditionalFormatting sqref="G96">
    <cfRule type="cellIs" dxfId="91" priority="93" stopIfTrue="1" operator="lessThan">
      <formula>0</formula>
    </cfRule>
  </conditionalFormatting>
  <conditionalFormatting sqref="G97:J97 L97:M97">
    <cfRule type="cellIs" dxfId="90" priority="96" stopIfTrue="1" operator="lessThan">
      <formula>0</formula>
    </cfRule>
  </conditionalFormatting>
  <conditionalFormatting sqref="G94:M95 G93:H93 J93:M93 H96:M96">
    <cfRule type="cellIs" dxfId="89" priority="95" stopIfTrue="1" operator="lessThan">
      <formula>0</formula>
    </cfRule>
  </conditionalFormatting>
  <conditionalFormatting sqref="I93">
    <cfRule type="cellIs" dxfId="88" priority="94" stopIfTrue="1" operator="lessThan">
      <formula>0</formula>
    </cfRule>
  </conditionalFormatting>
  <conditionalFormatting sqref="K68">
    <cfRule type="cellIs" dxfId="87" priority="92" stopIfTrue="1" operator="lessThan">
      <formula>0</formula>
    </cfRule>
  </conditionalFormatting>
  <conditionalFormatting sqref="K74">
    <cfRule type="cellIs" dxfId="86" priority="91" stopIfTrue="1" operator="lessThan">
      <formula>0</formula>
    </cfRule>
  </conditionalFormatting>
  <conditionalFormatting sqref="E144:M144">
    <cfRule type="cellIs" dxfId="85" priority="90" stopIfTrue="1" operator="lessThan">
      <formula>0</formula>
    </cfRule>
  </conditionalFormatting>
  <conditionalFormatting sqref="F99:M99">
    <cfRule type="cellIs" dxfId="84" priority="89" stopIfTrue="1" operator="lessThan">
      <formula>0</formula>
    </cfRule>
  </conditionalFormatting>
  <conditionalFormatting sqref="E110:F111">
    <cfRule type="cellIs" dxfId="83" priority="82" stopIfTrue="1" operator="lessThan">
      <formula>0</formula>
    </cfRule>
  </conditionalFormatting>
  <conditionalFormatting sqref="E109">
    <cfRule type="cellIs" dxfId="82" priority="83" stopIfTrue="1" operator="lessThan">
      <formula>0</formula>
    </cfRule>
  </conditionalFormatting>
  <conditionalFormatting sqref="F117">
    <cfRule type="cellIs" dxfId="81" priority="74" stopIfTrue="1" operator="lessThan">
      <formula>0</formula>
    </cfRule>
  </conditionalFormatting>
  <conditionalFormatting sqref="F132">
    <cfRule type="cellIs" dxfId="80" priority="57" stopIfTrue="1" operator="lessThan">
      <formula>0</formula>
    </cfRule>
  </conditionalFormatting>
  <conditionalFormatting sqref="F106">
    <cfRule type="cellIs" dxfId="79" priority="85" stopIfTrue="1" operator="lessThan">
      <formula>0</formula>
    </cfRule>
  </conditionalFormatting>
  <conditionalFormatting sqref="F107:F109">
    <cfRule type="cellIs" dxfId="78" priority="84" stopIfTrue="1" operator="lessThan">
      <formula>0</formula>
    </cfRule>
  </conditionalFormatting>
  <conditionalFormatting sqref="G109:M109">
    <cfRule type="cellIs" dxfId="77" priority="38" stopIfTrue="1" operator="lessThan">
      <formula>0</formula>
    </cfRule>
  </conditionalFormatting>
  <conditionalFormatting sqref="F113:F115">
    <cfRule type="cellIs" dxfId="76" priority="79" stopIfTrue="1" operator="lessThan">
      <formula>0</formula>
    </cfRule>
  </conditionalFormatting>
  <conditionalFormatting sqref="E115">
    <cfRule type="cellIs" dxfId="75" priority="78" stopIfTrue="1" operator="lessThan">
      <formula>0</formula>
    </cfRule>
  </conditionalFormatting>
  <conditionalFormatting sqref="E106 G106:M106">
    <cfRule type="cellIs" dxfId="74" priority="86" stopIfTrue="1" operator="lessThan">
      <formula>0</formula>
    </cfRule>
  </conditionalFormatting>
  <conditionalFormatting sqref="G112:M112 G116:J116 L116:M116">
    <cfRule type="cellIs" dxfId="73" priority="77" stopIfTrue="1" operator="lessThan">
      <formula>0</formula>
    </cfRule>
  </conditionalFormatting>
  <conditionalFormatting sqref="E117 F122">
    <cfRule type="cellIs" dxfId="72" priority="76" stopIfTrue="1" operator="lessThan">
      <formula>0</formula>
    </cfRule>
  </conditionalFormatting>
  <conditionalFormatting sqref="E122">
    <cfRule type="cellIs" dxfId="71" priority="75" stopIfTrue="1" operator="lessThan">
      <formula>0</formula>
    </cfRule>
  </conditionalFormatting>
  <conditionalFormatting sqref="G110:M110 G111:H111 J111:M111">
    <cfRule type="cellIs" dxfId="70" priority="81" stopIfTrue="1" operator="lessThan">
      <formula>0</formula>
    </cfRule>
  </conditionalFormatting>
  <conditionalFormatting sqref="E112:F112 E116:F116">
    <cfRule type="cellIs" dxfId="69" priority="80" stopIfTrue="1" operator="lessThan">
      <formula>0</formula>
    </cfRule>
  </conditionalFormatting>
  <conditionalFormatting sqref="K108">
    <cfRule type="cellIs" dxfId="68" priority="39" stopIfTrue="1" operator="lessThan">
      <formula>0</formula>
    </cfRule>
  </conditionalFormatting>
  <conditionalFormatting sqref="I113">
    <cfRule type="cellIs" dxfId="67" priority="37" stopIfTrue="1" operator="lessThan">
      <formula>0</formula>
    </cfRule>
  </conditionalFormatting>
  <conditionalFormatting sqref="G115:M115">
    <cfRule type="cellIs" dxfId="66" priority="36" stopIfTrue="1" operator="lessThan">
      <formula>0</formula>
    </cfRule>
  </conditionalFormatting>
  <conditionalFormatting sqref="G136">
    <cfRule type="cellIs" dxfId="65" priority="35" stopIfTrue="1" operator="lessThan">
      <formula>0</formula>
    </cfRule>
  </conditionalFormatting>
  <conditionalFormatting sqref="G117:M117">
    <cfRule type="cellIs" dxfId="64" priority="71" stopIfTrue="1" operator="lessThan">
      <formula>0</formula>
    </cfRule>
  </conditionalFormatting>
  <conditionalFormatting sqref="E118 E119:F121">
    <cfRule type="cellIs" dxfId="63" priority="73" stopIfTrue="1" operator="lessThan">
      <formula>0</formula>
    </cfRule>
  </conditionalFormatting>
  <conditionalFormatting sqref="G118:H118 J118:M118">
    <cfRule type="cellIs" dxfId="62" priority="68" stopIfTrue="1" operator="lessThan">
      <formula>0</formula>
    </cfRule>
  </conditionalFormatting>
  <conditionalFormatting sqref="F142">
    <cfRule type="cellIs" dxfId="61" priority="45" stopIfTrue="1" operator="lessThan">
      <formula>0</formula>
    </cfRule>
  </conditionalFormatting>
  <conditionalFormatting sqref="G142">
    <cfRule type="cellIs" dxfId="60" priority="46" stopIfTrue="1" operator="lessThan">
      <formula>0</formula>
    </cfRule>
  </conditionalFormatting>
  <conditionalFormatting sqref="I111">
    <cfRule type="cellIs" dxfId="59" priority="44" stopIfTrue="1" operator="lessThan">
      <formula>0</formula>
    </cfRule>
  </conditionalFormatting>
  <conditionalFormatting sqref="G122:J122 L122:M122">
    <cfRule type="cellIs" dxfId="58" priority="70" stopIfTrue="1" operator="lessThan">
      <formula>0</formula>
    </cfRule>
  </conditionalFormatting>
  <conditionalFormatting sqref="F118">
    <cfRule type="cellIs" dxfId="57" priority="72" stopIfTrue="1" operator="lessThan">
      <formula>0</formula>
    </cfRule>
  </conditionalFormatting>
  <conditionalFormatting sqref="G125:J125 I126:L126">
    <cfRule type="cellIs" dxfId="56" priority="64" stopIfTrue="1" operator="lessThan">
      <formula>0</formula>
    </cfRule>
  </conditionalFormatting>
  <conditionalFormatting sqref="G127:M129 G124:H124 J124:M124 L125:M125 M126">
    <cfRule type="cellIs" dxfId="55" priority="61" stopIfTrue="1" operator="lessThan">
      <formula>0</formula>
    </cfRule>
  </conditionalFormatting>
  <conditionalFormatting sqref="G119:M121">
    <cfRule type="cellIs" dxfId="54" priority="69" stopIfTrue="1" operator="lessThan">
      <formula>0</formula>
    </cfRule>
  </conditionalFormatting>
  <conditionalFormatting sqref="G130:J131 L130:M131">
    <cfRule type="cellIs" dxfId="53" priority="62" stopIfTrue="1" operator="lessThan">
      <formula>0</formula>
    </cfRule>
  </conditionalFormatting>
  <conditionalFormatting sqref="E130:F131">
    <cfRule type="cellIs" dxfId="52" priority="66" stopIfTrue="1" operator="lessThan">
      <formula>0</formula>
    </cfRule>
  </conditionalFormatting>
  <conditionalFormatting sqref="E124:F129">
    <cfRule type="cellIs" dxfId="51" priority="65" stopIfTrue="1" operator="lessThan">
      <formula>0</formula>
    </cfRule>
  </conditionalFormatting>
  <conditionalFormatting sqref="G123:M123">
    <cfRule type="cellIs" dxfId="50" priority="63" stopIfTrue="1" operator="lessThan">
      <formula>0</formula>
    </cfRule>
  </conditionalFormatting>
  <conditionalFormatting sqref="K125">
    <cfRule type="cellIs" dxfId="49" priority="60" stopIfTrue="1" operator="lessThan">
      <formula>0</formula>
    </cfRule>
  </conditionalFormatting>
  <conditionalFormatting sqref="E123:F123">
    <cfRule type="cellIs" dxfId="48" priority="67" stopIfTrue="1" operator="lessThan">
      <formula>0</formula>
    </cfRule>
  </conditionalFormatting>
  <conditionalFormatting sqref="E133:F136">
    <cfRule type="cellIs" dxfId="47" priority="56" stopIfTrue="1" operator="lessThan">
      <formula>0</formula>
    </cfRule>
  </conditionalFormatting>
  <conditionalFormatting sqref="G137:J137 L137:M137">
    <cfRule type="cellIs" dxfId="46" priority="54" stopIfTrue="1" operator="lessThan">
      <formula>0</formula>
    </cfRule>
  </conditionalFormatting>
  <conditionalFormatting sqref="G132:M132">
    <cfRule type="cellIs" dxfId="45" priority="55" stopIfTrue="1" operator="lessThan">
      <formula>0</formula>
    </cfRule>
  </conditionalFormatting>
  <conditionalFormatting sqref="G134:M135 G133:H133 J133:M133 H136:M136">
    <cfRule type="cellIs" dxfId="44" priority="53" stopIfTrue="1" operator="lessThan">
      <formula>0</formula>
    </cfRule>
  </conditionalFormatting>
  <conditionalFormatting sqref="E132">
    <cfRule type="cellIs" dxfId="43" priority="59" stopIfTrue="1" operator="lessThan">
      <formula>0</formula>
    </cfRule>
  </conditionalFormatting>
  <conditionalFormatting sqref="E137:F137">
    <cfRule type="cellIs" dxfId="42" priority="58" stopIfTrue="1" operator="lessThan">
      <formula>0</formula>
    </cfRule>
  </conditionalFormatting>
  <conditionalFormatting sqref="F138">
    <cfRule type="cellIs" dxfId="41" priority="50" stopIfTrue="1" operator="lessThan">
      <formula>0</formula>
    </cfRule>
  </conditionalFormatting>
  <conditionalFormatting sqref="G143:J143 L143:M143">
    <cfRule type="cellIs" dxfId="40" priority="49" stopIfTrue="1" operator="lessThan">
      <formula>0</formula>
    </cfRule>
  </conditionalFormatting>
  <conditionalFormatting sqref="G138:M138">
    <cfRule type="cellIs" dxfId="39" priority="48" stopIfTrue="1" operator="lessThan">
      <formula>0</formula>
    </cfRule>
  </conditionalFormatting>
  <conditionalFormatting sqref="E139:M141 E142 H142:M142">
    <cfRule type="cellIs" dxfId="38" priority="47" stopIfTrue="1" operator="lessThan">
      <formula>0</formula>
    </cfRule>
  </conditionalFormatting>
  <conditionalFormatting sqref="I118">
    <cfRule type="cellIs" dxfId="37" priority="43" stopIfTrue="1" operator="lessThan">
      <formula>0</formula>
    </cfRule>
  </conditionalFormatting>
  <conditionalFormatting sqref="E138">
    <cfRule type="cellIs" dxfId="36" priority="52" stopIfTrue="1" operator="lessThan">
      <formula>0</formula>
    </cfRule>
  </conditionalFormatting>
  <conditionalFormatting sqref="E143:F143">
    <cfRule type="cellIs" dxfId="35" priority="51" stopIfTrue="1" operator="lessThan">
      <formula>0</formula>
    </cfRule>
  </conditionalFormatting>
  <conditionalFormatting sqref="I133">
    <cfRule type="cellIs" dxfId="34" priority="41" stopIfTrue="1" operator="lessThan">
      <formula>0</formula>
    </cfRule>
  </conditionalFormatting>
  <conditionalFormatting sqref="I124">
    <cfRule type="cellIs" dxfId="33" priority="42" stopIfTrue="1" operator="lessThan">
      <formula>0</formula>
    </cfRule>
  </conditionalFormatting>
  <conditionalFormatting sqref="I107">
    <cfRule type="cellIs" dxfId="32" priority="40" stopIfTrue="1" operator="lessThan">
      <formula>0</formula>
    </cfRule>
  </conditionalFormatting>
  <conditionalFormatting sqref="F100">
    <cfRule type="cellIs" dxfId="31" priority="29" stopIfTrue="1" operator="lessThan">
      <formula>0</formula>
    </cfRule>
  </conditionalFormatting>
  <conditionalFormatting sqref="I101">
    <cfRule type="cellIs" dxfId="30" priority="28" stopIfTrue="1" operator="lessThan">
      <formula>0</formula>
    </cfRule>
  </conditionalFormatting>
  <conditionalFormatting sqref="K114">
    <cfRule type="cellIs" dxfId="29" priority="32" stopIfTrue="1" operator="lessThan">
      <formula>0</formula>
    </cfRule>
  </conditionalFormatting>
  <conditionalFormatting sqref="E102:M104 E101:H101 J101:M101">
    <cfRule type="cellIs" dxfId="28" priority="31" stopIfTrue="1" operator="lessThan">
      <formula>0</formula>
    </cfRule>
  </conditionalFormatting>
  <conditionalFormatting sqref="F105">
    <cfRule type="cellIs" dxfId="27" priority="30" stopIfTrue="1" operator="lessThan">
      <formula>0</formula>
    </cfRule>
  </conditionalFormatting>
  <conditionalFormatting sqref="G105:M105">
    <cfRule type="cellIs" dxfId="26" priority="27" stopIfTrue="1" operator="lessThan">
      <formula>0</formula>
    </cfRule>
  </conditionalFormatting>
  <conditionalFormatting sqref="F292:F298">
    <cfRule type="cellIs" dxfId="25" priority="26" stopIfTrue="1" operator="lessThan">
      <formula>0</formula>
    </cfRule>
  </conditionalFormatting>
  <conditionalFormatting sqref="E299:F299">
    <cfRule type="cellIs" dxfId="24" priority="25" stopIfTrue="1" operator="lessThan">
      <formula>0</formula>
    </cfRule>
  </conditionalFormatting>
  <conditionalFormatting sqref="G249:M249">
    <cfRule type="cellIs" dxfId="23" priority="24" stopIfTrue="1" operator="lessThan">
      <formula>0</formula>
    </cfRule>
  </conditionalFormatting>
  <conditionalFormatting sqref="G255:M255">
    <cfRule type="cellIs" dxfId="22" priority="21" stopIfTrue="1" operator="lessThan">
      <formula>0</formula>
    </cfRule>
  </conditionalFormatting>
  <conditionalFormatting sqref="G250:M250 G252:M253 G251:H251 J251:M251">
    <cfRule type="cellIs" dxfId="21" priority="23" stopIfTrue="1" operator="lessThan">
      <formula>0</formula>
    </cfRule>
  </conditionalFormatting>
  <conditionalFormatting sqref="G254:M254">
    <cfRule type="cellIs" dxfId="20" priority="22" stopIfTrue="1" operator="lessThan">
      <formula>0</formula>
    </cfRule>
  </conditionalFormatting>
  <conditionalFormatting sqref="I251">
    <cfRule type="cellIs" dxfId="19" priority="20" stopIfTrue="1" operator="lessThan">
      <formula>0</formula>
    </cfRule>
  </conditionalFormatting>
  <conditionalFormatting sqref="G264:M264">
    <cfRule type="cellIs" dxfId="18" priority="19" stopIfTrue="1" operator="lessThan">
      <formula>0</formula>
    </cfRule>
  </conditionalFormatting>
  <conditionalFormatting sqref="G291:M291">
    <cfRule type="cellIs" dxfId="17" priority="18" stopIfTrue="1" operator="lessThan">
      <formula>0</formula>
    </cfRule>
  </conditionalFormatting>
  <conditionalFormatting sqref="G263:J263 L263:M263">
    <cfRule type="cellIs" dxfId="16" priority="16" stopIfTrue="1" operator="lessThan">
      <formula>0</formula>
    </cfRule>
  </conditionalFormatting>
  <conditionalFormatting sqref="H261:M261 G262:M262 G257:M260 G256:H256 J256:M256">
    <cfRule type="cellIs" dxfId="15" priority="17" stopIfTrue="1" operator="lessThan">
      <formula>0</formula>
    </cfRule>
  </conditionalFormatting>
  <conditionalFormatting sqref="I256">
    <cfRule type="cellIs" dxfId="14" priority="15" stopIfTrue="1" operator="lessThan">
      <formula>0</formula>
    </cfRule>
  </conditionalFormatting>
  <conditionalFormatting sqref="G261">
    <cfRule type="cellIs" dxfId="13" priority="14" stopIfTrue="1" operator="lessThan">
      <formula>0</formula>
    </cfRule>
  </conditionalFormatting>
  <conditionalFormatting sqref="G273:M274">
    <cfRule type="cellIs" dxfId="12" priority="13" stopIfTrue="1" operator="lessThan">
      <formula>0</formula>
    </cfRule>
  </conditionalFormatting>
  <conditionalFormatting sqref="G265:H265 J265:M265 G266:M266 G271:M272 G270:J270 L270:M270 G268:M269 G267:J267 L267:M267">
    <cfRule type="cellIs" dxfId="11" priority="12" stopIfTrue="1" operator="lessThan">
      <formula>0</formula>
    </cfRule>
  </conditionalFormatting>
  <conditionalFormatting sqref="G275:J275 L275:M275">
    <cfRule type="cellIs" dxfId="10" priority="11" stopIfTrue="1" operator="lessThan">
      <formula>0</formula>
    </cfRule>
  </conditionalFormatting>
  <conditionalFormatting sqref="I265">
    <cfRule type="cellIs" dxfId="9" priority="10" stopIfTrue="1" operator="lessThan">
      <formula>0</formula>
    </cfRule>
  </conditionalFormatting>
  <conditionalFormatting sqref="K270">
    <cfRule type="cellIs" dxfId="8" priority="9" stopIfTrue="1" operator="lessThan">
      <formula>0</formula>
    </cfRule>
  </conditionalFormatting>
  <conditionalFormatting sqref="K267">
    <cfRule type="cellIs" dxfId="7" priority="8" stopIfTrue="1" operator="lessThan">
      <formula>0</formula>
    </cfRule>
  </conditionalFormatting>
  <conditionalFormatting sqref="I282">
    <cfRule type="cellIs" dxfId="6" priority="7" stopIfTrue="1" operator="lessThan">
      <formula>0</formula>
    </cfRule>
  </conditionalFormatting>
  <conditionalFormatting sqref="K283:K284">
    <cfRule type="cellIs" dxfId="5" priority="6" stopIfTrue="1" operator="lessThan">
      <formula>0</formula>
    </cfRule>
  </conditionalFormatting>
  <conditionalFormatting sqref="G299:J299 L299:M299">
    <cfRule type="cellIs" dxfId="4" priority="4" stopIfTrue="1" operator="lessThan">
      <formula>0</formula>
    </cfRule>
  </conditionalFormatting>
  <conditionalFormatting sqref="H297:M297 G298:M298 G293:M296 G292:H292 J292:M292">
    <cfRule type="cellIs" dxfId="3" priority="5" stopIfTrue="1" operator="lessThan">
      <formula>0</formula>
    </cfRule>
  </conditionalFormatting>
  <conditionalFormatting sqref="I292">
    <cfRule type="cellIs" dxfId="2" priority="3" stopIfTrue="1" operator="lessThan">
      <formula>0</formula>
    </cfRule>
  </conditionalFormatting>
  <conditionalFormatting sqref="G297">
    <cfRule type="cellIs" dxfId="1" priority="2" stopIfTrue="1" operator="lessThan">
      <formula>0</formula>
    </cfRule>
  </conditionalFormatting>
  <conditionalFormatting sqref="F291">
    <cfRule type="cellIs" dxfId="0" priority="1" stopIfTrue="1" operator="lessThan">
      <formula>0</formula>
    </cfRule>
  </conditionalFormatting>
  <printOptions horizontalCentered="1"/>
  <pageMargins left="0" right="0" top="0.5" bottom="0" header="0" footer="0"/>
  <pageSetup paperSize="9" scale="65" orientation="landscape" r:id="rId1"/>
  <rowBreaks count="10" manualBreakCount="10">
    <brk id="36" max="16383" man="1"/>
    <brk id="75" max="16383" man="1"/>
    <brk id="109" max="16383" man="1"/>
    <brk id="139" max="16383" man="1"/>
    <brk id="209" max="16383" man="1"/>
    <brk id="246" max="16383" man="1"/>
    <brk id="280" max="16383" man="1"/>
    <brk id="313" max="16383" man="1"/>
    <brk id="350" max="12" man="1"/>
    <brk id="369" max="16383" man="1"/>
  </rowBreaks>
  <ignoredErrors>
    <ignoredError sqref="F196 F30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სოფ. საგურამო</vt:lpstr>
      <vt:lpstr>'სოფ. საგურამო'!Print_Titles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2023-12-29T15:10:00Z</dcterms:modified>
</cp:coreProperties>
</file>