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901" firstSheet="1" activeTab="1"/>
  </bookViews>
  <sheets>
    <sheet name="gare kan." sheetId="1" state="hidden" r:id="rId1"/>
    <sheet name="მოცულობები" sheetId="2" r:id="rId2"/>
  </sheets>
  <externalReferences>
    <externalReference r:id="rId5"/>
  </externalReferences>
  <definedNames>
    <definedName name="ffff474875">#REF!</definedName>
    <definedName name="hhhh555">'[1]Лист1'!$F$27</definedName>
    <definedName name="_xlnm.Print_Area" localSheetId="1">'მოცულობები'!$A$1:$F$526</definedName>
  </definedNames>
  <calcPr fullCalcOnLoad="1"/>
</workbook>
</file>

<file path=xl/sharedStrings.xml><?xml version="1.0" encoding="utf-8"?>
<sst xmlns="http://schemas.openxmlformats.org/spreadsheetml/2006/main" count="1377" uniqueCount="395">
  <si>
    <t xml:space="preserve">                 normatiuli Sromatevadoba    </t>
  </si>
  <si>
    <t>SromiTi resursebi 0,583X1,15</t>
  </si>
  <si>
    <t>manqanebi 0,0046X1,15</t>
  </si>
  <si>
    <t>ganzomilebis erTeulze</t>
  </si>
  <si>
    <t>saproeqto monacemebi</t>
  </si>
  <si>
    <t>safuZveli</t>
  </si>
  <si>
    <t>samuSaoTa dasaxeleba</t>
  </si>
  <si>
    <t>c</t>
  </si>
  <si>
    <t>12</t>
  </si>
  <si>
    <t>13</t>
  </si>
  <si>
    <t>14</t>
  </si>
  <si>
    <t xml:space="preserve">lokalur-resursuli jami </t>
  </si>
  <si>
    <t xml:space="preserve">SromiTi danaxarji </t>
  </si>
  <si>
    <t>16</t>
  </si>
  <si>
    <t>17</t>
  </si>
  <si>
    <t>18</t>
  </si>
  <si>
    <t>19</t>
  </si>
  <si>
    <t>20</t>
  </si>
  <si>
    <t>manqanebi da materialuri resursebi</t>
  </si>
  <si>
    <t xml:space="preserve">sul xarjTaRricxviT </t>
  </si>
  <si>
    <t>s.n. da w. IV-2-82 t-8 cx. 46-18-3</t>
  </si>
  <si>
    <t>kac/sT</t>
  </si>
  <si>
    <t>sxva masalebi</t>
  </si>
  <si>
    <t>k-1,15</t>
  </si>
  <si>
    <t>man/sT</t>
  </si>
  <si>
    <t>g\m</t>
  </si>
  <si>
    <t>kompl</t>
  </si>
  <si>
    <t>SromiTi danaxarji 0,66X1,15</t>
  </si>
  <si>
    <t>manqanebi 0,4X1,15</t>
  </si>
  <si>
    <t xml:space="preserve">manqanebi </t>
  </si>
  <si>
    <t>11</t>
  </si>
  <si>
    <t>15</t>
  </si>
  <si>
    <t>manqanebi 0,02X1,15</t>
  </si>
  <si>
    <t>grZ/m</t>
  </si>
  <si>
    <t>kac\sT</t>
  </si>
  <si>
    <t>cali</t>
  </si>
  <si>
    <t>s.n. da w. IV-2-82t-3 cx. 16.6-1</t>
  </si>
  <si>
    <t>plastmasis sakanalizacio milis gayvana diametriT 50 mm</t>
  </si>
  <si>
    <t>SromiTi resursebi 0,609X1,15</t>
  </si>
  <si>
    <t>manqanebi 0,0021X1,15</t>
  </si>
  <si>
    <t>milgayvaniloba d-50</t>
  </si>
  <si>
    <t>fasonuri nawilebi d-50</t>
  </si>
  <si>
    <t>lokalur-resursuli xarjTaRricxva #1/3</t>
  </si>
  <si>
    <t xml:space="preserve">milgayvaniloba d-25 </t>
  </si>
  <si>
    <t>fitingi d-25 mm</t>
  </si>
  <si>
    <t>ventili pl d-25</t>
  </si>
  <si>
    <t>milgayvaniloba d-20</t>
  </si>
  <si>
    <t>fitingi d-20mm</t>
  </si>
  <si>
    <t>ventili pl d-20mm</t>
  </si>
  <si>
    <t>s.n. da w. IV-2-82t-3 cx. 16.22</t>
  </si>
  <si>
    <t>milsadenebis hidravlikuri gamocda</t>
  </si>
  <si>
    <t>ლარი</t>
  </si>
  <si>
    <t>s.n. da w. IV-2-82t-3 cx.17-1-9</t>
  </si>
  <si>
    <t xml:space="preserve">kedlebSi  gayvanilobisaTvis naxvretebis mowyoba </t>
  </si>
  <si>
    <t xml:space="preserve">             Seadgina:                       /T. beriZe /</t>
  </si>
  <si>
    <t xml:space="preserve">saxarjTaRricxvo Rirebuleba    </t>
  </si>
  <si>
    <t>მანქანები</t>
  </si>
  <si>
    <t xml:space="preserve">სხვა მასალები </t>
  </si>
  <si>
    <t>კაც/სთ</t>
  </si>
  <si>
    <t>მან/სთ</t>
  </si>
  <si>
    <t xml:space="preserve">სხვა მანქანები </t>
  </si>
  <si>
    <t xml:space="preserve">sabavSvo xelsabanis mowyobiloba </t>
  </si>
  <si>
    <t xml:space="preserve"> unitazi didebisaTvis </t>
  </si>
  <si>
    <t xml:space="preserve"> xelsabani didebisaTvis</t>
  </si>
  <si>
    <t>sarecxelas montaJi</t>
  </si>
  <si>
    <t xml:space="preserve"> xelsabani</t>
  </si>
  <si>
    <t>Semrevi duSis</t>
  </si>
  <si>
    <t>SromiTi resursebi misad</t>
  </si>
  <si>
    <r>
      <t xml:space="preserve">plasmasis wylis avzis da el.tivtivas (SefuTviT)mowyoba tevadobioT </t>
    </r>
    <r>
      <rPr>
        <b/>
        <sz val="11"/>
        <rFont val="Calibri"/>
        <family val="2"/>
      </rPr>
      <t xml:space="preserve">v-1.0 </t>
    </r>
    <r>
      <rPr>
        <b/>
        <sz val="11"/>
        <rFont val="Lit Nusx"/>
        <family val="2"/>
      </rPr>
      <t>m</t>
    </r>
    <r>
      <rPr>
        <b/>
        <vertAlign val="superscript"/>
        <sz val="11"/>
        <rFont val="Lit Nusx"/>
        <family val="2"/>
      </rPr>
      <t>3</t>
    </r>
  </si>
  <si>
    <t>sabavSvo unitazis mowyoba</t>
  </si>
  <si>
    <t>unitazi sabavSvo</t>
  </si>
  <si>
    <t xml:space="preserve">sabavSvo xelsabanis dayeneba </t>
  </si>
  <si>
    <t>lari</t>
  </si>
  <si>
    <t>#</t>
  </si>
  <si>
    <t>saxarjTaRricxvo Rirebuleba</t>
  </si>
  <si>
    <t>7</t>
  </si>
  <si>
    <t>8</t>
  </si>
  <si>
    <t>9</t>
  </si>
  <si>
    <t>10</t>
  </si>
  <si>
    <t>jami</t>
  </si>
  <si>
    <t>ganzomilebis erTeuli</t>
  </si>
  <si>
    <t>sul</t>
  </si>
  <si>
    <t>1</t>
  </si>
  <si>
    <t>2</t>
  </si>
  <si>
    <t>3</t>
  </si>
  <si>
    <t>4</t>
  </si>
  <si>
    <t>5</t>
  </si>
  <si>
    <t>6</t>
  </si>
  <si>
    <t>raodenoba</t>
  </si>
  <si>
    <t xml:space="preserve">saxarjTaRricxvo xelfasi      </t>
  </si>
  <si>
    <t xml:space="preserve">plasamasis minaboWkovani wyalgayvanilobis milebis gayvana diametriT 32 mm-mde </t>
  </si>
  <si>
    <t>s.n. da w. IV-2-82t-3 cx. 20-8-4</t>
  </si>
  <si>
    <t>ukusarqveli d25mm</t>
  </si>
  <si>
    <t>ukusarqveli d-25mm</t>
  </si>
  <si>
    <t>wyalmzomi</t>
  </si>
  <si>
    <t>avzi plasmasis (SefuTviT)</t>
  </si>
  <si>
    <t>tivtiva</t>
  </si>
  <si>
    <t>SromiTi resursebi0,46X1,15</t>
  </si>
  <si>
    <t>plasamasis wyalgayvanilobis milebis gayvana diametriT20 mm-mde</t>
  </si>
  <si>
    <t xml:space="preserve">onkani </t>
  </si>
  <si>
    <t>manqanebi</t>
  </si>
  <si>
    <t>fitingi d-32 mm</t>
  </si>
  <si>
    <t>ventili pl d-32</t>
  </si>
  <si>
    <t>SromiTi resursebi 0,0516X1,15</t>
  </si>
  <si>
    <t xml:space="preserve">SromiTi resursebi </t>
  </si>
  <si>
    <t>milgayvaniloba 100</t>
  </si>
  <si>
    <t>SromiTi resursebi 0,105X1,15</t>
  </si>
  <si>
    <t>s.n. da w. IV-2-82t-3 cx. 22-8-2</t>
  </si>
  <si>
    <t>manqanebi 0,0538X1,15</t>
  </si>
  <si>
    <t>s.n. da w. IV-2-82t-3 cx. 18.8-2</t>
  </si>
  <si>
    <t xml:space="preserve">SromiTi resursebi 16,6X1,15 </t>
  </si>
  <si>
    <t>manometri</t>
  </si>
  <si>
    <t>SromiTi resursebi 3,66X1,15</t>
  </si>
  <si>
    <t>manqanebi 0,28X1,15</t>
  </si>
  <si>
    <t>s.n. da w. IV-2-82t-3 cx.17.4-4</t>
  </si>
  <si>
    <t>s.n. da w. IV-2-82t-3 cx. 17-1-6</t>
  </si>
  <si>
    <t>SromiTi resursebi 6,86X1,15</t>
  </si>
  <si>
    <t>manqanebi 0,04X1,15</t>
  </si>
  <si>
    <t>trapebis montaJi d-50mm</t>
  </si>
  <si>
    <t>trapi 50mm</t>
  </si>
  <si>
    <t xml:space="preserve"> wyalgayvaniloba kanalizacia</t>
  </si>
  <si>
    <t>plasamasis armirebuli wyalgayvanilobis milebis gayvana diametriT 25 mm-mde</t>
  </si>
  <si>
    <t>zednadebi xarjebi 10,0 %</t>
  </si>
  <si>
    <t>gegmiuri dagroveba 8,0 %</t>
  </si>
  <si>
    <t>mili minaboWkovani d-32</t>
  </si>
  <si>
    <t>transportis xarji 2%</t>
  </si>
  <si>
    <t>unitazi</t>
  </si>
  <si>
    <t xml:space="preserve">titani </t>
  </si>
  <si>
    <t>el.titanis montaJi</t>
  </si>
  <si>
    <t>xulos municipalitetis sofel riyeTis sabavSvo baRisaTvis administraciuli  Senobis rekonstruqcia - remonti</t>
  </si>
  <si>
    <r>
      <t xml:space="preserve">Sedgenilia:  2013 wlis IV kvartlis doneze 1 a.S.S. </t>
    </r>
    <r>
      <rPr>
        <sz val="11"/>
        <rFont val="Times New Roman"/>
        <family val="1"/>
      </rPr>
      <t>$</t>
    </r>
    <r>
      <rPr>
        <sz val="11"/>
        <rFont val="LitNusx"/>
        <family val="2"/>
      </rPr>
      <t>=1,7 lari</t>
    </r>
  </si>
  <si>
    <t xml:space="preserve">kanalizacia </t>
  </si>
  <si>
    <t>s.n. da w. IV-2-82t-3 cx. 16.6-2</t>
  </si>
  <si>
    <t>plastmasis sakanalizacio milis gayvana diametriT 100 mm</t>
  </si>
  <si>
    <t>fasonuri nawilebi d-100</t>
  </si>
  <si>
    <t>kompl.</t>
  </si>
  <si>
    <t>Stuceri</t>
  </si>
  <si>
    <t>შრომითი დანახარჯი</t>
  </si>
  <si>
    <t>გ/მ</t>
  </si>
  <si>
    <t>შრომითი დანახარჯები</t>
  </si>
  <si>
    <t>პროექტით</t>
  </si>
  <si>
    <t>გრძ.მ</t>
  </si>
  <si>
    <t>სხვა მანქანები</t>
  </si>
  <si>
    <t>ელექტროდი</t>
  </si>
  <si>
    <t>კგ</t>
  </si>
  <si>
    <t>სხვა მასალა</t>
  </si>
  <si>
    <t xml:space="preserve">ანტიკოროზიული საღებავი </t>
  </si>
  <si>
    <t>ოლიფა</t>
  </si>
  <si>
    <t>სხვა მანქანა</t>
  </si>
  <si>
    <t xml:space="preserve">შრომითი დანახარჯი  </t>
  </si>
  <si>
    <t>ტნ</t>
  </si>
  <si>
    <t>მ/სთ</t>
  </si>
  <si>
    <t>მანქ/სთ</t>
  </si>
  <si>
    <t>გრუნტი</t>
  </si>
  <si>
    <t>გრუნტის გამხსნელი</t>
  </si>
  <si>
    <t>ცალი</t>
  </si>
  <si>
    <t>ტონა</t>
  </si>
  <si>
    <t>პასტა ანტისეპტიკური</t>
  </si>
  <si>
    <t>რუბეროიდი</t>
  </si>
  <si>
    <t>სჭვალი</t>
  </si>
  <si>
    <t xml:space="preserve"> </t>
  </si>
  <si>
    <t>ლითონის  კონსტრუქციების გაწმენდა და დაგრუნტვა</t>
  </si>
  <si>
    <t xml:space="preserve"> შრომითი დანახარჯი </t>
  </si>
  <si>
    <t xml:space="preserve"> სხვა მანქანები</t>
  </si>
  <si>
    <t>ცემენტის ხნარი მ-100</t>
  </si>
  <si>
    <t xml:space="preserve"> სხვა მასალა</t>
  </si>
  <si>
    <t>სხვა მასალები</t>
  </si>
  <si>
    <t>ლინოკრომი</t>
  </si>
  <si>
    <t>ბიტუმის მასტიკა</t>
  </si>
  <si>
    <t>ბიტუმის გრუნტი</t>
  </si>
  <si>
    <t>შრომითი დანახარჯები (18.8+0.34)</t>
  </si>
  <si>
    <t>სხვა მანქანები (0.95+0.23)</t>
  </si>
  <si>
    <t>ცემენტის ხსნარი მ -100</t>
  </si>
  <si>
    <t>სხვა მასალა(6.36)</t>
  </si>
  <si>
    <r>
      <t>მ</t>
    </r>
    <r>
      <rPr>
        <vertAlign val="superscript"/>
        <sz val="10"/>
        <rFont val="Sylfaen"/>
        <family val="1"/>
      </rPr>
      <t>2</t>
    </r>
  </si>
  <si>
    <t>მავთული გლინულა</t>
  </si>
  <si>
    <t>სამშენებლო ლურსმანი</t>
  </si>
  <si>
    <t xml:space="preserve">სახურავის ხის კონსტრუქციების ცეცხლდაცვა მთლიან ფართზე </t>
  </si>
  <si>
    <t>ცეცხლსაწინააღმდეგო ხსნარი</t>
  </si>
  <si>
    <t xml:space="preserve">სახურავის ხის კონსტრუქციების დამუშავება ანტისეპტიკური ხსნარით მთლიან ფართზე </t>
  </si>
  <si>
    <t>ანტისეპტიკური ხსნარი</t>
  </si>
  <si>
    <t xml:space="preserve">შეკიდული ტიპის თუნუქის  წყალშემკრები ღარების მოწყობა სისქით არანაკლებ 0,5მმ-სა </t>
  </si>
  <si>
    <t>თუნუქის წყალშემკრები ღარი</t>
  </si>
  <si>
    <t xml:space="preserve">სამშენებლო ლურსმანი </t>
  </si>
  <si>
    <t>წყალსაწრეტი   მუხლების
 მოწყობა</t>
  </si>
  <si>
    <t xml:space="preserve"> ფერადი თუნუქის წყალმიმღები მუხლი სისქით არანაკლებ 0,5 მმ- სა </t>
  </si>
  <si>
    <t xml:space="preserve"> ფერადი თუნუქის წყალმიმღები ძაბრის დაყენება სისქით არანაკლებ 0,5 მმ- სა </t>
  </si>
  <si>
    <t xml:space="preserve">გალვანიზირებული ფერადი თუნუქის წყალმიმღები ძაბრი სისქით არანაკლებ 0,5 მმ- სა </t>
  </si>
  <si>
    <r>
      <t>მ</t>
    </r>
    <r>
      <rPr>
        <vertAlign val="superscript"/>
        <sz val="10"/>
        <rFont val="Sylfaen"/>
        <family val="1"/>
      </rPr>
      <t>3</t>
    </r>
  </si>
  <si>
    <t>საანკერე  ჭანჭიკი დ=12 მმ</t>
  </si>
  <si>
    <t>ჩანგალი დ=12 მმ</t>
  </si>
  <si>
    <t>ტ</t>
  </si>
  <si>
    <t>გრუნტის დატვირთვა ა/მანქანაზე ხელით</t>
  </si>
  <si>
    <t>კ/სთ</t>
  </si>
  <si>
    <t>ცემენტის ხსნარი წყობის მ100</t>
  </si>
  <si>
    <t xml:space="preserve">სხვადასხვა მანქანები </t>
  </si>
  <si>
    <t>ტექნოგრანიტის ფილები (ფერი დამკვეთთან შეთანხმებით)</t>
  </si>
  <si>
    <t>შრომითი დანახარჯები (261+98.5)</t>
  </si>
  <si>
    <t>სხვა მანქანა (3.5+0.39)</t>
  </si>
  <si>
    <t>შურუპი თვითმჭრელი</t>
  </si>
  <si>
    <t>შეკვ.</t>
  </si>
  <si>
    <t xml:space="preserve"> ნესტგამძლე თაბაშირ-მუყაოს ფილა</t>
  </si>
  <si>
    <t>სხვა მასალა (38.9+1.6)</t>
  </si>
  <si>
    <t xml:space="preserve">მეტალოპლასმასის ფანჯრა ევრო გადმოღების მექანიზმით, ორმაგი მინით თეთრი, სისქ. 5.2 სმ </t>
  </si>
  <si>
    <t>კომპლ</t>
  </si>
  <si>
    <t xml:space="preserve">შრომის დანახარჯი </t>
  </si>
  <si>
    <t>შემყვან-გამანაწილებელი ფარი</t>
  </si>
  <si>
    <t xml:space="preserve">ლარი </t>
  </si>
  <si>
    <t>ც</t>
  </si>
  <si>
    <t>ჩაფლული ტიპის გამანაწილებელი კოლოფი, ხუფით</t>
  </si>
  <si>
    <t xml:space="preserve">ჩაფლული ტიპის შტეპსელური როზეტების დაყენება დამიწების კონტაქტით  </t>
  </si>
  <si>
    <t>მ</t>
  </si>
  <si>
    <t xml:space="preserve">ჩაფლული ტიპის ორკლავიშიანი ჩამრთველის დაყენება  </t>
  </si>
  <si>
    <t>ჩამრთველი ორკლავიშიანი</t>
  </si>
  <si>
    <t>კუთხოვანა დამიწებისთვის   50X50X5მმ</t>
  </si>
  <si>
    <t>მანქანა/სთ</t>
  </si>
  <si>
    <t>კუთხოვანა 50X50X5მმ</t>
  </si>
  <si>
    <r>
      <t>სამფაზა ავტომატური ამომრთველი 3P</t>
    </r>
    <r>
      <rPr>
        <sz val="10"/>
        <color indexed="8"/>
        <rFont val="Sylfaen"/>
        <family val="1"/>
      </rPr>
      <t xml:space="preserve"> 25 ა</t>
    </r>
  </si>
  <si>
    <r>
      <t xml:space="preserve">ერთფაზა ავტომატური ამომრთველი 1P </t>
    </r>
    <r>
      <rPr>
        <sz val="10"/>
        <color indexed="8"/>
        <rFont val="Sylfaen"/>
        <family val="1"/>
      </rPr>
      <t>16 ა</t>
    </r>
  </si>
  <si>
    <t>ღორღი 20-40 მმ</t>
  </si>
  <si>
    <t>შრომითი დანახარჯი კ=(0.294+0.0046*16)*10+0.0117*10</t>
  </si>
  <si>
    <t>სხვა მანქანები კ=(0.0112+0.0028*16)*10</t>
  </si>
  <si>
    <t>სხვა მასალები   კ=0.0636*10</t>
  </si>
  <si>
    <t xml:space="preserve">მანქანები </t>
  </si>
  <si>
    <t>სხვა  მასალები</t>
  </si>
  <si>
    <t>ელექტრო სამონტაჟო სამუშაოები</t>
  </si>
  <si>
    <t>ფიცარი ჩამოგანილი III ხ. 40 მმ  სისქის  და მეტი</t>
  </si>
  <si>
    <t>ბეტონი B-25</t>
  </si>
  <si>
    <t>ყალიბის ფარი 25მმ</t>
  </si>
  <si>
    <t xml:space="preserve">ფიცარი ჩამოგანილი II ხ.  40 მმ  </t>
  </si>
  <si>
    <t xml:space="preserve">იგივე  III ხ.  40 მმ  </t>
  </si>
  <si>
    <t>ელექტროდი ე-42</t>
  </si>
  <si>
    <t xml:space="preserve"> არმატურა  Ф8А500C</t>
  </si>
  <si>
    <t>ყალიბის ფარი სიქე 25 მმ</t>
  </si>
  <si>
    <t>იგივე  III ხარისხი 40 მმ  და მეტი</t>
  </si>
  <si>
    <t>ყალიბის ფარი სისქე 25მმ</t>
  </si>
  <si>
    <t xml:space="preserve"> არმატურა  Ф10А500C</t>
  </si>
  <si>
    <t>გრუნტის გატანა 1 კმ-მდე მანძილზე</t>
  </si>
  <si>
    <t>კარ-ფანჯრების მოწყობის სამუშაოები</t>
  </si>
  <si>
    <t>ლითონის კონსტრუუქციის შეღებვა ანტიკოროზიული საღებავით 2-ჯერ ფერი დამკვეთთან შეთანმხებით</t>
  </si>
  <si>
    <t>კედლების მოწყობის სამუშაოები</t>
  </si>
  <si>
    <t>კედლების მოწყობა წვრილი საკედლე ბლოკით 19X19X39 (მოწყობის გეგმა იხილეთ პროექტში)</t>
  </si>
  <si>
    <t>იატაკის მოპირკეთების სამუშაოები</t>
  </si>
  <si>
    <t xml:space="preserve"> იატაკზე ხაოიანი ტექნოგრანიტის ფილების დაგება (ფერები დამკვეთან შეთანხმებით)</t>
  </si>
  <si>
    <t>ხაოიანი ტექნოგრანიტის ფილები (ფერი დამკვეთთან შეთანხმებით)</t>
  </si>
  <si>
    <t xml:space="preserve"> დუღაბის ტუმბო 3 კუბმ/სთ </t>
  </si>
  <si>
    <t>წყალემულსიური საღებავი ინტერიერის</t>
  </si>
  <si>
    <t>საფითნხი (შპაკლოვკა)</t>
  </si>
  <si>
    <t xml:space="preserve"> ჰიდროიზოლაციის მოწყობა  ლინოკრომით ერთი ფენა (იხილეთ პროექტში)</t>
  </si>
  <si>
    <t>ჭერის მოწყობის სამუშაოები</t>
  </si>
  <si>
    <t>ჭერის როფილები</t>
  </si>
  <si>
    <t>ჭანჭიკი ქანჩით</t>
  </si>
  <si>
    <t>ბეტონი B-25  კ=(0.0204+0.0051*16)*10</t>
  </si>
  <si>
    <t>ხნარის ტუმბო 3 კუბ/სთ</t>
  </si>
  <si>
    <t>სხვა მანქანაბი</t>
  </si>
  <si>
    <t>ქვიშა ბუნებრივი</t>
  </si>
  <si>
    <t>სახურავის მოწყობის სამუშაოები</t>
  </si>
  <si>
    <t>დახერხილი მშრალი ხის მასალა</t>
  </si>
  <si>
    <t>სახურავის ბურულის მოწყობა ფერადი  პროფილირებული  პროფნასტილის  ფურცლებით სისქით არანაკლებ 0,50 მმ-სა, ანალოგიური ფერის და სისქის ბრტყელი თუნუქით კეხის მოწყობა</t>
  </si>
  <si>
    <t>ფერადი პროფილირებული პროფნასტილის ფურცლები სისქით არანაკლებ 0,50 მმ-სა.</t>
  </si>
  <si>
    <t>კეხებისთვის მოთუთიებული თუნუქის ფურცელი სისქით არანაკლებ  0 ,50 მმ-სა</t>
  </si>
  <si>
    <t xml:space="preserve">სახურავის გადმოსვლების შეფუთვა თუნუქის ფურცლებით სისქით არანაკლებ 0,50 მმ-სა, </t>
  </si>
  <si>
    <t>თუნუქის ფურცელი სისქით არანაკლებ  0 ,50 მმ-სა</t>
  </si>
  <si>
    <t>წყალშემკრები ღარის დამჭერი</t>
  </si>
  <si>
    <t xml:space="preserve"> თუნუქის  წყალსაწრეტი მილების მოწყობა სისქით არანაკლებ 0,5მმ-სა ზომით 10X10 სმ</t>
  </si>
  <si>
    <t>თუნუქის წყალსაწრეტი მილი  სისქით არანაკლებ  0,5 მმ-სა ზომით 10X10 სმ</t>
  </si>
  <si>
    <t>წყალსაწრეტი მილის სამაგრები</t>
  </si>
  <si>
    <t>ნაჭედი (კავი, სამაგრი, ცალკეული და სხვა)</t>
  </si>
  <si>
    <t xml:space="preserve"> ამწე მუხლუხა 25 ტ</t>
  </si>
  <si>
    <t>ჯოჯგინა ამწე 30 ტონიანი</t>
  </si>
  <si>
    <t>ლითონის კონსტრუუქციის შეღებვა ანტიკოროზიული საღებავით 2-ჯერ (პროექტის შესაბამისად)</t>
  </si>
  <si>
    <t>ფასადის მოპირკეთების სამუშაოები</t>
  </si>
  <si>
    <t>მოხვეწილი ზედაპირის მქონე, დამუშავებული, ბუნებრივი გრანიტის ფილა სისქ. 2 სმ</t>
  </si>
  <si>
    <t>გარე პერიმეტრისთვის სხვადასხვა ინვერნტარის შეძენა მონტაჟი</t>
  </si>
  <si>
    <t>ნაგვის ურნას შეძენა მონტაჟი (ესკიზის შესაბამისი)</t>
  </si>
  <si>
    <t>მთავარი გამანაწილებელი ფარი</t>
  </si>
  <si>
    <t>ჩაფლული ტიპის გამანაწილებელი კოლოფი ხუფით</t>
  </si>
  <si>
    <t xml:space="preserve">სპილენძის ძარღვიანი სადენის NYM-3X2.5 კვ.მმ2 მოწყობა </t>
  </si>
  <si>
    <t>სადენი სპილენძისძარღვიანი კვეთით   NYM-3X2.5 კვ.მმ2 კვ.მმ.</t>
  </si>
  <si>
    <t xml:space="preserve">სპილენძის ძარღვიანი სადენის NYM-3X1.5 კვ.მმ2 მოწყობა </t>
  </si>
  <si>
    <t>სადენი სპილენძისძარღვიანი კვეთით   NYM-3X1.5 კვ.მმ2 კვ.მმ.</t>
  </si>
  <si>
    <t xml:space="preserve"> ზოლოვანა 40X4 მმ</t>
  </si>
  <si>
    <t>სადენი NYY-5X6 კვ.მმ2 კვ.მმ.</t>
  </si>
  <si>
    <t>თვითქრობადი HF გოფრირებული კაბელის გასატარებელი მილის მოწყობა დ=20 მმ</t>
  </si>
  <si>
    <t>თვითქრობადი HF გოფრირებული კაბელის გასატარებელი მილი დ=20 მმ</t>
  </si>
  <si>
    <t xml:space="preserve">კომპ.
</t>
  </si>
  <si>
    <t xml:space="preserve"> კედლებისა და კარ-ფანჯრების  მაღალხარისხოვანი შებათქაშება (იხილეთ პროექტში)</t>
  </si>
  <si>
    <t xml:space="preserve"> ტექნოგრანიტის ფილებით პლინტუსების მოწყობა (ფერები დამკვეთან შეთანხმებით) (იხილეთ პროექტში)</t>
  </si>
  <si>
    <t>გადახურვის ხის კონსტრუქციების მოწყობა ყველა მასალის გათვალისიწნებით (პროექტის შესაბამისად)</t>
  </si>
  <si>
    <t>დამიწების ზოლოვანას მოწყობა 40X4 მმ</t>
  </si>
  <si>
    <t xml:space="preserve"> თხრილის ან ქვაბულის კედლების გამაგრება ხის ფარებით</t>
  </si>
  <si>
    <t>ხის მორი დ=12-24 სმ</t>
  </si>
  <si>
    <t>ჩამოუგანავი ხის ფარები სისქით 40-60 მმ III.კატ.</t>
  </si>
  <si>
    <t>ფარები ხის ფიცრებისგან სისქით 25 მმ</t>
  </si>
  <si>
    <t xml:space="preserve"> ხის ლარტყები 40-60 მმ II.კატ.</t>
  </si>
  <si>
    <t xml:space="preserve"> სამშენებლო ჭანჭიკი ქანჩით (სხვა და სხვა)</t>
  </si>
  <si>
    <t>კედლის უკანა ზედაპირზე ცხელი ბითუმის მასტიკის წასმა ორჯერ</t>
  </si>
  <si>
    <t xml:space="preserve">ცემენტის ხნარი მ-100, </t>
  </si>
  <si>
    <t>გრუნტი, ფითხი, საღებავი</t>
  </si>
  <si>
    <t>სამღებრო ბადე ნარინჯისფერი 160 გრმიანი</t>
  </si>
  <si>
    <t>სპლიტ  ტიპის კონდინციონერის შეძენა მონტაჟი, მართვის პულტითა და სრული ავტომატიკით, 
შიდა და გარე ბლოკით BTU-24000</t>
  </si>
  <si>
    <t>სპლიტ  ტიპის კონდინციონერი, მართვის პულტითა და სრული ავტომატიკით, 
შიდა და გარე ბლოკით BTU-24000 ანკერითა და სხვა სამაგრი დეტალების გათვალისწინებით</t>
  </si>
  <si>
    <t xml:space="preserve">ინვენტარული ხარაჩოს დაყენება და დაშლა </t>
  </si>
  <si>
    <t>ლითონის დეტალი ხარაჩოსთვის</t>
  </si>
  <si>
    <t>ხის  დეტალი ხარაჩოსთვის</t>
  </si>
  <si>
    <t>ფიცარი</t>
  </si>
  <si>
    <t>კონსტრუქციული ნაწილი</t>
  </si>
  <si>
    <t xml:space="preserve">ბეტონის მომზადება საძირკვლის ქვეშ  ბეტონი B-10 კლასის  </t>
  </si>
  <si>
    <t>ბეტონი  B-10</t>
  </si>
  <si>
    <t xml:space="preserve">მონოლითური რ/ბეტონის წერტილოვანი საძირკვლის მოწყობა ბეტონი  B-25 კლასის     </t>
  </si>
  <si>
    <t xml:space="preserve"> არმატურა  Ф16А500C</t>
  </si>
  <si>
    <t>ბეტონი B-25 კლასის</t>
  </si>
  <si>
    <t>იგივე  III ხ.  40 მმ  და მეტი</t>
  </si>
  <si>
    <t xml:space="preserve"> არმატურა  Ф18А500C</t>
  </si>
  <si>
    <t xml:space="preserve">ფიცარი ჩამოგანილი II ხარისხის 25-32მმ </t>
  </si>
  <si>
    <t>სანგრევი ჩაქუჩი</t>
  </si>
  <si>
    <t>კლდოვანი გრუნტის დატვირთვა ა/მანქანაზე ხელით</t>
  </si>
  <si>
    <t>ხელის სატკეპნი მანქანა</t>
  </si>
  <si>
    <t xml:space="preserve"> არმატურა  Ф14А500C</t>
  </si>
  <si>
    <t>გრუნტის უკუჩაყრა, მოსოწრება ხელით</t>
  </si>
  <si>
    <t>კლდოვანი გრუნტის გატანა 1 კმ-მდე მანძილზე</t>
  </si>
  <si>
    <t xml:space="preserve">ბეტონის მომზადებ რკ/კოჭის ქვეშ ბეტონი B-10 კლასის  </t>
  </si>
  <si>
    <t>ცემენტის მჭიმის მოწყობა
 სისქით 5 სმ,  (იხილეთ პროექტში)</t>
  </si>
  <si>
    <t>ფასადის კედლებისა და კარ-ფანჯრების ფერდობების მაღალხარისხოვანი  ცემენტის ხსნარის დაშხეფება. გადალესვით (მიუხენი) შეფითხვით, შეღებვითა და ყველა საჭირო მასალის გამოყენებით</t>
  </si>
  <si>
    <t>ცემენტის ხნარიდაშხეფება (ბრიზგი გადალესვით, მიუხენი)</t>
  </si>
  <si>
    <t>კლდოვანი გრუნტის დამუშავება ხელით სანგრევი ჩაქუჩის გამოყენებით წერტილოვანი საძირკვლის მოსაწყობად</t>
  </si>
  <si>
    <t>გრუნტის  ამოღება ხელით რკ/ბეტონის რანდ  კოჭის მოსაწყობად</t>
  </si>
  <si>
    <t>კლდოვანი გრუნტის დამუშავება ხელით სანგრევი ჩაქუჩის გამოყენებით რკ/ბეტონის კოჭის  მოსაწყობად</t>
  </si>
  <si>
    <t xml:space="preserve"> საფუძვლის მოწყობა ღორღით რანდ კოჭის ქვეშ სისქით 20 სმ</t>
  </si>
  <si>
    <t>მონოლითური რ/ბეტონის  რანდ კოჭის მოწყობა ბეტონი B-25 კლასის -4.10 ნიშნულზე</t>
  </si>
  <si>
    <t>ყალიბის ფარი 25 მმ</t>
  </si>
  <si>
    <t>ბითუმი ნავთობის</t>
  </si>
  <si>
    <t xml:space="preserve">N1 მონოლითური რ/ბეტონის სვეტების  მოწყობა  ბეტონი B-25 კლასის </t>
  </si>
  <si>
    <t xml:space="preserve"> არმატურა A III კლასის</t>
  </si>
  <si>
    <t>ხელის სატკეპნი მანქანის გამოყენებით ღორღის დატკეპნა (ფენა ფენა დატკეპნვის მეთოდით)</t>
  </si>
  <si>
    <t>კედლის უკანა არეს შევსება ღორღით 20-40 მმ</t>
  </si>
  <si>
    <t xml:space="preserve"> საფუძვლის მოწყობა ღორღით 20-40 მმ წერტ, საძირკვლის ქვეშ სისქით 20 სმ</t>
  </si>
  <si>
    <t>მონოლითური რ/ბეტონის  რიგელის მოწყობა ბეტონი B-25 კლასის 0.00 ნიშნულზე, +3.2 ნიშნულზე</t>
  </si>
  <si>
    <t xml:space="preserve">N2 მონოლითური რ/ბეტონის სვეტების  მოწყობა  ბეტონი B-25 კლასის </t>
  </si>
  <si>
    <t xml:space="preserve">მონოლითური რ/ბეტონის გადახურვის  ფილის მოწყობა0.00 ნიშნულზე ბეტონი  B-25 კლასის     </t>
  </si>
  <si>
    <t>მონოლითური რკ/ბეტონის კედლის მოწყობა -4.1 ნიშ. დან 0.00 ნიშ. მდე B-25 კლასის ბეტონით</t>
  </si>
  <si>
    <t xml:space="preserve">შესასვლელი მონოლითური რ/ბეტონის  კიბის მოწყობა ლითონის ბადეზე, ბეტონი  B-25 კლასის </t>
  </si>
  <si>
    <t>ლითონის ბადე უჯრედით 200X200X8 მმ</t>
  </si>
  <si>
    <t>წინაფრის მოსაწყობად ლითონის სვეტების მოწყობა (პროექტის შესაბამისად)</t>
  </si>
  <si>
    <t>გრუნტის ამოღება ხელით წერტილოვანი საძირკვლის მოსაწყობად</t>
  </si>
  <si>
    <t>გრუნტის ამოღება ხელით წინაფრის წერტილოვანი საძირკვლის მოსაწყობად (0.5X0.5X0.6 ) X 2</t>
  </si>
  <si>
    <t xml:space="preserve"> საფუძვლის მოწყობა ღორღით  სისქით 10 სმ</t>
  </si>
  <si>
    <t xml:space="preserve">საყრდენების დაბეტონება ბეტონი B-25 კლასის  </t>
  </si>
  <si>
    <t>ბეტონი  B-25</t>
  </si>
  <si>
    <t>ლით. მილი დ=89X3 მმ</t>
  </si>
  <si>
    <t xml:space="preserve"> ბეტონის ბლოკი (39X19X19) სმ</t>
  </si>
  <si>
    <t xml:space="preserve">ლითონის კარის ბლოკი  აქსესუარებით </t>
  </si>
  <si>
    <t>დეკორატიული ლითონის შემინული კარის  მოწყობა  (ესკიზის შესაბამისი)</t>
  </si>
  <si>
    <t>კედლების მაღალხარისხოვანი შეფითხვა, შეღებვა წყალემულსიური საღებავით, კარ-ფანჯრების ფერდოების ჩათვლით, სამღებრო ბადის გათვალისწინებით  (იხილეთ პროექტში)</t>
  </si>
  <si>
    <t>მეტალოპლასმასის ფანჯრის დამცავი ბადე, კონსტრუქცია</t>
  </si>
  <si>
    <t xml:space="preserve">PVC რაფა ფანჯრის </t>
  </si>
  <si>
    <t>მეტალოპლასმასის ფანჯრების მონტაჟი ევრო გადმოღების მექანიზმით, მწერების საწინააღმდეგო ბადით, PVC ფანჯრის რაფით, აქსესუარების გათვალისწიენებით (პროექტის შესაბამისად)</t>
  </si>
  <si>
    <t xml:space="preserve"> ჭერში ქვაბამბის მოწყობა  სისქით 10 სმ</t>
  </si>
  <si>
    <t xml:space="preserve">ქვაბამბა სისქით 10 სმ </t>
  </si>
  <si>
    <t xml:space="preserve">ზედა და ქვედა მხარეს, ფანერის ჭერის მოწყობა, სახურავის ხის კოჭებზე მიმაგრებით (იხილეთ პროექტში) ფანერის სისქე 10 მმ </t>
  </si>
  <si>
    <t>ფანერა შეწებებული სისქით 10 მმ</t>
  </si>
  <si>
    <t>ნესტგამძლე თაბაშირ-მუყაოს ჭერის მოწყობა ჭერის პროფილირებულ კარკასზე, იხილეთ პროექტში</t>
  </si>
  <si>
    <t>ჭერის  მაღალხარისხოვნად დამუშავება შეფითხვა, შეღებვა წყალემურსიული საღებავით, იხილეთ პრექტში (ფილებს შორის, შოვებში გამოყენებული იქნას სამღებრო ბადე)</t>
  </si>
  <si>
    <t xml:space="preserve">ფასადის კედლების, ზეძირკვლის და კარ-ფანჯრების ფერდობების მაღალხარისხოვანი შებათქაშება </t>
  </si>
  <si>
    <t>თბოსაიზოლაციო ფილა XPS ლურჯი სისქ. 3 სმ</t>
  </si>
  <si>
    <t>სხვადასხა ფერის  საიდინგის ფილა სისქით 0,5 მმ კუთხებიისა და გადაბმის დეტალების გათვალისიწნებით</t>
  </si>
  <si>
    <t xml:space="preserve">კვადრატული მილები 40X30X2.5 მმ </t>
  </si>
  <si>
    <t>ცოკოლის, კიბის საფეხურები, შუბლების გვრედულების მოპირკეთდეს ბუნებრივი მოხვეწილი ზედაპირის მქონე, დამუშავებული  გრანიტის ფილებით სისქით 2 სმ, ფერი და ფაქტურა დამკვეთთან შეთანხმებით</t>
  </si>
  <si>
    <t xml:space="preserve"> ფასადზე ფერადი თუნუქის საიდინგის ფილის მოწყობა კარ-ფანჯრების მოჩარჩოების, შეფუთვის გათვალისწინებით. ლით. კონსტრუქცია + დათბუნება XPS სისქ 3 სმ + ფერადი საიდინგის ფილა სისქით 0,5 მმ (პროექტის შესაბამისად) საიდინგის ფერი და ფაქტურა შეთანხმდეს დამკვეთთან</t>
  </si>
  <si>
    <t>წყალმედეგი ბეტოფანის ფილა სისქით 8 მმ</t>
  </si>
  <si>
    <t>წინაფრის შეფუთვაწყალმედეგი ბეტოფანის ფილებით სისქით 8 მმ ჭერის პროფილირებულ კარკასზე, იხილეთ პროექტში</t>
  </si>
  <si>
    <t>ბეტოფანის ფილის მაღალხარისხოვნად დამუშავება შეფითხვა, შეღებვა წყალემურსიული საფასადე საღებავით, იხილეთ პრექტში (ფილებს შორის, შოვებში გამოყენებული იქნას სამღებრო ბადე)</t>
  </si>
  <si>
    <t>წყალემულსიური საღებავი ექსტერიერის</t>
  </si>
  <si>
    <t xml:space="preserve">ბეტონის სარინელის მოწყობა ლითონის ბადეზე B-25 კლასის ბეტონით სისქით 10 სმ (ვიბრო ლარტყის გამოყენებით) </t>
  </si>
  <si>
    <t xml:space="preserve"> ფილის ზედაპირის დამუშავება ქვიშა ჭვალვლიანი აპარატით</t>
  </si>
  <si>
    <t>ლითონის დეკორატიული მოაჯირები (ესკიზი შეთანმხდეს დამკვეთთან)</t>
  </si>
  <si>
    <t>ლითონის დეკორატიული მოაჯირების მოწყობა H= 90 სმ (ესკიზი შეთანმხმდეს დამკვეთთან)</t>
  </si>
  <si>
    <t>ხის დეკორატიული სკამის შეძენა მონტაჟი (ესკიზის შესაბამისი)</t>
  </si>
  <si>
    <t xml:space="preserve">მკვებავი სადენის NYY-5X6  კვ.მმ2 მოწყობა </t>
  </si>
  <si>
    <t xml:space="preserve">ჭერის სანათის მოწყობა 40 W </t>
  </si>
  <si>
    <t xml:space="preserve">ჭერის სანათი 40 W </t>
  </si>
  <si>
    <t xml:space="preserve">გარე სანათის მოწყობა 40 W </t>
  </si>
  <si>
    <t>გარე სანათი 40 W</t>
  </si>
  <si>
    <t xml:space="preserve"> საფუძვლის მოწყობა ღორღით 20-40 მმ ბეტონის ფილის ქვეშ სისქით 10 სმ</t>
  </si>
  <si>
    <r>
      <t>მ</t>
    </r>
    <r>
      <rPr>
        <vertAlign val="superscript"/>
        <sz val="10"/>
        <rFont val="Sylfaen"/>
        <family val="1"/>
      </rPr>
      <t>2</t>
    </r>
  </si>
  <si>
    <t>ცხმორისის ადმინისტრაციულ ერთეულში სოფლის სახლის მოწყობა</t>
  </si>
  <si>
    <t>lokalur-resursuli xarjTaRricxva #2</t>
  </si>
  <si>
    <r>
      <t xml:space="preserve">სამფაზა ავტომატური ამომრთველი 3P </t>
    </r>
    <r>
      <rPr>
        <sz val="10"/>
        <color indexed="8"/>
        <rFont val="Sylfaen"/>
        <family val="1"/>
      </rPr>
      <t xml:space="preserve"> 25</t>
    </r>
    <r>
      <rPr>
        <sz val="10"/>
        <rFont val="Sylfaen"/>
        <family val="1"/>
      </rPr>
      <t xml:space="preserve"> ა</t>
    </r>
  </si>
  <si>
    <r>
      <t xml:space="preserve">ერთფაზა ავტომატური ამომრთველი 1P </t>
    </r>
    <r>
      <rPr>
        <sz val="10"/>
        <color indexed="8"/>
        <rFont val="Sylfaen"/>
        <family val="1"/>
      </rPr>
      <t>16</t>
    </r>
    <r>
      <rPr>
        <sz val="10"/>
        <rFont val="Sylfaen"/>
        <family val="1"/>
      </rPr>
      <t xml:space="preserve"> ა</t>
    </r>
  </si>
  <si>
    <t>მოცულობათა უწყისი</t>
  </si>
  <si>
    <t>samuSaos dasaxeleba</t>
  </si>
  <si>
    <t>ganz. erT.</t>
  </si>
  <si>
    <t>normativiT erTeulze</t>
  </si>
  <si>
    <t>lokalur-resursuli xarjTaRricxva #1</t>
  </si>
  <si>
    <t>samSeneblo samuშaoebi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</si>
</sst>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.00\ _₽_-;\-* #,##0.00\ _₽_-;_-* &quot;-&quot;??\ _₽_-;_-@_-"/>
    <numFmt numFmtId="173" formatCode="_-* #,##0.00\ _₾_-;\-* #,##0.00\ _₾_-;_-* &quot;-&quot;??\ _₾_-;_-@_-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0.0"/>
    <numFmt numFmtId="179" formatCode="0.000"/>
    <numFmt numFmtId="180" formatCode="0.0000"/>
    <numFmt numFmtId="181" formatCode="0.00000"/>
    <numFmt numFmtId="182" formatCode="#,##0.0"/>
    <numFmt numFmtId="183" formatCode="0.0%"/>
    <numFmt numFmtId="184" formatCode="_-* #,##0.00\ _L_a_r_i_-;\-* #,##0.00\ _L_a_r_i_-;_-* \-??\ _L_a_r_i_-;_-@_-"/>
    <numFmt numFmtId="185" formatCode="#,##0.0000"/>
    <numFmt numFmtId="186" formatCode="0_);\(0\)"/>
    <numFmt numFmtId="187" formatCode="0.000000"/>
    <numFmt numFmtId="188" formatCode="#,##0.00000000"/>
    <numFmt numFmtId="189" formatCode="0.00_ ;\-0.00\ "/>
    <numFmt numFmtId="190" formatCode="[$-FC19]d\ mmmm\ yyyy\ &quot;г.&quot;"/>
    <numFmt numFmtId="191" formatCode="#,##0_);\-#,##0"/>
    <numFmt numFmtId="192" formatCode="#,##0.00_);\-#,##0.00"/>
    <numFmt numFmtId="193" formatCode="#,##0.0_);\-#,##0.0"/>
    <numFmt numFmtId="194" formatCode="#,##0.000"/>
  </numFmts>
  <fonts count="75">
    <font>
      <sz val="10"/>
      <name val="AKAD NUSX"/>
      <family val="0"/>
    </font>
    <font>
      <sz val="10"/>
      <name val="LitNusx"/>
      <family val="2"/>
    </font>
    <font>
      <sz val="11"/>
      <name val="LitNusx"/>
      <family val="2"/>
    </font>
    <font>
      <b/>
      <sz val="10"/>
      <name val="LitNusx"/>
      <family val="2"/>
    </font>
    <font>
      <b/>
      <sz val="11"/>
      <name val="LitNusx"/>
      <family val="2"/>
    </font>
    <font>
      <b/>
      <sz val="12"/>
      <name val="LitNusx"/>
      <family val="2"/>
    </font>
    <font>
      <b/>
      <i/>
      <sz val="12"/>
      <name val="LitNusx"/>
      <family val="2"/>
    </font>
    <font>
      <sz val="12"/>
      <name val="Acad Mt_n"/>
      <family val="2"/>
    </font>
    <font>
      <sz val="11"/>
      <name val="Times New Roman"/>
      <family val="1"/>
    </font>
    <font>
      <b/>
      <sz val="14"/>
      <name val="Acad Mt_n"/>
      <family val="2"/>
    </font>
    <font>
      <b/>
      <sz val="14"/>
      <name val="AcadMtavr"/>
      <family val="0"/>
    </font>
    <font>
      <sz val="12"/>
      <name val="AcadMtavr"/>
      <family val="0"/>
    </font>
    <font>
      <sz val="8"/>
      <name val="AKAD NUSX"/>
      <family val="0"/>
    </font>
    <font>
      <b/>
      <sz val="12"/>
      <name val="AcadMtavr"/>
      <family val="0"/>
    </font>
    <font>
      <b/>
      <sz val="10"/>
      <name val="AKAD NUSX"/>
      <family val="0"/>
    </font>
    <font>
      <b/>
      <sz val="10"/>
      <name val="Batang"/>
      <family val="1"/>
    </font>
    <font>
      <b/>
      <sz val="11"/>
      <name val="Calibri"/>
      <family val="2"/>
    </font>
    <font>
      <b/>
      <sz val="11"/>
      <name val="Lit Nusx"/>
      <family val="2"/>
    </font>
    <font>
      <b/>
      <vertAlign val="superscript"/>
      <sz val="11"/>
      <name val="Lit Nusx"/>
      <family val="2"/>
    </font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KAD NUSX"/>
      <family val="0"/>
    </font>
    <font>
      <sz val="10"/>
      <name val="Arial Cyr"/>
      <family val="0"/>
    </font>
    <font>
      <sz val="10"/>
      <name val="Sylfaen"/>
      <family val="1"/>
    </font>
    <font>
      <b/>
      <sz val="12"/>
      <name val="Sylfaen"/>
      <family val="1"/>
    </font>
    <font>
      <sz val="10"/>
      <color indexed="8"/>
      <name val="Sylfaen"/>
      <family val="1"/>
    </font>
    <font>
      <vertAlign val="superscript"/>
      <sz val="10"/>
      <name val="Sylfaen"/>
      <family val="1"/>
    </font>
    <font>
      <sz val="12"/>
      <name val="Sylfaen"/>
      <family val="1"/>
    </font>
    <font>
      <sz val="9"/>
      <name val="Sylfaen"/>
      <family val="1"/>
    </font>
    <font>
      <sz val="12"/>
      <name val="AcadNusx"/>
      <family val="0"/>
    </font>
    <font>
      <b/>
      <sz val="12"/>
      <name val="AcadNusx"/>
      <family val="0"/>
    </font>
    <font>
      <b/>
      <sz val="10"/>
      <name val="AcadMtavr"/>
      <family val="0"/>
    </font>
    <font>
      <b/>
      <sz val="10"/>
      <name val="AcadNusx"/>
      <family val="0"/>
    </font>
    <font>
      <b/>
      <sz val="14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KAD NUSX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Sylfaen"/>
      <family val="1"/>
    </font>
    <font>
      <b/>
      <sz val="14"/>
      <color indexed="8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KAD NUSX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theme="1"/>
      <name val="Sylfaen"/>
      <family val="1"/>
    </font>
    <font>
      <b/>
      <sz val="12"/>
      <color theme="1"/>
      <name val="Sylfaen"/>
      <family val="1"/>
    </font>
    <font>
      <b/>
      <sz val="14"/>
      <color theme="1"/>
      <name val="Sylfae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19" fillId="0" borderId="0" applyFont="0" applyFill="0" applyBorder="0" applyAlignment="0" applyProtection="0"/>
    <xf numFmtId="172" fontId="53" fillId="0" borderId="0" applyFont="0" applyFill="0" applyBorder="0" applyAlignment="0" applyProtection="0"/>
    <xf numFmtId="173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5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53" fillId="0" borderId="0">
      <alignment/>
      <protection/>
    </xf>
    <xf numFmtId="0" fontId="19" fillId="0" borderId="0">
      <alignment/>
      <protection/>
    </xf>
    <xf numFmtId="0" fontId="53" fillId="0" borderId="0">
      <alignment/>
      <protection/>
    </xf>
    <xf numFmtId="0" fontId="22" fillId="0" borderId="0">
      <alignment/>
      <protection/>
    </xf>
    <xf numFmtId="0" fontId="53" fillId="0" borderId="0">
      <alignment/>
      <protection/>
    </xf>
    <xf numFmtId="0" fontId="19" fillId="0" borderId="0">
      <alignment/>
      <protection/>
    </xf>
    <xf numFmtId="0" fontId="53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32" borderId="7" applyNumberFormat="0" applyFont="0" applyAlignment="0" applyProtection="0"/>
    <xf numFmtId="0" fontId="53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5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3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1" fillId="0" borderId="0">
      <alignment/>
      <protection/>
    </xf>
    <xf numFmtId="0" fontId="19" fillId="0" borderId="0">
      <alignment/>
      <protection/>
    </xf>
    <xf numFmtId="0" fontId="5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71" fillId="0" borderId="0">
      <alignment/>
      <protection/>
    </xf>
    <xf numFmtId="0" fontId="53" fillId="0" borderId="0">
      <alignment/>
      <protection/>
    </xf>
    <xf numFmtId="0" fontId="19" fillId="0" borderId="0">
      <alignment/>
      <protection/>
    </xf>
    <xf numFmtId="0" fontId="53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9" fontId="53" fillId="0" borderId="0" applyFont="0" applyFill="0" applyBorder="0" applyAlignment="0" applyProtection="0"/>
    <xf numFmtId="184" fontId="20" fillId="0" borderId="0">
      <alignment/>
      <protection/>
    </xf>
    <xf numFmtId="173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53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</cellStyleXfs>
  <cellXfs count="2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4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vertical="center" wrapText="1"/>
    </xf>
    <xf numFmtId="1" fontId="14" fillId="0" borderId="0" xfId="0" applyNumberFormat="1" applyFont="1" applyAlignment="1">
      <alignment/>
    </xf>
    <xf numFmtId="0" fontId="5" fillId="0" borderId="0" xfId="0" applyFont="1" applyAlignment="1">
      <alignment/>
    </xf>
    <xf numFmtId="49" fontId="7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49" fontId="1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left" vertical="center" wrapText="1"/>
    </xf>
    <xf numFmtId="0" fontId="15" fillId="0" borderId="0" xfId="0" applyFont="1" applyAlignment="1">
      <alignment/>
    </xf>
    <xf numFmtId="178" fontId="3" fillId="0" borderId="10" xfId="0" applyNumberFormat="1" applyFont="1" applyFill="1" applyBorder="1" applyAlignment="1">
      <alignment horizontal="center" vertical="center" wrapText="1"/>
    </xf>
    <xf numFmtId="178" fontId="3" fillId="0" borderId="0" xfId="0" applyNumberFormat="1" applyFont="1" applyAlignment="1">
      <alignment horizontal="center"/>
    </xf>
    <xf numFmtId="178" fontId="14" fillId="0" borderId="0" xfId="0" applyNumberFormat="1" applyFont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49" fontId="23" fillId="33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2" fontId="23" fillId="33" borderId="10" xfId="0" applyNumberFormat="1" applyFont="1" applyFill="1" applyBorder="1" applyAlignment="1">
      <alignment horizontal="center" vertical="center" wrapText="1"/>
    </xf>
    <xf numFmtId="178" fontId="23" fillId="33" borderId="10" xfId="0" applyNumberFormat="1" applyFont="1" applyFill="1" applyBorder="1" applyAlignment="1">
      <alignment horizontal="center" vertical="center" wrapText="1"/>
    </xf>
    <xf numFmtId="178" fontId="23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2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33" borderId="0" xfId="0" applyFont="1" applyFill="1" applyAlignment="1">
      <alignment/>
    </xf>
    <xf numFmtId="178" fontId="23" fillId="0" borderId="10" xfId="0" applyNumberFormat="1" applyFont="1" applyBorder="1" applyAlignment="1">
      <alignment horizontal="center" vertical="center" wrapText="1"/>
    </xf>
    <xf numFmtId="0" fontId="23" fillId="33" borderId="0" xfId="0" applyNumberFormat="1" applyFont="1" applyFill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2" fontId="23" fillId="33" borderId="1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79" fontId="23" fillId="34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0" xfId="97" applyFont="1" applyAlignment="1">
      <alignment horizontal="center" vertical="center"/>
      <protection/>
    </xf>
    <xf numFmtId="49" fontId="23" fillId="0" borderId="10" xfId="97" applyNumberFormat="1" applyFont="1" applyBorder="1" applyAlignment="1">
      <alignment horizontal="center" vertical="center" wrapText="1"/>
      <protection/>
    </xf>
    <xf numFmtId="2" fontId="23" fillId="34" borderId="10" xfId="97" applyNumberFormat="1" applyFont="1" applyFill="1" applyBorder="1" applyAlignment="1" applyProtection="1">
      <alignment horizontal="center" vertical="center" wrapText="1"/>
      <protection locked="0"/>
    </xf>
    <xf numFmtId="178" fontId="23" fillId="34" borderId="10" xfId="97" applyNumberFormat="1" applyFont="1" applyFill="1" applyBorder="1" applyAlignment="1" applyProtection="1">
      <alignment horizontal="center" vertical="center" wrapText="1"/>
      <protection locked="0"/>
    </xf>
    <xf numFmtId="49" fontId="23" fillId="0" borderId="10" xfId="97" applyNumberFormat="1" applyFont="1" applyFill="1" applyBorder="1" applyAlignment="1">
      <alignment horizontal="center" vertical="center" wrapText="1"/>
      <protection/>
    </xf>
    <xf numFmtId="49" fontId="23" fillId="33" borderId="10" xfId="97" applyNumberFormat="1" applyFont="1" applyFill="1" applyBorder="1" applyAlignment="1">
      <alignment horizontal="center" vertical="center" wrapText="1"/>
      <protection/>
    </xf>
    <xf numFmtId="179" fontId="23" fillId="34" borderId="10" xfId="97" applyNumberFormat="1" applyFont="1" applyFill="1" applyBorder="1" applyAlignment="1" applyProtection="1">
      <alignment horizontal="center" vertical="center" wrapText="1"/>
      <protection locked="0"/>
    </xf>
    <xf numFmtId="180" fontId="23" fillId="34" borderId="10" xfId="97" applyNumberFormat="1" applyFont="1" applyFill="1" applyBorder="1" applyAlignment="1" applyProtection="1">
      <alignment horizontal="center" vertical="center" wrapText="1"/>
      <protection locked="0"/>
    </xf>
    <xf numFmtId="2" fontId="23" fillId="33" borderId="10" xfId="97" applyNumberFormat="1" applyFont="1" applyFill="1" applyBorder="1" applyAlignment="1">
      <alignment horizontal="center" vertical="center" wrapText="1"/>
      <protection/>
    </xf>
    <xf numFmtId="178" fontId="23" fillId="33" borderId="10" xfId="97" applyNumberFormat="1" applyFont="1" applyFill="1" applyBorder="1" applyAlignment="1">
      <alignment horizontal="center" vertical="center" wrapText="1"/>
      <protection/>
    </xf>
    <xf numFmtId="0" fontId="25" fillId="33" borderId="0" xfId="0" applyFont="1" applyFill="1" applyAlignment="1">
      <alignment horizontal="center" vertical="center"/>
    </xf>
    <xf numFmtId="0" fontId="23" fillId="33" borderId="0" xfId="63" applyNumberFormat="1" applyFont="1" applyFill="1" applyAlignment="1" applyProtection="1">
      <alignment horizontal="center" vertical="center"/>
      <protection/>
    </xf>
    <xf numFmtId="0" fontId="23" fillId="33" borderId="10" xfId="63" applyNumberFormat="1" applyFont="1" applyFill="1" applyBorder="1" applyAlignment="1" applyProtection="1">
      <alignment horizontal="center" vertical="center" wrapText="1"/>
      <protection/>
    </xf>
    <xf numFmtId="0" fontId="23" fillId="33" borderId="10" xfId="152" applyNumberFormat="1" applyFont="1" applyFill="1" applyBorder="1" applyAlignment="1" applyProtection="1">
      <alignment horizontal="center" vertical="center" wrapText="1"/>
      <protection/>
    </xf>
    <xf numFmtId="0" fontId="23" fillId="33" borderId="10" xfId="87" applyNumberFormat="1" applyFont="1" applyFill="1" applyBorder="1" applyAlignment="1" applyProtection="1">
      <alignment horizontal="center" vertical="center" wrapText="1"/>
      <protection/>
    </xf>
    <xf numFmtId="0" fontId="23" fillId="33" borderId="10" xfId="63" applyNumberFormat="1" applyFont="1" applyFill="1" applyBorder="1" applyAlignment="1" applyProtection="1">
      <alignment horizontal="center" vertical="center" wrapText="1"/>
      <protection/>
    </xf>
    <xf numFmtId="0" fontId="23" fillId="33" borderId="10" xfId="152" applyNumberFormat="1" applyFont="1" applyFill="1" applyBorder="1" applyAlignment="1" applyProtection="1">
      <alignment horizontal="center" vertical="center" wrapText="1"/>
      <protection/>
    </xf>
    <xf numFmtId="0" fontId="25" fillId="0" borderId="0" xfId="63" applyNumberFormat="1" applyFont="1" applyBorder="1" applyAlignment="1">
      <alignment horizontal="center" vertical="center"/>
      <protection/>
    </xf>
    <xf numFmtId="0" fontId="25" fillId="0" borderId="0" xfId="63" applyNumberFormat="1" applyFont="1" applyFill="1" applyBorder="1" applyAlignment="1">
      <alignment horizontal="center" vertical="center"/>
      <protection/>
    </xf>
    <xf numFmtId="0" fontId="23" fillId="33" borderId="10" xfId="77" applyFont="1" applyFill="1" applyBorder="1" applyAlignment="1">
      <alignment horizontal="center" vertical="center"/>
      <protection/>
    </xf>
    <xf numFmtId="178" fontId="23" fillId="0" borderId="10" xfId="97" applyNumberFormat="1" applyFont="1" applyBorder="1" applyAlignment="1">
      <alignment horizontal="center" vertical="center" wrapText="1"/>
      <protection/>
    </xf>
    <xf numFmtId="180" fontId="23" fillId="33" borderId="10" xfId="0" applyNumberFormat="1" applyFont="1" applyFill="1" applyBorder="1" applyAlignment="1">
      <alignment horizontal="center" vertical="center" wrapText="1"/>
    </xf>
    <xf numFmtId="179" fontId="23" fillId="33" borderId="10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 applyProtection="1">
      <alignment horizontal="center" vertical="center" wrapText="1"/>
      <protection locked="0"/>
    </xf>
    <xf numFmtId="0" fontId="23" fillId="33" borderId="0" xfId="78" applyFont="1" applyFill="1" applyAlignment="1">
      <alignment horizontal="center" vertical="center"/>
      <protection/>
    </xf>
    <xf numFmtId="1" fontId="23" fillId="33" borderId="10" xfId="0" applyNumberFormat="1" applyFont="1" applyFill="1" applyBorder="1" applyAlignment="1">
      <alignment horizontal="center" vertical="center" wrapText="1"/>
    </xf>
    <xf numFmtId="2" fontId="23" fillId="33" borderId="10" xfId="107" applyNumberFormat="1" applyFont="1" applyFill="1" applyBorder="1" applyAlignment="1">
      <alignment horizontal="center" vertical="center" wrapText="1"/>
      <protection/>
    </xf>
    <xf numFmtId="49" fontId="23" fillId="33" borderId="10" xfId="107" applyNumberFormat="1" applyFont="1" applyFill="1" applyBorder="1" applyAlignment="1">
      <alignment horizontal="center" vertical="center" wrapText="1"/>
      <protection/>
    </xf>
    <xf numFmtId="2" fontId="23" fillId="0" borderId="0" xfId="116" applyNumberFormat="1" applyFont="1" applyFill="1" applyAlignment="1">
      <alignment horizontal="center" vertical="center"/>
      <protection/>
    </xf>
    <xf numFmtId="179" fontId="23" fillId="0" borderId="0" xfId="116" applyNumberFormat="1" applyFont="1" applyFill="1" applyAlignment="1">
      <alignment horizontal="center" vertical="center"/>
      <protection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33" borderId="0" xfId="137" applyFont="1" applyFill="1" applyAlignment="1">
      <alignment horizontal="center" vertical="center"/>
      <protection/>
    </xf>
    <xf numFmtId="2" fontId="25" fillId="33" borderId="0" xfId="137" applyNumberFormat="1" applyFont="1" applyFill="1" applyAlignment="1">
      <alignment horizontal="center" vertical="center"/>
      <protection/>
    </xf>
    <xf numFmtId="49" fontId="23" fillId="33" borderId="10" xfId="137" applyNumberFormat="1" applyFont="1" applyFill="1" applyBorder="1" applyAlignment="1">
      <alignment horizontal="center" vertical="center" wrapText="1"/>
      <protection/>
    </xf>
    <xf numFmtId="0" fontId="23" fillId="33" borderId="10" xfId="137" applyFont="1" applyFill="1" applyBorder="1" applyAlignment="1">
      <alignment horizontal="center" vertical="center" wrapText="1"/>
      <protection/>
    </xf>
    <xf numFmtId="0" fontId="23" fillId="33" borderId="10" xfId="137" applyFont="1" applyFill="1" applyBorder="1" applyAlignment="1">
      <alignment horizontal="center" vertical="center"/>
      <protection/>
    </xf>
    <xf numFmtId="2" fontId="23" fillId="33" borderId="10" xfId="137" applyNumberFormat="1" applyFont="1" applyFill="1" applyBorder="1" applyAlignment="1">
      <alignment horizontal="center" vertical="center"/>
      <protection/>
    </xf>
    <xf numFmtId="192" fontId="23" fillId="33" borderId="11" xfId="137" applyNumberFormat="1" applyFont="1" applyFill="1" applyBorder="1" applyAlignment="1">
      <alignment horizontal="center" vertical="center" wrapText="1"/>
      <protection/>
    </xf>
    <xf numFmtId="192" fontId="25" fillId="33" borderId="12" xfId="137" applyNumberFormat="1" applyFont="1" applyFill="1" applyBorder="1" applyAlignment="1">
      <alignment horizontal="center" vertical="center" wrapText="1"/>
      <protection/>
    </xf>
    <xf numFmtId="192" fontId="23" fillId="33" borderId="13" xfId="137" applyNumberFormat="1" applyFont="1" applyFill="1" applyBorder="1" applyAlignment="1">
      <alignment horizontal="center" vertical="center" wrapText="1"/>
      <protection/>
    </xf>
    <xf numFmtId="191" fontId="23" fillId="33" borderId="13" xfId="137" applyNumberFormat="1" applyFont="1" applyFill="1" applyBorder="1" applyAlignment="1">
      <alignment horizontal="center" vertical="center" wrapText="1"/>
      <protection/>
    </xf>
    <xf numFmtId="193" fontId="23" fillId="33" borderId="13" xfId="137" applyNumberFormat="1" applyFont="1" applyFill="1" applyBorder="1" applyAlignment="1">
      <alignment horizontal="center" vertical="center" wrapText="1"/>
      <protection/>
    </xf>
    <xf numFmtId="192" fontId="25" fillId="33" borderId="10" xfId="137" applyNumberFormat="1" applyFont="1" applyFill="1" applyBorder="1" applyAlignment="1">
      <alignment horizontal="center" vertical="center" wrapText="1"/>
      <protection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0" xfId="63" applyNumberFormat="1" applyFont="1" applyFill="1" applyBorder="1" applyAlignment="1">
      <alignment horizontal="center" vertical="center" wrapText="1"/>
      <protection/>
    </xf>
    <xf numFmtId="0" fontId="23" fillId="33" borderId="10" xfId="63" applyNumberFormat="1" applyFont="1" applyFill="1" applyBorder="1" applyAlignment="1">
      <alignment horizontal="center" vertical="center" wrapText="1"/>
      <protection/>
    </xf>
    <xf numFmtId="4" fontId="23" fillId="33" borderId="10" xfId="0" applyNumberFormat="1" applyFont="1" applyFill="1" applyBorder="1" applyAlignment="1">
      <alignment horizontal="center" vertical="center" wrapText="1"/>
    </xf>
    <xf numFmtId="4" fontId="23" fillId="33" borderId="10" xfId="0" applyNumberFormat="1" applyFont="1" applyFill="1" applyBorder="1" applyAlignment="1">
      <alignment horizontal="center" vertical="center"/>
    </xf>
    <xf numFmtId="4" fontId="23" fillId="33" borderId="10" xfId="77" applyNumberFormat="1" applyFont="1" applyFill="1" applyBorder="1" applyAlignment="1">
      <alignment horizontal="center" vertical="center" wrapText="1"/>
      <protection/>
    </xf>
    <xf numFmtId="181" fontId="23" fillId="33" borderId="10" xfId="0" applyNumberFormat="1" applyFont="1" applyFill="1" applyBorder="1" applyAlignment="1">
      <alignment horizontal="center" vertical="center" wrapText="1"/>
    </xf>
    <xf numFmtId="0" fontId="23" fillId="33" borderId="10" xfId="155" applyFont="1" applyFill="1" applyBorder="1" applyAlignment="1">
      <alignment horizontal="center" vertical="center"/>
      <protection/>
    </xf>
    <xf numFmtId="178" fontId="23" fillId="33" borderId="10" xfId="155" applyNumberFormat="1" applyFont="1" applyFill="1" applyBorder="1" applyAlignment="1">
      <alignment horizontal="center" vertical="center"/>
      <protection/>
    </xf>
    <xf numFmtId="194" fontId="23" fillId="33" borderId="10" xfId="144" applyNumberFormat="1" applyFont="1" applyFill="1" applyBorder="1" applyAlignment="1">
      <alignment horizontal="center" vertical="center"/>
    </xf>
    <xf numFmtId="178" fontId="23" fillId="33" borderId="10" xfId="144" applyNumberFormat="1" applyFont="1" applyFill="1" applyBorder="1" applyAlignment="1">
      <alignment horizontal="center" vertical="center"/>
    </xf>
    <xf numFmtId="0" fontId="23" fillId="33" borderId="10" xfId="141" applyFont="1" applyFill="1" applyBorder="1" applyAlignment="1">
      <alignment horizontal="center" vertical="center" wrapText="1"/>
      <protection/>
    </xf>
    <xf numFmtId="179" fontId="23" fillId="33" borderId="10" xfId="0" applyNumberFormat="1" applyFont="1" applyFill="1" applyBorder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2" fontId="23" fillId="33" borderId="10" xfId="67" applyNumberFormat="1" applyFont="1" applyFill="1" applyBorder="1" applyAlignment="1">
      <alignment horizontal="center" vertical="center"/>
      <protection/>
    </xf>
    <xf numFmtId="0" fontId="23" fillId="33" borderId="10" xfId="67" applyFont="1" applyFill="1" applyBorder="1" applyAlignment="1">
      <alignment horizontal="center" vertical="center"/>
      <protection/>
    </xf>
    <xf numFmtId="0" fontId="23" fillId="33" borderId="10" xfId="67" applyFont="1" applyFill="1" applyBorder="1" applyAlignment="1">
      <alignment horizontal="center" vertical="center" wrapText="1"/>
      <protection/>
    </xf>
    <xf numFmtId="2" fontId="23" fillId="33" borderId="10" xfId="107" applyNumberFormat="1" applyFont="1" applyFill="1" applyBorder="1" applyAlignment="1">
      <alignment horizontal="center" vertical="center"/>
      <protection/>
    </xf>
    <xf numFmtId="1" fontId="23" fillId="33" borderId="10" xfId="107" applyNumberFormat="1" applyFont="1" applyFill="1" applyBorder="1" applyAlignment="1">
      <alignment horizontal="center" vertical="center"/>
      <protection/>
    </xf>
    <xf numFmtId="178" fontId="23" fillId="33" borderId="10" xfId="0" applyNumberFormat="1" applyFont="1" applyFill="1" applyBorder="1" applyAlignment="1">
      <alignment vertical="center" wrapText="1"/>
    </xf>
    <xf numFmtId="0" fontId="23" fillId="33" borderId="0" xfId="76" applyFont="1" applyFill="1" applyAlignment="1">
      <alignment horizontal="center" vertical="center"/>
      <protection/>
    </xf>
    <xf numFmtId="180" fontId="23" fillId="33" borderId="10" xfId="0" applyNumberFormat="1" applyFont="1" applyFill="1" applyBorder="1" applyAlignment="1">
      <alignment horizontal="center" vertical="center"/>
    </xf>
    <xf numFmtId="2" fontId="23" fillId="33" borderId="10" xfId="76" applyNumberFormat="1" applyFont="1" applyFill="1" applyBorder="1" applyAlignment="1">
      <alignment horizontal="center" vertical="center"/>
      <protection/>
    </xf>
    <xf numFmtId="0" fontId="23" fillId="33" borderId="0" xfId="109" applyNumberFormat="1" applyFont="1" applyFill="1" applyAlignment="1">
      <alignment horizontal="center" vertical="center" wrapText="1"/>
      <protection/>
    </xf>
    <xf numFmtId="0" fontId="23" fillId="33" borderId="10" xfId="109" applyNumberFormat="1" applyFont="1" applyFill="1" applyBorder="1" applyAlignment="1">
      <alignment horizontal="center" vertical="center" wrapText="1"/>
      <protection/>
    </xf>
    <xf numFmtId="0" fontId="23" fillId="33" borderId="10" xfId="109" applyNumberFormat="1" applyFont="1" applyFill="1" applyBorder="1" applyAlignment="1" applyProtection="1">
      <alignment horizontal="center" vertical="center" wrapText="1"/>
      <protection locked="0"/>
    </xf>
    <xf numFmtId="0" fontId="23" fillId="33" borderId="0" xfId="109" applyNumberFormat="1" applyFont="1" applyFill="1" applyAlignment="1">
      <alignment horizontal="center" vertical="center"/>
      <protection/>
    </xf>
    <xf numFmtId="0" fontId="23" fillId="33" borderId="10" xfId="120" applyNumberFormat="1" applyFont="1" applyFill="1" applyBorder="1" applyAlignment="1">
      <alignment horizontal="center" vertical="center" wrapText="1"/>
      <protection/>
    </xf>
    <xf numFmtId="0" fontId="23" fillId="33" borderId="10" xfId="0" applyNumberFormat="1" applyFont="1" applyFill="1" applyBorder="1" applyAlignment="1">
      <alignment horizontal="center" vertical="center" wrapText="1"/>
    </xf>
    <xf numFmtId="49" fontId="23" fillId="33" borderId="10" xfId="120" applyNumberFormat="1" applyFont="1" applyFill="1" applyBorder="1" applyAlignment="1">
      <alignment horizontal="center" vertical="center" wrapText="1"/>
      <protection/>
    </xf>
    <xf numFmtId="2" fontId="23" fillId="33" borderId="10" xfId="120" applyNumberFormat="1" applyFont="1" applyFill="1" applyBorder="1" applyAlignment="1" applyProtection="1">
      <alignment horizontal="center" vertical="center" wrapText="1"/>
      <protection locked="0"/>
    </xf>
    <xf numFmtId="0" fontId="23" fillId="33" borderId="10" xfId="122" applyFont="1" applyFill="1" applyBorder="1" applyAlignment="1">
      <alignment horizontal="center" vertical="center" wrapText="1"/>
      <protection/>
    </xf>
    <xf numFmtId="0" fontId="23" fillId="33" borderId="10" xfId="87" applyFont="1" applyFill="1" applyBorder="1" applyAlignment="1">
      <alignment horizontal="center" vertical="center" wrapText="1"/>
      <protection/>
    </xf>
    <xf numFmtId="49" fontId="23" fillId="33" borderId="10" xfId="110" applyNumberFormat="1" applyFont="1" applyFill="1" applyBorder="1" applyAlignment="1">
      <alignment horizontal="center" vertical="center" wrapText="1"/>
      <protection/>
    </xf>
    <xf numFmtId="2" fontId="23" fillId="33" borderId="10" xfId="110" applyNumberFormat="1" applyFont="1" applyFill="1" applyBorder="1" applyAlignment="1">
      <alignment horizontal="center" vertical="center" wrapText="1"/>
      <protection/>
    </xf>
    <xf numFmtId="0" fontId="23" fillId="33" borderId="10" xfId="110" applyFont="1" applyFill="1" applyBorder="1" applyAlignment="1">
      <alignment horizontal="center" vertical="center" wrapText="1"/>
      <protection/>
    </xf>
    <xf numFmtId="0" fontId="23" fillId="33" borderId="10" xfId="130" applyFont="1" applyFill="1" applyBorder="1" applyAlignment="1">
      <alignment horizontal="center" vertical="center"/>
      <protection/>
    </xf>
    <xf numFmtId="2" fontId="23" fillId="33" borderId="10" xfId="130" applyNumberFormat="1" applyFont="1" applyFill="1" applyBorder="1" applyAlignment="1">
      <alignment horizontal="center" vertical="center"/>
      <protection/>
    </xf>
    <xf numFmtId="0" fontId="23" fillId="33" borderId="10" xfId="130" applyFont="1" applyFill="1" applyBorder="1" applyAlignment="1">
      <alignment horizontal="center" vertical="center" wrapText="1"/>
      <protection/>
    </xf>
    <xf numFmtId="2" fontId="23" fillId="33" borderId="10" xfId="120" applyNumberFormat="1" applyFont="1" applyFill="1" applyBorder="1" applyAlignment="1">
      <alignment horizontal="center" vertical="center" wrapText="1"/>
      <protection/>
    </xf>
    <xf numFmtId="179" fontId="23" fillId="33" borderId="10" xfId="120" applyNumberFormat="1" applyFont="1" applyFill="1" applyBorder="1" applyAlignment="1" applyProtection="1">
      <alignment horizontal="center" vertical="center" wrapText="1"/>
      <protection locked="0"/>
    </xf>
    <xf numFmtId="178" fontId="23" fillId="33" borderId="10" xfId="120" applyNumberFormat="1" applyFont="1" applyFill="1" applyBorder="1" applyAlignment="1" applyProtection="1">
      <alignment horizontal="center" vertical="center" wrapText="1"/>
      <protection locked="0"/>
    </xf>
    <xf numFmtId="0" fontId="23" fillId="33" borderId="10" xfId="120" applyFont="1" applyFill="1" applyBorder="1" applyAlignment="1">
      <alignment horizontal="center" vertical="center" wrapText="1"/>
      <protection/>
    </xf>
    <xf numFmtId="0" fontId="23" fillId="33" borderId="10" xfId="155" applyFont="1" applyFill="1" applyBorder="1" applyAlignment="1">
      <alignment horizontal="center" vertical="center" wrapText="1"/>
      <protection/>
    </xf>
    <xf numFmtId="0" fontId="27" fillId="33" borderId="0" xfId="0" applyNumberFormat="1" applyFont="1" applyFill="1" applyAlignment="1">
      <alignment horizontal="center" vertical="center"/>
    </xf>
    <xf numFmtId="0" fontId="23" fillId="33" borderId="0" xfId="107" applyFont="1" applyFill="1">
      <alignment/>
      <protection/>
    </xf>
    <xf numFmtId="2" fontId="23" fillId="33" borderId="10" xfId="131" applyNumberFormat="1" applyFont="1" applyFill="1" applyBorder="1" applyAlignment="1">
      <alignment horizontal="center" vertical="center" wrapText="1"/>
      <protection/>
    </xf>
    <xf numFmtId="0" fontId="23" fillId="33" borderId="0" xfId="107" applyFont="1" applyFill="1" applyAlignment="1">
      <alignment horizontal="center" vertical="center"/>
      <protection/>
    </xf>
    <xf numFmtId="0" fontId="23" fillId="33" borderId="10" xfId="114" applyFont="1" applyFill="1" applyBorder="1" applyAlignment="1">
      <alignment horizontal="center" vertical="center" wrapText="1"/>
      <protection/>
    </xf>
    <xf numFmtId="0" fontId="28" fillId="33" borderId="0" xfId="0" applyFont="1" applyFill="1" applyAlignment="1">
      <alignment/>
    </xf>
    <xf numFmtId="0" fontId="28" fillId="33" borderId="0" xfId="0" applyFont="1" applyFill="1" applyAlignment="1">
      <alignment horizontal="center" vertical="center"/>
    </xf>
    <xf numFmtId="0" fontId="23" fillId="33" borderId="10" xfId="115" applyFont="1" applyFill="1" applyBorder="1" applyAlignment="1">
      <alignment horizontal="center" vertical="center" wrapText="1"/>
      <protection/>
    </xf>
    <xf numFmtId="180" fontId="23" fillId="33" borderId="10" xfId="155" applyNumberFormat="1" applyFont="1" applyFill="1" applyBorder="1" applyAlignment="1">
      <alignment horizontal="center" vertical="center" wrapText="1"/>
      <protection/>
    </xf>
    <xf numFmtId="178" fontId="23" fillId="33" borderId="10" xfId="0" applyNumberFormat="1" applyFont="1" applyFill="1" applyBorder="1" applyAlignment="1">
      <alignment horizontal="center" vertical="center"/>
    </xf>
    <xf numFmtId="0" fontId="23" fillId="33" borderId="0" xfId="0" applyNumberFormat="1" applyFont="1" applyFill="1" applyAlignment="1">
      <alignment horizontal="center" vertical="center" wrapText="1"/>
    </xf>
    <xf numFmtId="2" fontId="23" fillId="33" borderId="10" xfId="72" applyNumberFormat="1" applyFont="1" applyFill="1" applyBorder="1" applyAlignment="1">
      <alignment horizontal="center" vertical="center"/>
      <protection/>
    </xf>
    <xf numFmtId="0" fontId="23" fillId="33" borderId="10" xfId="109" applyFont="1" applyFill="1" applyBorder="1" applyAlignment="1">
      <alignment horizontal="center" vertical="center" wrapText="1"/>
      <protection/>
    </xf>
    <xf numFmtId="49" fontId="23" fillId="33" borderId="0" xfId="120" applyNumberFormat="1" applyFont="1" applyFill="1" applyAlignment="1">
      <alignment horizontal="center" vertical="center" wrapText="1"/>
      <protection/>
    </xf>
    <xf numFmtId="0" fontId="28" fillId="33" borderId="0" xfId="120" applyFont="1" applyFill="1" applyAlignment="1">
      <alignment horizontal="center" vertical="center" wrapText="1"/>
      <protection/>
    </xf>
    <xf numFmtId="178" fontId="23" fillId="33" borderId="10" xfId="120" applyNumberFormat="1" applyFont="1" applyFill="1" applyBorder="1" applyAlignment="1">
      <alignment horizontal="center" vertical="center" wrapText="1"/>
      <protection/>
    </xf>
    <xf numFmtId="49" fontId="23" fillId="33" borderId="10" xfId="116" applyNumberFormat="1" applyFont="1" applyFill="1" applyBorder="1" applyAlignment="1">
      <alignment horizontal="center" vertical="center" wrapText="1"/>
      <protection/>
    </xf>
    <xf numFmtId="0" fontId="23" fillId="33" borderId="10" xfId="107" applyFont="1" applyFill="1" applyBorder="1" applyAlignment="1">
      <alignment horizontal="center" vertical="center" wrapText="1"/>
      <protection/>
    </xf>
    <xf numFmtId="0" fontId="23" fillId="33" borderId="10" xfId="147" applyNumberFormat="1" applyFont="1" applyFill="1" applyBorder="1" applyAlignment="1">
      <alignment horizontal="center" vertical="center" wrapText="1"/>
    </xf>
    <xf numFmtId="0" fontId="23" fillId="33" borderId="0" xfId="107" applyFont="1" applyFill="1" applyAlignment="1">
      <alignment horizontal="center" vertical="center" wrapText="1"/>
      <protection/>
    </xf>
    <xf numFmtId="2" fontId="23" fillId="33" borderId="10" xfId="140" applyNumberFormat="1" applyFont="1" applyFill="1" applyBorder="1" applyAlignment="1">
      <alignment horizontal="center" vertical="center"/>
      <protection/>
    </xf>
    <xf numFmtId="177" fontId="23" fillId="33" borderId="10" xfId="47" applyFont="1" applyFill="1" applyBorder="1" applyAlignment="1">
      <alignment horizontal="center" vertical="center"/>
    </xf>
    <xf numFmtId="2" fontId="23" fillId="33" borderId="10" xfId="147" applyNumberFormat="1" applyFont="1" applyFill="1" applyBorder="1" applyAlignment="1">
      <alignment horizontal="center" vertical="center" wrapText="1"/>
    </xf>
    <xf numFmtId="0" fontId="23" fillId="33" borderId="0" xfId="0" applyFont="1" applyFill="1" applyAlignment="1">
      <alignment vertical="center"/>
    </xf>
    <xf numFmtId="0" fontId="23" fillId="33" borderId="0" xfId="0" applyFont="1" applyFill="1" applyAlignment="1">
      <alignment horizontal="center" vertical="center" wrapText="1"/>
    </xf>
    <xf numFmtId="1" fontId="23" fillId="33" borderId="10" xfId="67" applyNumberFormat="1" applyFont="1" applyFill="1" applyBorder="1" applyAlignment="1">
      <alignment horizontal="center" vertical="center"/>
      <protection/>
    </xf>
    <xf numFmtId="1" fontId="23" fillId="33" borderId="10" xfId="131" applyNumberFormat="1" applyFont="1" applyFill="1" applyBorder="1" applyAlignment="1">
      <alignment horizontal="center" vertical="center"/>
      <protection/>
    </xf>
    <xf numFmtId="0" fontId="23" fillId="33" borderId="10" xfId="131" applyFont="1" applyFill="1" applyBorder="1" applyAlignment="1">
      <alignment horizontal="center" vertical="center" wrapText="1"/>
      <protection/>
    </xf>
    <xf numFmtId="1" fontId="23" fillId="33" borderId="10" xfId="124" applyNumberFormat="1" applyFont="1" applyFill="1" applyBorder="1" applyAlignment="1">
      <alignment horizontal="center" vertical="center"/>
      <protection/>
    </xf>
    <xf numFmtId="179" fontId="23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23" fillId="33" borderId="0" xfId="0" applyNumberFormat="1" applyFont="1" applyFill="1" applyAlignment="1">
      <alignment horizontal="center" vertical="center"/>
    </xf>
    <xf numFmtId="180" fontId="23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23" fillId="33" borderId="10" xfId="0" applyNumberFormat="1" applyFont="1" applyFill="1" applyBorder="1" applyAlignment="1">
      <alignment horizontal="center" vertical="center"/>
    </xf>
    <xf numFmtId="1" fontId="23" fillId="35" borderId="10" xfId="0" applyNumberFormat="1" applyFont="1" applyFill="1" applyBorder="1" applyAlignment="1">
      <alignment horizontal="center" vertical="center" wrapText="1"/>
    </xf>
    <xf numFmtId="2" fontId="23" fillId="33" borderId="10" xfId="155" applyNumberFormat="1" applyFont="1" applyFill="1" applyBorder="1" applyAlignment="1">
      <alignment horizontal="center" vertical="center" wrapText="1"/>
      <protection/>
    </xf>
    <xf numFmtId="1" fontId="23" fillId="33" borderId="10" xfId="109" applyNumberFormat="1" applyFont="1" applyFill="1" applyBorder="1" applyAlignment="1">
      <alignment horizontal="center" vertical="center" wrapText="1"/>
      <protection/>
    </xf>
    <xf numFmtId="1" fontId="23" fillId="33" borderId="10" xfId="107" applyNumberFormat="1" applyFont="1" applyFill="1" applyBorder="1" applyAlignment="1">
      <alignment horizontal="center" vertical="center" wrapText="1"/>
      <protection/>
    </xf>
    <xf numFmtId="178" fontId="23" fillId="33" borderId="10" xfId="147" applyNumberFormat="1" applyFont="1" applyFill="1" applyBorder="1" applyAlignment="1">
      <alignment horizontal="center" vertical="center" wrapText="1"/>
    </xf>
    <xf numFmtId="1" fontId="23" fillId="33" borderId="14" xfId="130" applyNumberFormat="1" applyFont="1" applyFill="1" applyBorder="1" applyAlignment="1">
      <alignment horizontal="center" vertical="center"/>
      <protection/>
    </xf>
    <xf numFmtId="0" fontId="23" fillId="33" borderId="10" xfId="157" applyFont="1" applyFill="1" applyBorder="1" applyAlignment="1">
      <alignment horizontal="center" vertical="center" wrapText="1"/>
      <protection/>
    </xf>
    <xf numFmtId="191" fontId="25" fillId="33" borderId="10" xfId="137" applyNumberFormat="1" applyFont="1" applyFill="1" applyBorder="1" applyAlignment="1">
      <alignment horizontal="center" vertical="center" wrapText="1"/>
      <protection/>
    </xf>
    <xf numFmtId="191" fontId="23" fillId="33" borderId="10" xfId="137" applyNumberFormat="1" applyFont="1" applyFill="1" applyBorder="1" applyAlignment="1">
      <alignment horizontal="center" vertical="center" wrapText="1"/>
      <protection/>
    </xf>
    <xf numFmtId="0" fontId="72" fillId="33" borderId="0" xfId="0" applyFont="1" applyFill="1" applyAlignment="1">
      <alignment vertical="center"/>
    </xf>
    <xf numFmtId="0" fontId="3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9" fillId="0" borderId="0" xfId="133" applyFont="1" applyFill="1" applyBorder="1" applyAlignment="1">
      <alignment horizontal="center"/>
      <protection/>
    </xf>
    <xf numFmtId="0" fontId="29" fillId="0" borderId="0" xfId="133" applyFont="1" applyFill="1" applyAlignment="1">
      <alignment horizontal="center"/>
      <protection/>
    </xf>
    <xf numFmtId="0" fontId="29" fillId="0" borderId="0" xfId="139" applyFont="1" applyFill="1" applyBorder="1" applyAlignment="1">
      <alignment horizontal="center"/>
      <protection/>
    </xf>
    <xf numFmtId="0" fontId="29" fillId="0" borderId="0" xfId="139" applyFont="1" applyFill="1" applyAlignment="1">
      <alignment horizontal="center"/>
      <protection/>
    </xf>
    <xf numFmtId="179" fontId="23" fillId="33" borderId="10" xfId="131" applyNumberFormat="1" applyFont="1" applyFill="1" applyBorder="1" applyAlignment="1">
      <alignment horizontal="center" vertical="center" wrapText="1"/>
      <protection/>
    </xf>
    <xf numFmtId="0" fontId="23" fillId="33" borderId="10" xfId="77" applyFont="1" applyFill="1" applyBorder="1" applyAlignment="1">
      <alignment horizontal="center" vertical="center" wrapText="1"/>
      <protection/>
    </xf>
    <xf numFmtId="0" fontId="23" fillId="33" borderId="10" xfId="120" applyFont="1" applyFill="1" applyBorder="1" applyAlignment="1" applyProtection="1">
      <alignment horizontal="center" vertical="center" wrapText="1"/>
      <protection locked="0"/>
    </xf>
    <xf numFmtId="0" fontId="23" fillId="33" borderId="10" xfId="107" applyFont="1" applyFill="1" applyBorder="1" applyAlignment="1">
      <alignment horizontal="center" vertical="center"/>
      <protection/>
    </xf>
    <xf numFmtId="2" fontId="23" fillId="0" borderId="0" xfId="0" applyNumberFormat="1" applyFont="1" applyAlignment="1">
      <alignment horizontal="center" vertical="center"/>
    </xf>
    <xf numFmtId="49" fontId="23" fillId="0" borderId="10" xfId="63" applyNumberFormat="1" applyFont="1" applyFill="1" applyBorder="1" applyAlignment="1">
      <alignment horizontal="center" vertical="center" wrapText="1"/>
      <protection/>
    </xf>
    <xf numFmtId="178" fontId="23" fillId="33" borderId="10" xfId="97" applyNumberFormat="1" applyFont="1" applyFill="1" applyBorder="1" applyAlignment="1" applyProtection="1">
      <alignment horizontal="center" vertical="center" wrapText="1"/>
      <protection locked="0"/>
    </xf>
    <xf numFmtId="178" fontId="23" fillId="0" borderId="10" xfId="97" applyNumberFormat="1" applyFont="1" applyBorder="1" applyAlignment="1" applyProtection="1">
      <alignment horizontal="center" vertical="center" wrapText="1"/>
      <protection locked="0"/>
    </xf>
    <xf numFmtId="0" fontId="23" fillId="0" borderId="0" xfId="63" applyNumberFormat="1" applyFont="1" applyAlignment="1">
      <alignment horizontal="center" vertical="center"/>
      <protection/>
    </xf>
    <xf numFmtId="0" fontId="19" fillId="0" borderId="0" xfId="63" applyNumberFormat="1" applyFont="1" applyAlignment="1">
      <alignment horizontal="center" vertical="center"/>
      <protection/>
    </xf>
    <xf numFmtId="1" fontId="23" fillId="0" borderId="10" xfId="63" applyNumberFormat="1" applyFont="1" applyFill="1" applyBorder="1" applyAlignment="1">
      <alignment horizontal="center" vertical="center" wrapText="1"/>
      <protection/>
    </xf>
    <xf numFmtId="0" fontId="23" fillId="33" borderId="10" xfId="87" applyNumberFormat="1" applyFont="1" applyFill="1" applyBorder="1" applyAlignment="1" applyProtection="1">
      <alignment horizontal="center" vertical="center" wrapText="1"/>
      <protection/>
    </xf>
    <xf numFmtId="49" fontId="23" fillId="33" borderId="15" xfId="137" applyNumberFormat="1" applyFont="1" applyFill="1" applyBorder="1" applyAlignment="1">
      <alignment horizontal="center" vertical="center" wrapText="1"/>
      <protection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3" fillId="33" borderId="0" xfId="110" applyFont="1" applyFill="1" applyAlignment="1">
      <alignment horizontal="center"/>
      <protection/>
    </xf>
    <xf numFmtId="0" fontId="74" fillId="33" borderId="0" xfId="0" applyFont="1" applyFill="1" applyAlignment="1">
      <alignment horizontal="center" vertical="center" wrapText="1"/>
    </xf>
    <xf numFmtId="0" fontId="24" fillId="33" borderId="0" xfId="110" applyFont="1" applyFill="1" applyAlignment="1">
      <alignment horizontal="center"/>
      <protection/>
    </xf>
    <xf numFmtId="0" fontId="32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49" fontId="23" fillId="33" borderId="16" xfId="0" applyNumberFormat="1" applyFont="1" applyFill="1" applyBorder="1" applyAlignment="1">
      <alignment horizontal="center" vertical="center" wrapText="1"/>
    </xf>
    <xf numFmtId="49" fontId="23" fillId="33" borderId="17" xfId="0" applyNumberFormat="1" applyFont="1" applyFill="1" applyBorder="1" applyAlignment="1">
      <alignment horizontal="center" vertical="center" wrapText="1"/>
    </xf>
    <xf numFmtId="49" fontId="23" fillId="33" borderId="18" xfId="0" applyNumberFormat="1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0" fontId="23" fillId="33" borderId="18" xfId="0" applyFont="1" applyFill="1" applyBorder="1" applyAlignment="1">
      <alignment horizontal="center" vertical="center"/>
    </xf>
    <xf numFmtId="0" fontId="33" fillId="0" borderId="0" xfId="139" applyFont="1" applyFill="1" applyAlignment="1">
      <alignment horizontal="center" wrapText="1"/>
      <protection/>
    </xf>
    <xf numFmtId="0" fontId="23" fillId="33" borderId="16" xfId="0" applyNumberFormat="1" applyFont="1" applyFill="1" applyBorder="1" applyAlignment="1">
      <alignment horizontal="center" vertical="center" wrapText="1"/>
    </xf>
    <xf numFmtId="0" fontId="23" fillId="33" borderId="17" xfId="0" applyNumberFormat="1" applyFont="1" applyFill="1" applyBorder="1" applyAlignment="1">
      <alignment horizontal="center" vertical="center" wrapText="1"/>
    </xf>
    <xf numFmtId="0" fontId="23" fillId="33" borderId="18" xfId="0" applyNumberFormat="1" applyFont="1" applyFill="1" applyBorder="1" applyAlignment="1">
      <alignment horizontal="center" vertical="center" wrapText="1"/>
    </xf>
    <xf numFmtId="0" fontId="30" fillId="0" borderId="0" xfId="139" applyFont="1" applyFill="1" applyAlignment="1">
      <alignment horizontal="center" wrapText="1"/>
      <protection/>
    </xf>
  </cellXfs>
  <cellStyles count="1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 3" xfId="46"/>
    <cellStyle name="Comma 3" xfId="47"/>
    <cellStyle name="Comma 3 2" xfId="48"/>
    <cellStyle name="Comma 4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0" xfId="63"/>
    <cellStyle name="Normal 11 2" xfId="64"/>
    <cellStyle name="Normal 11 2 2" xfId="65"/>
    <cellStyle name="Normal 13" xfId="66"/>
    <cellStyle name="Normal 13 2 3" xfId="67"/>
    <cellStyle name="Normal 13 3" xfId="68"/>
    <cellStyle name="Normal 13 3 3" xfId="69"/>
    <cellStyle name="Normal 13 5" xfId="70"/>
    <cellStyle name="Normal 14 3" xfId="71"/>
    <cellStyle name="Normal 14 3 2" xfId="72"/>
    <cellStyle name="Normal 14_anakia II etapi.xls sm. defeqturi" xfId="73"/>
    <cellStyle name="Normal 17" xfId="74"/>
    <cellStyle name="Normal 2" xfId="75"/>
    <cellStyle name="Normal 2 10" xfId="76"/>
    <cellStyle name="Normal 2 11" xfId="77"/>
    <cellStyle name="Normal 2 13" xfId="78"/>
    <cellStyle name="Normal 2 13 2" xfId="79"/>
    <cellStyle name="Normal 2 2" xfId="80"/>
    <cellStyle name="Normal 2 2 2" xfId="81"/>
    <cellStyle name="Normal 2 3" xfId="82"/>
    <cellStyle name="Normal 2 3 2" xfId="83"/>
    <cellStyle name="Normal 2 4" xfId="84"/>
    <cellStyle name="Normal 2 7 2" xfId="85"/>
    <cellStyle name="Normal 29" xfId="86"/>
    <cellStyle name="Normal 3" xfId="87"/>
    <cellStyle name="Normal 3 2" xfId="88"/>
    <cellStyle name="Normal 3 2 2" xfId="89"/>
    <cellStyle name="Normal 3 3" xfId="90"/>
    <cellStyle name="Normal 3 5" xfId="91"/>
    <cellStyle name="Normal 33 2" xfId="92"/>
    <cellStyle name="Normal 36 2 2" xfId="93"/>
    <cellStyle name="Normal 4" xfId="94"/>
    <cellStyle name="Normal 4 3 2" xfId="95"/>
    <cellStyle name="Normal 44" xfId="96"/>
    <cellStyle name="Normal 48" xfId="97"/>
    <cellStyle name="Normal 49" xfId="98"/>
    <cellStyle name="Note" xfId="99"/>
    <cellStyle name="Note 2" xfId="100"/>
    <cellStyle name="Output" xfId="101"/>
    <cellStyle name="Percent" xfId="102"/>
    <cellStyle name="Percent 3" xfId="103"/>
    <cellStyle name="Title" xfId="104"/>
    <cellStyle name="Total" xfId="105"/>
    <cellStyle name="Warning Text" xfId="106"/>
    <cellStyle name="Обычный 12" xfId="107"/>
    <cellStyle name="Обычный 15" xfId="108"/>
    <cellStyle name="Обычный 2" xfId="109"/>
    <cellStyle name="Обычный 2 2" xfId="110"/>
    <cellStyle name="Обычный 2 2 2" xfId="111"/>
    <cellStyle name="Обычный 2 2 2 2" xfId="112"/>
    <cellStyle name="Обычный 2 2 3" xfId="113"/>
    <cellStyle name="Обычный 2 2_XIDI" xfId="114"/>
    <cellStyle name="Обычный 2 3" xfId="115"/>
    <cellStyle name="Обычный 2 3 2" xfId="116"/>
    <cellStyle name="Обычный 2 3 2 2" xfId="117"/>
    <cellStyle name="Обычный 2 3 3" xfId="118"/>
    <cellStyle name="Обычный 2 3 4" xfId="119"/>
    <cellStyle name="Обычный 2 4" xfId="120"/>
    <cellStyle name="Обычный 2 4 2" xfId="121"/>
    <cellStyle name="Обычный 2 9" xfId="122"/>
    <cellStyle name="Обычный 29" xfId="123"/>
    <cellStyle name="Обычный 3" xfId="124"/>
    <cellStyle name="Обычный 3 2" xfId="125"/>
    <cellStyle name="Обычный 3 3" xfId="126"/>
    <cellStyle name="Обычный 3 4" xfId="127"/>
    <cellStyle name="Обычный 3 4 2" xfId="128"/>
    <cellStyle name="Обычный 3 5" xfId="129"/>
    <cellStyle name="Обычный 3 6" xfId="130"/>
    <cellStyle name="Обычный 3 7" xfId="131"/>
    <cellStyle name="Обычный 4" xfId="132"/>
    <cellStyle name="Обычный 4 2" xfId="133"/>
    <cellStyle name="Обычный 4 3" xfId="134"/>
    <cellStyle name="Обычный 5" xfId="135"/>
    <cellStyle name="Обычный 6" xfId="136"/>
    <cellStyle name="Обычный 7" xfId="137"/>
    <cellStyle name="Обычный_eras 50-52" xfId="138"/>
    <cellStyle name="Обычный_SAN2008-I" xfId="139"/>
    <cellStyle name="Обычный_Лист1" xfId="140"/>
    <cellStyle name="Обычный_Лист1 2" xfId="141"/>
    <cellStyle name="Процентный 2" xfId="142"/>
    <cellStyle name="Финансовый 2" xfId="143"/>
    <cellStyle name="Финансовый 2 2 4" xfId="144"/>
    <cellStyle name="Финансовый 2 3" xfId="145"/>
    <cellStyle name="Финансовый 3" xfId="146"/>
    <cellStyle name="Финансовый 3 2" xfId="147"/>
    <cellStyle name="Финансовый 4" xfId="148"/>
    <cellStyle name="Финансовый 6" xfId="149"/>
    <cellStyle name="მძიმე 2" xfId="150"/>
    <cellStyle name="მძიმე 3" xfId="151"/>
    <cellStyle name="მძიმე 5" xfId="152"/>
    <cellStyle name="მძიმე 7 2" xfId="153"/>
    <cellStyle name="მძიმე 8" xfId="154"/>
    <cellStyle name="ჩვეულებრივი 2" xfId="155"/>
    <cellStyle name="ჩვეულებრივი 3" xfId="156"/>
    <cellStyle name="ჩვეულებრივი 3 2" xfId="157"/>
    <cellStyle name="ჩვეულებრივი 3 2 2" xfId="158"/>
    <cellStyle name="ჩვეულებრივი 4" xfId="159"/>
    <cellStyle name="ჩვეულებრივი 5" xfId="160"/>
    <cellStyle name="ჩვეულებრივი 6" xfId="161"/>
    <cellStyle name="ჩვეულებრივი 8 2" xfId="162"/>
  </cellStyles>
  <dxfs count="5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276225</xdr:colOff>
      <xdr:row>457</xdr:row>
      <xdr:rowOff>0</xdr:rowOff>
    </xdr:from>
    <xdr:ext cx="0" cy="171450"/>
    <xdr:sp fLocksText="0">
      <xdr:nvSpPr>
        <xdr:cNvPr id="1" name="ტექსტური ველი 1"/>
        <xdr:cNvSpPr txBox="1">
          <a:spLocks noChangeArrowheads="1"/>
        </xdr:cNvSpPr>
      </xdr:nvSpPr>
      <xdr:spPr>
        <a:xfrm>
          <a:off x="4829175" y="1106995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85725"/>
    <xdr:sp fLocksText="0">
      <xdr:nvSpPr>
        <xdr:cNvPr id="2" name="Text Box 2"/>
        <xdr:cNvSpPr txBox="1">
          <a:spLocks noChangeArrowheads="1"/>
        </xdr:cNvSpPr>
      </xdr:nvSpPr>
      <xdr:spPr>
        <a:xfrm>
          <a:off x="400050" y="110699550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6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7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8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9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0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1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2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3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4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5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6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7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8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9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0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1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2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3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4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5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6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7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8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9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0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9525"/>
    <xdr:sp fLocksText="0">
      <xdr:nvSpPr>
        <xdr:cNvPr id="31" name="Text Box 1"/>
        <xdr:cNvSpPr txBox="1">
          <a:spLocks noChangeArrowheads="1"/>
        </xdr:cNvSpPr>
      </xdr:nvSpPr>
      <xdr:spPr>
        <a:xfrm>
          <a:off x="400050" y="1106995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9525"/>
    <xdr:sp fLocksText="0">
      <xdr:nvSpPr>
        <xdr:cNvPr id="32" name="Text Box 1"/>
        <xdr:cNvSpPr txBox="1">
          <a:spLocks noChangeArrowheads="1"/>
        </xdr:cNvSpPr>
      </xdr:nvSpPr>
      <xdr:spPr>
        <a:xfrm>
          <a:off x="400050" y="1106995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85725"/>
    <xdr:sp fLocksText="0">
      <xdr:nvSpPr>
        <xdr:cNvPr id="33" name="Text Box 2"/>
        <xdr:cNvSpPr txBox="1">
          <a:spLocks noChangeArrowheads="1"/>
        </xdr:cNvSpPr>
      </xdr:nvSpPr>
      <xdr:spPr>
        <a:xfrm>
          <a:off x="400050" y="110699550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4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5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6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7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8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9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0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1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2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3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4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5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6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7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8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9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0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1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2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3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4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5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6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7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8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9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60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61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9525"/>
    <xdr:sp fLocksText="0">
      <xdr:nvSpPr>
        <xdr:cNvPr id="62" name="Text Box 1"/>
        <xdr:cNvSpPr txBox="1">
          <a:spLocks noChangeArrowheads="1"/>
        </xdr:cNvSpPr>
      </xdr:nvSpPr>
      <xdr:spPr>
        <a:xfrm>
          <a:off x="400050" y="1106995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9525"/>
    <xdr:sp fLocksText="0">
      <xdr:nvSpPr>
        <xdr:cNvPr id="63" name="Text Box 1"/>
        <xdr:cNvSpPr txBox="1">
          <a:spLocks noChangeArrowheads="1"/>
        </xdr:cNvSpPr>
      </xdr:nvSpPr>
      <xdr:spPr>
        <a:xfrm>
          <a:off x="400050" y="1106995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85725"/>
    <xdr:sp fLocksText="0">
      <xdr:nvSpPr>
        <xdr:cNvPr id="64" name="Text Box 2"/>
        <xdr:cNvSpPr txBox="1">
          <a:spLocks noChangeArrowheads="1"/>
        </xdr:cNvSpPr>
      </xdr:nvSpPr>
      <xdr:spPr>
        <a:xfrm>
          <a:off x="400050" y="110699550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9525"/>
    <xdr:sp fLocksText="0">
      <xdr:nvSpPr>
        <xdr:cNvPr id="65" name="Text Box 1"/>
        <xdr:cNvSpPr txBox="1">
          <a:spLocks noChangeArrowheads="1"/>
        </xdr:cNvSpPr>
      </xdr:nvSpPr>
      <xdr:spPr>
        <a:xfrm>
          <a:off x="400050" y="1106995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9525"/>
    <xdr:sp fLocksText="0">
      <xdr:nvSpPr>
        <xdr:cNvPr id="66" name="Text Box 1"/>
        <xdr:cNvSpPr txBox="1">
          <a:spLocks noChangeArrowheads="1"/>
        </xdr:cNvSpPr>
      </xdr:nvSpPr>
      <xdr:spPr>
        <a:xfrm>
          <a:off x="400050" y="1106995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67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68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69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70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71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72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73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74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75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76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77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78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79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80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81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82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83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84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85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86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87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88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89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90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91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92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93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94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9525"/>
    <xdr:sp fLocksText="0">
      <xdr:nvSpPr>
        <xdr:cNvPr id="95" name="Text Box 1"/>
        <xdr:cNvSpPr txBox="1">
          <a:spLocks noChangeArrowheads="1"/>
        </xdr:cNvSpPr>
      </xdr:nvSpPr>
      <xdr:spPr>
        <a:xfrm>
          <a:off x="400050" y="1106995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923925</xdr:colOff>
      <xdr:row>457</xdr:row>
      <xdr:rowOff>0</xdr:rowOff>
    </xdr:from>
    <xdr:ext cx="11868150" cy="66675"/>
    <xdr:sp fLocksText="0">
      <xdr:nvSpPr>
        <xdr:cNvPr id="96" name="Text Box 1"/>
        <xdr:cNvSpPr txBox="1">
          <a:spLocks noChangeArrowheads="1"/>
        </xdr:cNvSpPr>
      </xdr:nvSpPr>
      <xdr:spPr>
        <a:xfrm>
          <a:off x="1323975" y="110699550"/>
          <a:ext cx="118681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3448050</xdr:colOff>
      <xdr:row>457</xdr:row>
      <xdr:rowOff>0</xdr:rowOff>
    </xdr:from>
    <xdr:ext cx="5353050" cy="104775"/>
    <xdr:sp fLocksText="0">
      <xdr:nvSpPr>
        <xdr:cNvPr id="97" name="Text Box 2"/>
        <xdr:cNvSpPr txBox="1">
          <a:spLocks noChangeArrowheads="1"/>
        </xdr:cNvSpPr>
      </xdr:nvSpPr>
      <xdr:spPr>
        <a:xfrm>
          <a:off x="3848100" y="110699550"/>
          <a:ext cx="5353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98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99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00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01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02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03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04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05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06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07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08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09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10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11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12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13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14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15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16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17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18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19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20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21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22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23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24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85725"/>
    <xdr:sp fLocksText="0">
      <xdr:nvSpPr>
        <xdr:cNvPr id="125" name="Text Box 2"/>
        <xdr:cNvSpPr txBox="1">
          <a:spLocks noChangeArrowheads="1"/>
        </xdr:cNvSpPr>
      </xdr:nvSpPr>
      <xdr:spPr>
        <a:xfrm>
          <a:off x="400050" y="110699550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26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27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28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29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30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31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32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33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34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35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36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37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38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39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40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41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42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43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44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45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46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47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48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49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50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51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52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53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9525"/>
    <xdr:sp fLocksText="0">
      <xdr:nvSpPr>
        <xdr:cNvPr id="154" name="Text Box 1"/>
        <xdr:cNvSpPr txBox="1">
          <a:spLocks noChangeArrowheads="1"/>
        </xdr:cNvSpPr>
      </xdr:nvSpPr>
      <xdr:spPr>
        <a:xfrm>
          <a:off x="400050" y="1106995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9525"/>
    <xdr:sp fLocksText="0">
      <xdr:nvSpPr>
        <xdr:cNvPr id="155" name="Text Box 1"/>
        <xdr:cNvSpPr txBox="1">
          <a:spLocks noChangeArrowheads="1"/>
        </xdr:cNvSpPr>
      </xdr:nvSpPr>
      <xdr:spPr>
        <a:xfrm>
          <a:off x="400050" y="1106995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85725"/>
    <xdr:sp fLocksText="0">
      <xdr:nvSpPr>
        <xdr:cNvPr id="156" name="Text Box 2"/>
        <xdr:cNvSpPr txBox="1">
          <a:spLocks noChangeArrowheads="1"/>
        </xdr:cNvSpPr>
      </xdr:nvSpPr>
      <xdr:spPr>
        <a:xfrm>
          <a:off x="400050" y="110699550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57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58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59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60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61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62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63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64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65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66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67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68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69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70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71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72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73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74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75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76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77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78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79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80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81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82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83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84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9525"/>
    <xdr:sp fLocksText="0">
      <xdr:nvSpPr>
        <xdr:cNvPr id="185" name="Text Box 1"/>
        <xdr:cNvSpPr txBox="1">
          <a:spLocks noChangeArrowheads="1"/>
        </xdr:cNvSpPr>
      </xdr:nvSpPr>
      <xdr:spPr>
        <a:xfrm>
          <a:off x="400050" y="1106995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9525"/>
    <xdr:sp fLocksText="0">
      <xdr:nvSpPr>
        <xdr:cNvPr id="186" name="Text Box 1"/>
        <xdr:cNvSpPr txBox="1">
          <a:spLocks noChangeArrowheads="1"/>
        </xdr:cNvSpPr>
      </xdr:nvSpPr>
      <xdr:spPr>
        <a:xfrm>
          <a:off x="400050" y="1106995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85725"/>
    <xdr:sp fLocksText="0">
      <xdr:nvSpPr>
        <xdr:cNvPr id="187" name="Text Box 2"/>
        <xdr:cNvSpPr txBox="1">
          <a:spLocks noChangeArrowheads="1"/>
        </xdr:cNvSpPr>
      </xdr:nvSpPr>
      <xdr:spPr>
        <a:xfrm>
          <a:off x="400050" y="110699550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9525"/>
    <xdr:sp fLocksText="0">
      <xdr:nvSpPr>
        <xdr:cNvPr id="188" name="Text Box 1"/>
        <xdr:cNvSpPr txBox="1">
          <a:spLocks noChangeArrowheads="1"/>
        </xdr:cNvSpPr>
      </xdr:nvSpPr>
      <xdr:spPr>
        <a:xfrm>
          <a:off x="400050" y="1106995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9525"/>
    <xdr:sp fLocksText="0">
      <xdr:nvSpPr>
        <xdr:cNvPr id="189" name="Text Box 1"/>
        <xdr:cNvSpPr txBox="1">
          <a:spLocks noChangeArrowheads="1"/>
        </xdr:cNvSpPr>
      </xdr:nvSpPr>
      <xdr:spPr>
        <a:xfrm>
          <a:off x="400050" y="1106995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90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91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92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93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94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95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96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97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98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199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00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01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02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03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04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05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06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07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08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09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10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11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12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13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14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15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16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17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9525"/>
    <xdr:sp fLocksText="0">
      <xdr:nvSpPr>
        <xdr:cNvPr id="218" name="Text Box 1"/>
        <xdr:cNvSpPr txBox="1">
          <a:spLocks noChangeArrowheads="1"/>
        </xdr:cNvSpPr>
      </xdr:nvSpPr>
      <xdr:spPr>
        <a:xfrm>
          <a:off x="400050" y="1106995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923925</xdr:colOff>
      <xdr:row>457</xdr:row>
      <xdr:rowOff>0</xdr:rowOff>
    </xdr:from>
    <xdr:ext cx="11868150" cy="66675"/>
    <xdr:sp fLocksText="0">
      <xdr:nvSpPr>
        <xdr:cNvPr id="219" name="Text Box 1"/>
        <xdr:cNvSpPr txBox="1">
          <a:spLocks noChangeArrowheads="1"/>
        </xdr:cNvSpPr>
      </xdr:nvSpPr>
      <xdr:spPr>
        <a:xfrm>
          <a:off x="1323975" y="110699550"/>
          <a:ext cx="118681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3448050</xdr:colOff>
      <xdr:row>457</xdr:row>
      <xdr:rowOff>0</xdr:rowOff>
    </xdr:from>
    <xdr:ext cx="5353050" cy="104775"/>
    <xdr:sp fLocksText="0">
      <xdr:nvSpPr>
        <xdr:cNvPr id="220" name="Text Box 2"/>
        <xdr:cNvSpPr txBox="1">
          <a:spLocks noChangeArrowheads="1"/>
        </xdr:cNvSpPr>
      </xdr:nvSpPr>
      <xdr:spPr>
        <a:xfrm>
          <a:off x="3848100" y="110699550"/>
          <a:ext cx="5353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21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22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23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24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25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26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27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28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29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30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31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32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33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34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35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36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37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38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39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40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41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42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43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44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45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46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47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85725"/>
    <xdr:sp fLocksText="0">
      <xdr:nvSpPr>
        <xdr:cNvPr id="248" name="Text Box 2"/>
        <xdr:cNvSpPr txBox="1">
          <a:spLocks noChangeArrowheads="1"/>
        </xdr:cNvSpPr>
      </xdr:nvSpPr>
      <xdr:spPr>
        <a:xfrm>
          <a:off x="400050" y="110699550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49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50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51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52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53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54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55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56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57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58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59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60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61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62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63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64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65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66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67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68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69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70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71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72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73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74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75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76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9525"/>
    <xdr:sp fLocksText="0">
      <xdr:nvSpPr>
        <xdr:cNvPr id="277" name="Text Box 1"/>
        <xdr:cNvSpPr txBox="1">
          <a:spLocks noChangeArrowheads="1"/>
        </xdr:cNvSpPr>
      </xdr:nvSpPr>
      <xdr:spPr>
        <a:xfrm>
          <a:off x="400050" y="1106995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9525"/>
    <xdr:sp fLocksText="0">
      <xdr:nvSpPr>
        <xdr:cNvPr id="278" name="Text Box 1"/>
        <xdr:cNvSpPr txBox="1">
          <a:spLocks noChangeArrowheads="1"/>
        </xdr:cNvSpPr>
      </xdr:nvSpPr>
      <xdr:spPr>
        <a:xfrm>
          <a:off x="400050" y="1106995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85725"/>
    <xdr:sp fLocksText="0">
      <xdr:nvSpPr>
        <xdr:cNvPr id="279" name="Text Box 2"/>
        <xdr:cNvSpPr txBox="1">
          <a:spLocks noChangeArrowheads="1"/>
        </xdr:cNvSpPr>
      </xdr:nvSpPr>
      <xdr:spPr>
        <a:xfrm>
          <a:off x="400050" y="110699550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80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81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82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83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84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85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86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87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88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89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90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91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92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93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94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95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96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97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98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299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00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01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02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03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04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05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06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07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9525"/>
    <xdr:sp fLocksText="0">
      <xdr:nvSpPr>
        <xdr:cNvPr id="308" name="Text Box 1"/>
        <xdr:cNvSpPr txBox="1">
          <a:spLocks noChangeArrowheads="1"/>
        </xdr:cNvSpPr>
      </xdr:nvSpPr>
      <xdr:spPr>
        <a:xfrm>
          <a:off x="400050" y="1106995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9525"/>
    <xdr:sp fLocksText="0">
      <xdr:nvSpPr>
        <xdr:cNvPr id="309" name="Text Box 1"/>
        <xdr:cNvSpPr txBox="1">
          <a:spLocks noChangeArrowheads="1"/>
        </xdr:cNvSpPr>
      </xdr:nvSpPr>
      <xdr:spPr>
        <a:xfrm>
          <a:off x="400050" y="1106995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85725"/>
    <xdr:sp fLocksText="0">
      <xdr:nvSpPr>
        <xdr:cNvPr id="310" name="Text Box 2"/>
        <xdr:cNvSpPr txBox="1">
          <a:spLocks noChangeArrowheads="1"/>
        </xdr:cNvSpPr>
      </xdr:nvSpPr>
      <xdr:spPr>
        <a:xfrm>
          <a:off x="400050" y="110699550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9525"/>
    <xdr:sp fLocksText="0">
      <xdr:nvSpPr>
        <xdr:cNvPr id="311" name="Text Box 1"/>
        <xdr:cNvSpPr txBox="1">
          <a:spLocks noChangeArrowheads="1"/>
        </xdr:cNvSpPr>
      </xdr:nvSpPr>
      <xdr:spPr>
        <a:xfrm>
          <a:off x="400050" y="1106995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9525"/>
    <xdr:sp fLocksText="0">
      <xdr:nvSpPr>
        <xdr:cNvPr id="312" name="Text Box 1"/>
        <xdr:cNvSpPr txBox="1">
          <a:spLocks noChangeArrowheads="1"/>
        </xdr:cNvSpPr>
      </xdr:nvSpPr>
      <xdr:spPr>
        <a:xfrm>
          <a:off x="400050" y="1106995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13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14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15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16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17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18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19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20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21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22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23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24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25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26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27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28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29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30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31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32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33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34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35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36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37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38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39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40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9525"/>
    <xdr:sp fLocksText="0">
      <xdr:nvSpPr>
        <xdr:cNvPr id="341" name="Text Box 1"/>
        <xdr:cNvSpPr txBox="1">
          <a:spLocks noChangeArrowheads="1"/>
        </xdr:cNvSpPr>
      </xdr:nvSpPr>
      <xdr:spPr>
        <a:xfrm>
          <a:off x="400050" y="1106995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923925</xdr:colOff>
      <xdr:row>457</xdr:row>
      <xdr:rowOff>0</xdr:rowOff>
    </xdr:from>
    <xdr:ext cx="11868150" cy="66675"/>
    <xdr:sp fLocksText="0">
      <xdr:nvSpPr>
        <xdr:cNvPr id="342" name="Text Box 1"/>
        <xdr:cNvSpPr txBox="1">
          <a:spLocks noChangeArrowheads="1"/>
        </xdr:cNvSpPr>
      </xdr:nvSpPr>
      <xdr:spPr>
        <a:xfrm>
          <a:off x="1323975" y="110699550"/>
          <a:ext cx="118681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3448050</xdr:colOff>
      <xdr:row>457</xdr:row>
      <xdr:rowOff>0</xdr:rowOff>
    </xdr:from>
    <xdr:ext cx="5353050" cy="104775"/>
    <xdr:sp fLocksText="0">
      <xdr:nvSpPr>
        <xdr:cNvPr id="343" name="Text Box 2"/>
        <xdr:cNvSpPr txBox="1">
          <a:spLocks noChangeArrowheads="1"/>
        </xdr:cNvSpPr>
      </xdr:nvSpPr>
      <xdr:spPr>
        <a:xfrm>
          <a:off x="3848100" y="110699550"/>
          <a:ext cx="5353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44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45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46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47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48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49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50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51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52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53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54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55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56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57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58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59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60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61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62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63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64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65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66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67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68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69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70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85725"/>
    <xdr:sp fLocksText="0">
      <xdr:nvSpPr>
        <xdr:cNvPr id="371" name="Text Box 2"/>
        <xdr:cNvSpPr txBox="1">
          <a:spLocks noChangeArrowheads="1"/>
        </xdr:cNvSpPr>
      </xdr:nvSpPr>
      <xdr:spPr>
        <a:xfrm>
          <a:off x="400050" y="110699550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72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73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74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75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76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77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78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79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80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81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82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83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84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85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86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87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88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89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90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91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92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93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94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95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96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97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98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399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9525"/>
    <xdr:sp fLocksText="0">
      <xdr:nvSpPr>
        <xdr:cNvPr id="400" name="Text Box 1"/>
        <xdr:cNvSpPr txBox="1">
          <a:spLocks noChangeArrowheads="1"/>
        </xdr:cNvSpPr>
      </xdr:nvSpPr>
      <xdr:spPr>
        <a:xfrm>
          <a:off x="400050" y="1106995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9525"/>
    <xdr:sp fLocksText="0">
      <xdr:nvSpPr>
        <xdr:cNvPr id="401" name="Text Box 1"/>
        <xdr:cNvSpPr txBox="1">
          <a:spLocks noChangeArrowheads="1"/>
        </xdr:cNvSpPr>
      </xdr:nvSpPr>
      <xdr:spPr>
        <a:xfrm>
          <a:off x="400050" y="1106995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85725"/>
    <xdr:sp fLocksText="0">
      <xdr:nvSpPr>
        <xdr:cNvPr id="402" name="Text Box 2"/>
        <xdr:cNvSpPr txBox="1">
          <a:spLocks noChangeArrowheads="1"/>
        </xdr:cNvSpPr>
      </xdr:nvSpPr>
      <xdr:spPr>
        <a:xfrm>
          <a:off x="400050" y="110699550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03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04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05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06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07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08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09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10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11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12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13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14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15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16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17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18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19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20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21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22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23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24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25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26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27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28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29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30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9525"/>
    <xdr:sp fLocksText="0">
      <xdr:nvSpPr>
        <xdr:cNvPr id="431" name="Text Box 1"/>
        <xdr:cNvSpPr txBox="1">
          <a:spLocks noChangeArrowheads="1"/>
        </xdr:cNvSpPr>
      </xdr:nvSpPr>
      <xdr:spPr>
        <a:xfrm>
          <a:off x="400050" y="1106995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9525"/>
    <xdr:sp fLocksText="0">
      <xdr:nvSpPr>
        <xdr:cNvPr id="432" name="Text Box 1"/>
        <xdr:cNvSpPr txBox="1">
          <a:spLocks noChangeArrowheads="1"/>
        </xdr:cNvSpPr>
      </xdr:nvSpPr>
      <xdr:spPr>
        <a:xfrm>
          <a:off x="400050" y="1106995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85725"/>
    <xdr:sp fLocksText="0">
      <xdr:nvSpPr>
        <xdr:cNvPr id="433" name="Text Box 2"/>
        <xdr:cNvSpPr txBox="1">
          <a:spLocks noChangeArrowheads="1"/>
        </xdr:cNvSpPr>
      </xdr:nvSpPr>
      <xdr:spPr>
        <a:xfrm>
          <a:off x="400050" y="110699550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9525"/>
    <xdr:sp fLocksText="0">
      <xdr:nvSpPr>
        <xdr:cNvPr id="434" name="Text Box 1"/>
        <xdr:cNvSpPr txBox="1">
          <a:spLocks noChangeArrowheads="1"/>
        </xdr:cNvSpPr>
      </xdr:nvSpPr>
      <xdr:spPr>
        <a:xfrm>
          <a:off x="400050" y="1106995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9525"/>
    <xdr:sp fLocksText="0">
      <xdr:nvSpPr>
        <xdr:cNvPr id="435" name="Text Box 1"/>
        <xdr:cNvSpPr txBox="1">
          <a:spLocks noChangeArrowheads="1"/>
        </xdr:cNvSpPr>
      </xdr:nvSpPr>
      <xdr:spPr>
        <a:xfrm>
          <a:off x="400050" y="1106995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36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37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38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39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40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41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42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43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44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45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46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47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48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49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50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51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52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53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54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55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56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57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58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59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60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61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62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63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9525"/>
    <xdr:sp fLocksText="0">
      <xdr:nvSpPr>
        <xdr:cNvPr id="464" name="Text Box 1"/>
        <xdr:cNvSpPr txBox="1">
          <a:spLocks noChangeArrowheads="1"/>
        </xdr:cNvSpPr>
      </xdr:nvSpPr>
      <xdr:spPr>
        <a:xfrm>
          <a:off x="400050" y="1106995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923925</xdr:colOff>
      <xdr:row>457</xdr:row>
      <xdr:rowOff>0</xdr:rowOff>
    </xdr:from>
    <xdr:ext cx="11868150" cy="66675"/>
    <xdr:sp fLocksText="0">
      <xdr:nvSpPr>
        <xdr:cNvPr id="465" name="Text Box 1"/>
        <xdr:cNvSpPr txBox="1">
          <a:spLocks noChangeArrowheads="1"/>
        </xdr:cNvSpPr>
      </xdr:nvSpPr>
      <xdr:spPr>
        <a:xfrm>
          <a:off x="1323975" y="110699550"/>
          <a:ext cx="118681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3448050</xdr:colOff>
      <xdr:row>457</xdr:row>
      <xdr:rowOff>0</xdr:rowOff>
    </xdr:from>
    <xdr:ext cx="5353050" cy="104775"/>
    <xdr:sp fLocksText="0">
      <xdr:nvSpPr>
        <xdr:cNvPr id="466" name="Text Box 2"/>
        <xdr:cNvSpPr txBox="1">
          <a:spLocks noChangeArrowheads="1"/>
        </xdr:cNvSpPr>
      </xdr:nvSpPr>
      <xdr:spPr>
        <a:xfrm>
          <a:off x="3848100" y="110699550"/>
          <a:ext cx="5353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67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68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69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70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71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72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73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74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75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76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77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78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79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80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81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82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83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84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85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86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87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88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89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90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91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92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93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85725"/>
    <xdr:sp fLocksText="0">
      <xdr:nvSpPr>
        <xdr:cNvPr id="494" name="Text Box 2"/>
        <xdr:cNvSpPr txBox="1">
          <a:spLocks noChangeArrowheads="1"/>
        </xdr:cNvSpPr>
      </xdr:nvSpPr>
      <xdr:spPr>
        <a:xfrm>
          <a:off x="400050" y="110699550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95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96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97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98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499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00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01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02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03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04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05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06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07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08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09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10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11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12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13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14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15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16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17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18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19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20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21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22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9525"/>
    <xdr:sp fLocksText="0">
      <xdr:nvSpPr>
        <xdr:cNvPr id="523" name="Text Box 1"/>
        <xdr:cNvSpPr txBox="1">
          <a:spLocks noChangeArrowheads="1"/>
        </xdr:cNvSpPr>
      </xdr:nvSpPr>
      <xdr:spPr>
        <a:xfrm>
          <a:off x="400050" y="1106995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9525"/>
    <xdr:sp fLocksText="0">
      <xdr:nvSpPr>
        <xdr:cNvPr id="524" name="Text Box 1"/>
        <xdr:cNvSpPr txBox="1">
          <a:spLocks noChangeArrowheads="1"/>
        </xdr:cNvSpPr>
      </xdr:nvSpPr>
      <xdr:spPr>
        <a:xfrm>
          <a:off x="400050" y="1106995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85725"/>
    <xdr:sp fLocksText="0">
      <xdr:nvSpPr>
        <xdr:cNvPr id="525" name="Text Box 2"/>
        <xdr:cNvSpPr txBox="1">
          <a:spLocks noChangeArrowheads="1"/>
        </xdr:cNvSpPr>
      </xdr:nvSpPr>
      <xdr:spPr>
        <a:xfrm>
          <a:off x="400050" y="110699550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26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27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28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29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30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31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32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33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34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35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36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37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38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39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40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41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42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43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44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45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46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47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48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49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50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51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52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53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9525"/>
    <xdr:sp fLocksText="0">
      <xdr:nvSpPr>
        <xdr:cNvPr id="554" name="Text Box 1"/>
        <xdr:cNvSpPr txBox="1">
          <a:spLocks noChangeArrowheads="1"/>
        </xdr:cNvSpPr>
      </xdr:nvSpPr>
      <xdr:spPr>
        <a:xfrm>
          <a:off x="400050" y="1106995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9525"/>
    <xdr:sp fLocksText="0">
      <xdr:nvSpPr>
        <xdr:cNvPr id="555" name="Text Box 1"/>
        <xdr:cNvSpPr txBox="1">
          <a:spLocks noChangeArrowheads="1"/>
        </xdr:cNvSpPr>
      </xdr:nvSpPr>
      <xdr:spPr>
        <a:xfrm>
          <a:off x="400050" y="1106995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85725"/>
    <xdr:sp fLocksText="0">
      <xdr:nvSpPr>
        <xdr:cNvPr id="556" name="Text Box 2"/>
        <xdr:cNvSpPr txBox="1">
          <a:spLocks noChangeArrowheads="1"/>
        </xdr:cNvSpPr>
      </xdr:nvSpPr>
      <xdr:spPr>
        <a:xfrm>
          <a:off x="400050" y="110699550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9525"/>
    <xdr:sp fLocksText="0">
      <xdr:nvSpPr>
        <xdr:cNvPr id="557" name="Text Box 1"/>
        <xdr:cNvSpPr txBox="1">
          <a:spLocks noChangeArrowheads="1"/>
        </xdr:cNvSpPr>
      </xdr:nvSpPr>
      <xdr:spPr>
        <a:xfrm>
          <a:off x="400050" y="1106995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9525"/>
    <xdr:sp fLocksText="0">
      <xdr:nvSpPr>
        <xdr:cNvPr id="558" name="Text Box 1"/>
        <xdr:cNvSpPr txBox="1">
          <a:spLocks noChangeArrowheads="1"/>
        </xdr:cNvSpPr>
      </xdr:nvSpPr>
      <xdr:spPr>
        <a:xfrm>
          <a:off x="400050" y="1106995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59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60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61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62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63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64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65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66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67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68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69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70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71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72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73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74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75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76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77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78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79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80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81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82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83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84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85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86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9525"/>
    <xdr:sp fLocksText="0">
      <xdr:nvSpPr>
        <xdr:cNvPr id="587" name="Text Box 1"/>
        <xdr:cNvSpPr txBox="1">
          <a:spLocks noChangeArrowheads="1"/>
        </xdr:cNvSpPr>
      </xdr:nvSpPr>
      <xdr:spPr>
        <a:xfrm>
          <a:off x="400050" y="1106995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923925</xdr:colOff>
      <xdr:row>457</xdr:row>
      <xdr:rowOff>0</xdr:rowOff>
    </xdr:from>
    <xdr:ext cx="11868150" cy="66675"/>
    <xdr:sp fLocksText="0">
      <xdr:nvSpPr>
        <xdr:cNvPr id="588" name="Text Box 1"/>
        <xdr:cNvSpPr txBox="1">
          <a:spLocks noChangeArrowheads="1"/>
        </xdr:cNvSpPr>
      </xdr:nvSpPr>
      <xdr:spPr>
        <a:xfrm>
          <a:off x="1323975" y="110699550"/>
          <a:ext cx="118681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3448050</xdr:colOff>
      <xdr:row>457</xdr:row>
      <xdr:rowOff>0</xdr:rowOff>
    </xdr:from>
    <xdr:ext cx="5353050" cy="104775"/>
    <xdr:sp fLocksText="0">
      <xdr:nvSpPr>
        <xdr:cNvPr id="589" name="Text Box 2"/>
        <xdr:cNvSpPr txBox="1">
          <a:spLocks noChangeArrowheads="1"/>
        </xdr:cNvSpPr>
      </xdr:nvSpPr>
      <xdr:spPr>
        <a:xfrm>
          <a:off x="3848100" y="110699550"/>
          <a:ext cx="5353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90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91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92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93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94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95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96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97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98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599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600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601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602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603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604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605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606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607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608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609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610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611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612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613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614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615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285875"/>
    <xdr:sp fLocksText="0">
      <xdr:nvSpPr>
        <xdr:cNvPr id="616" name="Text Box 2"/>
        <xdr:cNvSpPr txBox="1">
          <a:spLocks noChangeArrowheads="1"/>
        </xdr:cNvSpPr>
      </xdr:nvSpPr>
      <xdr:spPr>
        <a:xfrm>
          <a:off x="400050" y="110699550"/>
          <a:ext cx="857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3</xdr:col>
      <xdr:colOff>276225</xdr:colOff>
      <xdr:row>457</xdr:row>
      <xdr:rowOff>0</xdr:rowOff>
    </xdr:from>
    <xdr:ext cx="0" cy="171450"/>
    <xdr:sp fLocksText="0">
      <xdr:nvSpPr>
        <xdr:cNvPr id="617" name="ტექსტური ველი 1"/>
        <xdr:cNvSpPr txBox="1">
          <a:spLocks noChangeArrowheads="1"/>
        </xdr:cNvSpPr>
      </xdr:nvSpPr>
      <xdr:spPr>
        <a:xfrm>
          <a:off x="4829175" y="1106995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3</xdr:col>
      <xdr:colOff>276225</xdr:colOff>
      <xdr:row>457</xdr:row>
      <xdr:rowOff>0</xdr:rowOff>
    </xdr:from>
    <xdr:ext cx="0" cy="171450"/>
    <xdr:sp fLocksText="0">
      <xdr:nvSpPr>
        <xdr:cNvPr id="618" name="ტექსტური ველი 2"/>
        <xdr:cNvSpPr txBox="1">
          <a:spLocks noChangeArrowheads="1"/>
        </xdr:cNvSpPr>
      </xdr:nvSpPr>
      <xdr:spPr>
        <a:xfrm>
          <a:off x="4829175" y="1106995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3</xdr:col>
      <xdr:colOff>276225</xdr:colOff>
      <xdr:row>457</xdr:row>
      <xdr:rowOff>0</xdr:rowOff>
    </xdr:from>
    <xdr:ext cx="0" cy="171450"/>
    <xdr:sp fLocksText="0">
      <xdr:nvSpPr>
        <xdr:cNvPr id="619" name="ტექსტური ველი 1"/>
        <xdr:cNvSpPr txBox="1">
          <a:spLocks noChangeArrowheads="1"/>
        </xdr:cNvSpPr>
      </xdr:nvSpPr>
      <xdr:spPr>
        <a:xfrm>
          <a:off x="4829175" y="1106995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3</xdr:col>
      <xdr:colOff>276225</xdr:colOff>
      <xdr:row>457</xdr:row>
      <xdr:rowOff>0</xdr:rowOff>
    </xdr:from>
    <xdr:ext cx="0" cy="171450"/>
    <xdr:sp fLocksText="0">
      <xdr:nvSpPr>
        <xdr:cNvPr id="620" name="ტექსტური ველი 2"/>
        <xdr:cNvSpPr txBox="1">
          <a:spLocks noChangeArrowheads="1"/>
        </xdr:cNvSpPr>
      </xdr:nvSpPr>
      <xdr:spPr>
        <a:xfrm>
          <a:off x="4829175" y="1106995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3</xdr:col>
      <xdr:colOff>276225</xdr:colOff>
      <xdr:row>457</xdr:row>
      <xdr:rowOff>0</xdr:rowOff>
    </xdr:from>
    <xdr:ext cx="0" cy="171450"/>
    <xdr:sp fLocksText="0">
      <xdr:nvSpPr>
        <xdr:cNvPr id="621" name="ტექსტური ველი 1"/>
        <xdr:cNvSpPr txBox="1">
          <a:spLocks noChangeArrowheads="1"/>
        </xdr:cNvSpPr>
      </xdr:nvSpPr>
      <xdr:spPr>
        <a:xfrm>
          <a:off x="4829175" y="1106995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3</xdr:col>
      <xdr:colOff>276225</xdr:colOff>
      <xdr:row>457</xdr:row>
      <xdr:rowOff>0</xdr:rowOff>
    </xdr:from>
    <xdr:ext cx="0" cy="171450"/>
    <xdr:sp fLocksText="0">
      <xdr:nvSpPr>
        <xdr:cNvPr id="622" name="ტექსტური ველი 2"/>
        <xdr:cNvSpPr txBox="1">
          <a:spLocks noChangeArrowheads="1"/>
        </xdr:cNvSpPr>
      </xdr:nvSpPr>
      <xdr:spPr>
        <a:xfrm>
          <a:off x="4829175" y="1106995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3</xdr:col>
      <xdr:colOff>276225</xdr:colOff>
      <xdr:row>457</xdr:row>
      <xdr:rowOff>0</xdr:rowOff>
    </xdr:from>
    <xdr:ext cx="0" cy="171450"/>
    <xdr:sp fLocksText="0">
      <xdr:nvSpPr>
        <xdr:cNvPr id="623" name="ტექსტური ველი 1"/>
        <xdr:cNvSpPr txBox="1">
          <a:spLocks noChangeArrowheads="1"/>
        </xdr:cNvSpPr>
      </xdr:nvSpPr>
      <xdr:spPr>
        <a:xfrm>
          <a:off x="4829175" y="1106995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3</xdr:col>
      <xdr:colOff>276225</xdr:colOff>
      <xdr:row>457</xdr:row>
      <xdr:rowOff>0</xdr:rowOff>
    </xdr:from>
    <xdr:ext cx="0" cy="171450"/>
    <xdr:sp fLocksText="0">
      <xdr:nvSpPr>
        <xdr:cNvPr id="624" name="ტექსტური ველი 2"/>
        <xdr:cNvSpPr txBox="1">
          <a:spLocks noChangeArrowheads="1"/>
        </xdr:cNvSpPr>
      </xdr:nvSpPr>
      <xdr:spPr>
        <a:xfrm>
          <a:off x="4829175" y="1106995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3</xdr:col>
      <xdr:colOff>276225</xdr:colOff>
      <xdr:row>457</xdr:row>
      <xdr:rowOff>0</xdr:rowOff>
    </xdr:from>
    <xdr:ext cx="0" cy="171450"/>
    <xdr:sp fLocksText="0">
      <xdr:nvSpPr>
        <xdr:cNvPr id="625" name="ტექსტური ველი 1"/>
        <xdr:cNvSpPr txBox="1">
          <a:spLocks noChangeArrowheads="1"/>
        </xdr:cNvSpPr>
      </xdr:nvSpPr>
      <xdr:spPr>
        <a:xfrm>
          <a:off x="4829175" y="1106995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3</xdr:col>
      <xdr:colOff>276225</xdr:colOff>
      <xdr:row>457</xdr:row>
      <xdr:rowOff>0</xdr:rowOff>
    </xdr:from>
    <xdr:ext cx="0" cy="171450"/>
    <xdr:sp fLocksText="0">
      <xdr:nvSpPr>
        <xdr:cNvPr id="626" name="ტექსტური ველი 2"/>
        <xdr:cNvSpPr txBox="1">
          <a:spLocks noChangeArrowheads="1"/>
        </xdr:cNvSpPr>
      </xdr:nvSpPr>
      <xdr:spPr>
        <a:xfrm>
          <a:off x="4829175" y="1106995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3</xdr:col>
      <xdr:colOff>276225</xdr:colOff>
      <xdr:row>457</xdr:row>
      <xdr:rowOff>0</xdr:rowOff>
    </xdr:from>
    <xdr:ext cx="0" cy="171450"/>
    <xdr:sp fLocksText="0">
      <xdr:nvSpPr>
        <xdr:cNvPr id="627" name="ტექსტური ველი 2"/>
        <xdr:cNvSpPr txBox="1">
          <a:spLocks noChangeArrowheads="1"/>
        </xdr:cNvSpPr>
      </xdr:nvSpPr>
      <xdr:spPr>
        <a:xfrm>
          <a:off x="4829175" y="1106995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3</xdr:col>
      <xdr:colOff>276225</xdr:colOff>
      <xdr:row>457</xdr:row>
      <xdr:rowOff>0</xdr:rowOff>
    </xdr:from>
    <xdr:ext cx="0" cy="171450"/>
    <xdr:sp fLocksText="0">
      <xdr:nvSpPr>
        <xdr:cNvPr id="628" name="ტექსტური ველი 1"/>
        <xdr:cNvSpPr txBox="1">
          <a:spLocks noChangeArrowheads="1"/>
        </xdr:cNvSpPr>
      </xdr:nvSpPr>
      <xdr:spPr>
        <a:xfrm>
          <a:off x="4829175" y="1106995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85725"/>
    <xdr:sp fLocksText="0">
      <xdr:nvSpPr>
        <xdr:cNvPr id="629" name="Text Box 2"/>
        <xdr:cNvSpPr txBox="1">
          <a:spLocks noChangeArrowheads="1"/>
        </xdr:cNvSpPr>
      </xdr:nvSpPr>
      <xdr:spPr>
        <a:xfrm>
          <a:off x="400050" y="110699550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630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631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632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633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634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635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636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637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638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639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640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641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642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643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644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645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646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647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648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649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650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651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652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653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654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655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656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657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9525"/>
    <xdr:sp fLocksText="0">
      <xdr:nvSpPr>
        <xdr:cNvPr id="658" name="Text Box 1"/>
        <xdr:cNvSpPr txBox="1">
          <a:spLocks noChangeArrowheads="1"/>
        </xdr:cNvSpPr>
      </xdr:nvSpPr>
      <xdr:spPr>
        <a:xfrm>
          <a:off x="400050" y="1106995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9525"/>
    <xdr:sp fLocksText="0">
      <xdr:nvSpPr>
        <xdr:cNvPr id="659" name="Text Box 1"/>
        <xdr:cNvSpPr txBox="1">
          <a:spLocks noChangeArrowheads="1"/>
        </xdr:cNvSpPr>
      </xdr:nvSpPr>
      <xdr:spPr>
        <a:xfrm>
          <a:off x="400050" y="1106995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85725"/>
    <xdr:sp fLocksText="0">
      <xdr:nvSpPr>
        <xdr:cNvPr id="660" name="Text Box 2"/>
        <xdr:cNvSpPr txBox="1">
          <a:spLocks noChangeArrowheads="1"/>
        </xdr:cNvSpPr>
      </xdr:nvSpPr>
      <xdr:spPr>
        <a:xfrm>
          <a:off x="400050" y="110699550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661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662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663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664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665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666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667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668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669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670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671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672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673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674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675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676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677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678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679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680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681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682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683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684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685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686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687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688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9525"/>
    <xdr:sp fLocksText="0">
      <xdr:nvSpPr>
        <xdr:cNvPr id="689" name="Text Box 1"/>
        <xdr:cNvSpPr txBox="1">
          <a:spLocks noChangeArrowheads="1"/>
        </xdr:cNvSpPr>
      </xdr:nvSpPr>
      <xdr:spPr>
        <a:xfrm>
          <a:off x="400050" y="1106995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9525"/>
    <xdr:sp fLocksText="0">
      <xdr:nvSpPr>
        <xdr:cNvPr id="690" name="Text Box 1"/>
        <xdr:cNvSpPr txBox="1">
          <a:spLocks noChangeArrowheads="1"/>
        </xdr:cNvSpPr>
      </xdr:nvSpPr>
      <xdr:spPr>
        <a:xfrm>
          <a:off x="400050" y="1106995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85725"/>
    <xdr:sp fLocksText="0">
      <xdr:nvSpPr>
        <xdr:cNvPr id="691" name="Text Box 2"/>
        <xdr:cNvSpPr txBox="1">
          <a:spLocks noChangeArrowheads="1"/>
        </xdr:cNvSpPr>
      </xdr:nvSpPr>
      <xdr:spPr>
        <a:xfrm>
          <a:off x="400050" y="110699550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9525"/>
    <xdr:sp fLocksText="0">
      <xdr:nvSpPr>
        <xdr:cNvPr id="692" name="Text Box 1"/>
        <xdr:cNvSpPr txBox="1">
          <a:spLocks noChangeArrowheads="1"/>
        </xdr:cNvSpPr>
      </xdr:nvSpPr>
      <xdr:spPr>
        <a:xfrm>
          <a:off x="400050" y="1106995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9525"/>
    <xdr:sp fLocksText="0">
      <xdr:nvSpPr>
        <xdr:cNvPr id="693" name="Text Box 1"/>
        <xdr:cNvSpPr txBox="1">
          <a:spLocks noChangeArrowheads="1"/>
        </xdr:cNvSpPr>
      </xdr:nvSpPr>
      <xdr:spPr>
        <a:xfrm>
          <a:off x="400050" y="1106995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694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695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696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697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698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699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700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701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702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703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704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705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706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707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708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709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710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711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712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713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714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715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716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717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718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719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720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721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9525"/>
    <xdr:sp fLocksText="0">
      <xdr:nvSpPr>
        <xdr:cNvPr id="722" name="Text Box 1"/>
        <xdr:cNvSpPr txBox="1">
          <a:spLocks noChangeArrowheads="1"/>
        </xdr:cNvSpPr>
      </xdr:nvSpPr>
      <xdr:spPr>
        <a:xfrm>
          <a:off x="400050" y="1106995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923925</xdr:colOff>
      <xdr:row>457</xdr:row>
      <xdr:rowOff>0</xdr:rowOff>
    </xdr:from>
    <xdr:ext cx="11868150" cy="66675"/>
    <xdr:sp fLocksText="0">
      <xdr:nvSpPr>
        <xdr:cNvPr id="723" name="Text Box 1"/>
        <xdr:cNvSpPr txBox="1">
          <a:spLocks noChangeArrowheads="1"/>
        </xdr:cNvSpPr>
      </xdr:nvSpPr>
      <xdr:spPr>
        <a:xfrm>
          <a:off x="1323975" y="110699550"/>
          <a:ext cx="118681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724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725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726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727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728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729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730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731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732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733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734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735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736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737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738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739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740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741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742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743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744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745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746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747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748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749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1762125"/>
    <xdr:sp fLocksText="0">
      <xdr:nvSpPr>
        <xdr:cNvPr id="750" name="Text Box 2"/>
        <xdr:cNvSpPr txBox="1">
          <a:spLocks noChangeArrowheads="1"/>
        </xdr:cNvSpPr>
      </xdr:nvSpPr>
      <xdr:spPr>
        <a:xfrm>
          <a:off x="400050" y="110699550"/>
          <a:ext cx="857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85725"/>
    <xdr:sp fLocksText="0">
      <xdr:nvSpPr>
        <xdr:cNvPr id="751" name="Text Box 2"/>
        <xdr:cNvSpPr txBox="1">
          <a:spLocks noChangeArrowheads="1"/>
        </xdr:cNvSpPr>
      </xdr:nvSpPr>
      <xdr:spPr>
        <a:xfrm>
          <a:off x="400050" y="110699550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9525"/>
    <xdr:sp fLocksText="0">
      <xdr:nvSpPr>
        <xdr:cNvPr id="752" name="Text Box 1"/>
        <xdr:cNvSpPr txBox="1">
          <a:spLocks noChangeArrowheads="1"/>
        </xdr:cNvSpPr>
      </xdr:nvSpPr>
      <xdr:spPr>
        <a:xfrm>
          <a:off x="400050" y="1106995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9525"/>
    <xdr:sp fLocksText="0">
      <xdr:nvSpPr>
        <xdr:cNvPr id="753" name="Text Box 1"/>
        <xdr:cNvSpPr txBox="1">
          <a:spLocks noChangeArrowheads="1"/>
        </xdr:cNvSpPr>
      </xdr:nvSpPr>
      <xdr:spPr>
        <a:xfrm>
          <a:off x="400050" y="1106995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85725"/>
    <xdr:sp fLocksText="0">
      <xdr:nvSpPr>
        <xdr:cNvPr id="754" name="Text Box 2"/>
        <xdr:cNvSpPr txBox="1">
          <a:spLocks noChangeArrowheads="1"/>
        </xdr:cNvSpPr>
      </xdr:nvSpPr>
      <xdr:spPr>
        <a:xfrm>
          <a:off x="400050" y="110699550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9525"/>
    <xdr:sp fLocksText="0">
      <xdr:nvSpPr>
        <xdr:cNvPr id="755" name="Text Box 1"/>
        <xdr:cNvSpPr txBox="1">
          <a:spLocks noChangeArrowheads="1"/>
        </xdr:cNvSpPr>
      </xdr:nvSpPr>
      <xdr:spPr>
        <a:xfrm>
          <a:off x="400050" y="1106995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9525"/>
    <xdr:sp fLocksText="0">
      <xdr:nvSpPr>
        <xdr:cNvPr id="756" name="Text Box 1"/>
        <xdr:cNvSpPr txBox="1">
          <a:spLocks noChangeArrowheads="1"/>
        </xdr:cNvSpPr>
      </xdr:nvSpPr>
      <xdr:spPr>
        <a:xfrm>
          <a:off x="400050" y="1106995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85725"/>
    <xdr:sp fLocksText="0">
      <xdr:nvSpPr>
        <xdr:cNvPr id="757" name="Text Box 2"/>
        <xdr:cNvSpPr txBox="1">
          <a:spLocks noChangeArrowheads="1"/>
        </xdr:cNvSpPr>
      </xdr:nvSpPr>
      <xdr:spPr>
        <a:xfrm>
          <a:off x="400050" y="110699550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9525"/>
    <xdr:sp fLocksText="0">
      <xdr:nvSpPr>
        <xdr:cNvPr id="758" name="Text Box 1"/>
        <xdr:cNvSpPr txBox="1">
          <a:spLocks noChangeArrowheads="1"/>
        </xdr:cNvSpPr>
      </xdr:nvSpPr>
      <xdr:spPr>
        <a:xfrm>
          <a:off x="400050" y="1106995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9525"/>
    <xdr:sp fLocksText="0">
      <xdr:nvSpPr>
        <xdr:cNvPr id="759" name="Text Box 1"/>
        <xdr:cNvSpPr txBox="1">
          <a:spLocks noChangeArrowheads="1"/>
        </xdr:cNvSpPr>
      </xdr:nvSpPr>
      <xdr:spPr>
        <a:xfrm>
          <a:off x="400050" y="1106995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9525"/>
    <xdr:sp fLocksText="0">
      <xdr:nvSpPr>
        <xdr:cNvPr id="760" name="Text Box 1"/>
        <xdr:cNvSpPr txBox="1">
          <a:spLocks noChangeArrowheads="1"/>
        </xdr:cNvSpPr>
      </xdr:nvSpPr>
      <xdr:spPr>
        <a:xfrm>
          <a:off x="400050" y="1106995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761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762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763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764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765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766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767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768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769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770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771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772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773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774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775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776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777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778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779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780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781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782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783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784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785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786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787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788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789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790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791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792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793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794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795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796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797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798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799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00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01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02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03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04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05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06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07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08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09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10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11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12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13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14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15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16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17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18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19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20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21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22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23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24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25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26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27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28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29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30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31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32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33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34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35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36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37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38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39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40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41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42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43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44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45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46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47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48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49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50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51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52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53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54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55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56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57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58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59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60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61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62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63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64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65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66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67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68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69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70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71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85725"/>
    <xdr:sp fLocksText="0">
      <xdr:nvSpPr>
        <xdr:cNvPr id="872" name="Text Box 2"/>
        <xdr:cNvSpPr txBox="1">
          <a:spLocks noChangeArrowheads="1"/>
        </xdr:cNvSpPr>
      </xdr:nvSpPr>
      <xdr:spPr>
        <a:xfrm>
          <a:off x="400050" y="110699550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73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74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75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76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77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78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79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80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81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82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83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84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85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86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87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88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89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90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91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92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93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94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95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96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97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98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899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900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9525"/>
    <xdr:sp fLocksText="0">
      <xdr:nvSpPr>
        <xdr:cNvPr id="901" name="Text Box 1"/>
        <xdr:cNvSpPr txBox="1">
          <a:spLocks noChangeArrowheads="1"/>
        </xdr:cNvSpPr>
      </xdr:nvSpPr>
      <xdr:spPr>
        <a:xfrm>
          <a:off x="400050" y="1106995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9525"/>
    <xdr:sp fLocksText="0">
      <xdr:nvSpPr>
        <xdr:cNvPr id="902" name="Text Box 1"/>
        <xdr:cNvSpPr txBox="1">
          <a:spLocks noChangeArrowheads="1"/>
        </xdr:cNvSpPr>
      </xdr:nvSpPr>
      <xdr:spPr>
        <a:xfrm>
          <a:off x="400050" y="1106995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85725"/>
    <xdr:sp fLocksText="0">
      <xdr:nvSpPr>
        <xdr:cNvPr id="903" name="Text Box 2"/>
        <xdr:cNvSpPr txBox="1">
          <a:spLocks noChangeArrowheads="1"/>
        </xdr:cNvSpPr>
      </xdr:nvSpPr>
      <xdr:spPr>
        <a:xfrm>
          <a:off x="400050" y="110699550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904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905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906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907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908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909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910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911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912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913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914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915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916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917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918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919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920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921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922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923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924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925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926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927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928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929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930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931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9525"/>
    <xdr:sp fLocksText="0">
      <xdr:nvSpPr>
        <xdr:cNvPr id="932" name="Text Box 1"/>
        <xdr:cNvSpPr txBox="1">
          <a:spLocks noChangeArrowheads="1"/>
        </xdr:cNvSpPr>
      </xdr:nvSpPr>
      <xdr:spPr>
        <a:xfrm>
          <a:off x="400050" y="1106995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9525"/>
    <xdr:sp fLocksText="0">
      <xdr:nvSpPr>
        <xdr:cNvPr id="933" name="Text Box 1"/>
        <xdr:cNvSpPr txBox="1">
          <a:spLocks noChangeArrowheads="1"/>
        </xdr:cNvSpPr>
      </xdr:nvSpPr>
      <xdr:spPr>
        <a:xfrm>
          <a:off x="400050" y="1106995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85725"/>
    <xdr:sp fLocksText="0">
      <xdr:nvSpPr>
        <xdr:cNvPr id="934" name="Text Box 2"/>
        <xdr:cNvSpPr txBox="1">
          <a:spLocks noChangeArrowheads="1"/>
        </xdr:cNvSpPr>
      </xdr:nvSpPr>
      <xdr:spPr>
        <a:xfrm>
          <a:off x="400050" y="110699550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9525"/>
    <xdr:sp fLocksText="0">
      <xdr:nvSpPr>
        <xdr:cNvPr id="935" name="Text Box 1"/>
        <xdr:cNvSpPr txBox="1">
          <a:spLocks noChangeArrowheads="1"/>
        </xdr:cNvSpPr>
      </xdr:nvSpPr>
      <xdr:spPr>
        <a:xfrm>
          <a:off x="400050" y="1106995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9525"/>
    <xdr:sp fLocksText="0">
      <xdr:nvSpPr>
        <xdr:cNvPr id="936" name="Text Box 1"/>
        <xdr:cNvSpPr txBox="1">
          <a:spLocks noChangeArrowheads="1"/>
        </xdr:cNvSpPr>
      </xdr:nvSpPr>
      <xdr:spPr>
        <a:xfrm>
          <a:off x="400050" y="1106995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937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938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939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940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941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942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943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944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945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946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947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948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949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950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951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952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953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954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955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956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957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958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959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960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961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962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963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964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9525"/>
    <xdr:sp fLocksText="0">
      <xdr:nvSpPr>
        <xdr:cNvPr id="965" name="Text Box 1"/>
        <xdr:cNvSpPr txBox="1">
          <a:spLocks noChangeArrowheads="1"/>
        </xdr:cNvSpPr>
      </xdr:nvSpPr>
      <xdr:spPr>
        <a:xfrm>
          <a:off x="400050" y="1106995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966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967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968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969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970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971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972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973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974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975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976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977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978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979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980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981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982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983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984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985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986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987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988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989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990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991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85725" cy="2390775"/>
    <xdr:sp fLocksText="0">
      <xdr:nvSpPr>
        <xdr:cNvPr id="992" name="Text Box 2"/>
        <xdr:cNvSpPr txBox="1">
          <a:spLocks noChangeArrowheads="1"/>
        </xdr:cNvSpPr>
      </xdr:nvSpPr>
      <xdr:spPr>
        <a:xfrm>
          <a:off x="400050" y="110699550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993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994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995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996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997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998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999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00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01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02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03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04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05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06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07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08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09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10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11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12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13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14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15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16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17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18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19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20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21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22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23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24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25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26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27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28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29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30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31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32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33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34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35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36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37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38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39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40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41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42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43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44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45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46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47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48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49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50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51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52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53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54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55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56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57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58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59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60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61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62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63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64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65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66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67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68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69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70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71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72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73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74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75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76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77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78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79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80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81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82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83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84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85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86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87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88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89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90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91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92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93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94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95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96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97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98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099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00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01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02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03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85725" cy="95250"/>
    <xdr:sp fLocksText="0">
      <xdr:nvSpPr>
        <xdr:cNvPr id="1104" name="Text Box 2"/>
        <xdr:cNvSpPr txBox="1">
          <a:spLocks noChangeArrowheads="1"/>
        </xdr:cNvSpPr>
      </xdr:nvSpPr>
      <xdr:spPr>
        <a:xfrm>
          <a:off x="0" y="45481875"/>
          <a:ext cx="857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05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06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07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08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09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10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11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12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13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14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15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16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17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18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19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20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21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22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23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24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25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26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27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28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29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30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31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32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85725" cy="9525"/>
    <xdr:sp fLocksText="0">
      <xdr:nvSpPr>
        <xdr:cNvPr id="1133" name="Text Box 1"/>
        <xdr:cNvSpPr txBox="1">
          <a:spLocks noChangeArrowheads="1"/>
        </xdr:cNvSpPr>
      </xdr:nvSpPr>
      <xdr:spPr>
        <a:xfrm>
          <a:off x="0" y="454818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85725" cy="9525"/>
    <xdr:sp fLocksText="0">
      <xdr:nvSpPr>
        <xdr:cNvPr id="1134" name="Text Box 1"/>
        <xdr:cNvSpPr txBox="1">
          <a:spLocks noChangeArrowheads="1"/>
        </xdr:cNvSpPr>
      </xdr:nvSpPr>
      <xdr:spPr>
        <a:xfrm>
          <a:off x="0" y="454818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85725" cy="95250"/>
    <xdr:sp fLocksText="0">
      <xdr:nvSpPr>
        <xdr:cNvPr id="1135" name="Text Box 2"/>
        <xdr:cNvSpPr txBox="1">
          <a:spLocks noChangeArrowheads="1"/>
        </xdr:cNvSpPr>
      </xdr:nvSpPr>
      <xdr:spPr>
        <a:xfrm>
          <a:off x="0" y="45481875"/>
          <a:ext cx="857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36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37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38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39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40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41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42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43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44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45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46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47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48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49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50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51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52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53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54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55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56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57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58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59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60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61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62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63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85725" cy="9525"/>
    <xdr:sp fLocksText="0">
      <xdr:nvSpPr>
        <xdr:cNvPr id="1164" name="Text Box 1"/>
        <xdr:cNvSpPr txBox="1">
          <a:spLocks noChangeArrowheads="1"/>
        </xdr:cNvSpPr>
      </xdr:nvSpPr>
      <xdr:spPr>
        <a:xfrm>
          <a:off x="0" y="454818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85725" cy="9525"/>
    <xdr:sp fLocksText="0">
      <xdr:nvSpPr>
        <xdr:cNvPr id="1165" name="Text Box 1"/>
        <xdr:cNvSpPr txBox="1">
          <a:spLocks noChangeArrowheads="1"/>
        </xdr:cNvSpPr>
      </xdr:nvSpPr>
      <xdr:spPr>
        <a:xfrm>
          <a:off x="0" y="454818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85725" cy="95250"/>
    <xdr:sp fLocksText="0">
      <xdr:nvSpPr>
        <xdr:cNvPr id="1166" name="Text Box 2"/>
        <xdr:cNvSpPr txBox="1">
          <a:spLocks noChangeArrowheads="1"/>
        </xdr:cNvSpPr>
      </xdr:nvSpPr>
      <xdr:spPr>
        <a:xfrm>
          <a:off x="0" y="45481875"/>
          <a:ext cx="857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85725" cy="9525"/>
    <xdr:sp fLocksText="0">
      <xdr:nvSpPr>
        <xdr:cNvPr id="1167" name="Text Box 1"/>
        <xdr:cNvSpPr txBox="1">
          <a:spLocks noChangeArrowheads="1"/>
        </xdr:cNvSpPr>
      </xdr:nvSpPr>
      <xdr:spPr>
        <a:xfrm>
          <a:off x="0" y="454818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85725" cy="9525"/>
    <xdr:sp fLocksText="0">
      <xdr:nvSpPr>
        <xdr:cNvPr id="1168" name="Text Box 1"/>
        <xdr:cNvSpPr txBox="1">
          <a:spLocks noChangeArrowheads="1"/>
        </xdr:cNvSpPr>
      </xdr:nvSpPr>
      <xdr:spPr>
        <a:xfrm>
          <a:off x="0" y="454818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69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70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71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72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73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74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75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76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77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78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79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80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81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82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83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84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85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86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87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88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89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90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91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92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93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94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95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96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85725" cy="9525"/>
    <xdr:sp fLocksText="0">
      <xdr:nvSpPr>
        <xdr:cNvPr id="1197" name="Text Box 1"/>
        <xdr:cNvSpPr txBox="1">
          <a:spLocks noChangeArrowheads="1"/>
        </xdr:cNvSpPr>
      </xdr:nvSpPr>
      <xdr:spPr>
        <a:xfrm>
          <a:off x="0" y="454818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923925</xdr:colOff>
      <xdr:row>204</xdr:row>
      <xdr:rowOff>0</xdr:rowOff>
    </xdr:from>
    <xdr:ext cx="11868150" cy="66675"/>
    <xdr:sp fLocksText="0">
      <xdr:nvSpPr>
        <xdr:cNvPr id="1198" name="Text Box 1"/>
        <xdr:cNvSpPr txBox="1">
          <a:spLocks noChangeArrowheads="1"/>
        </xdr:cNvSpPr>
      </xdr:nvSpPr>
      <xdr:spPr>
        <a:xfrm>
          <a:off x="1323975" y="45481875"/>
          <a:ext cx="118681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199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200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201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202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203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204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205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206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207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208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209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210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211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212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213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214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215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216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217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218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219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220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221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222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223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224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4429125"/>
    <xdr:sp fLocksText="0">
      <xdr:nvSpPr>
        <xdr:cNvPr id="1225" name="Text Box 2"/>
        <xdr:cNvSpPr txBox="1">
          <a:spLocks noChangeArrowheads="1"/>
        </xdr:cNvSpPr>
      </xdr:nvSpPr>
      <xdr:spPr>
        <a:xfrm>
          <a:off x="400050" y="45481875"/>
          <a:ext cx="857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226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227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228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229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230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231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232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233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234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235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236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237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238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239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240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241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242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243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244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245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246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247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248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249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250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251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252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253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254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255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256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257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258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259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260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261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262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263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264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265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266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267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268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269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270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271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272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273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274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275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276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277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278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279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280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281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282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283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284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285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286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287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288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289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290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291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292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293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294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295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296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297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298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299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00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01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02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03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04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05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06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07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08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09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10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11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12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13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14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15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16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17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18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19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20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21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22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23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24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25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26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27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28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29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30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31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32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33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34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35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36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85725" cy="85725"/>
    <xdr:sp fLocksText="0">
      <xdr:nvSpPr>
        <xdr:cNvPr id="1337" name="Text Box 2"/>
        <xdr:cNvSpPr txBox="1">
          <a:spLocks noChangeArrowheads="1"/>
        </xdr:cNvSpPr>
      </xdr:nvSpPr>
      <xdr:spPr>
        <a:xfrm>
          <a:off x="0" y="45481875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38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39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40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41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42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43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44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45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46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47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48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49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50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51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52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53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54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55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56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57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58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59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60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61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62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63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64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65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85725" cy="9525"/>
    <xdr:sp fLocksText="0">
      <xdr:nvSpPr>
        <xdr:cNvPr id="1366" name="Text Box 1"/>
        <xdr:cNvSpPr txBox="1">
          <a:spLocks noChangeArrowheads="1"/>
        </xdr:cNvSpPr>
      </xdr:nvSpPr>
      <xdr:spPr>
        <a:xfrm>
          <a:off x="0" y="454818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85725" cy="9525"/>
    <xdr:sp fLocksText="0">
      <xdr:nvSpPr>
        <xdr:cNvPr id="1367" name="Text Box 1"/>
        <xdr:cNvSpPr txBox="1">
          <a:spLocks noChangeArrowheads="1"/>
        </xdr:cNvSpPr>
      </xdr:nvSpPr>
      <xdr:spPr>
        <a:xfrm>
          <a:off x="0" y="454818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85725" cy="85725"/>
    <xdr:sp fLocksText="0">
      <xdr:nvSpPr>
        <xdr:cNvPr id="1368" name="Text Box 2"/>
        <xdr:cNvSpPr txBox="1">
          <a:spLocks noChangeArrowheads="1"/>
        </xdr:cNvSpPr>
      </xdr:nvSpPr>
      <xdr:spPr>
        <a:xfrm>
          <a:off x="0" y="45481875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69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70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71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72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73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74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75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76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77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78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79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80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81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82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83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84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85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86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87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88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89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90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91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92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93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94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95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396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85725" cy="9525"/>
    <xdr:sp fLocksText="0">
      <xdr:nvSpPr>
        <xdr:cNvPr id="1397" name="Text Box 1"/>
        <xdr:cNvSpPr txBox="1">
          <a:spLocks noChangeArrowheads="1"/>
        </xdr:cNvSpPr>
      </xdr:nvSpPr>
      <xdr:spPr>
        <a:xfrm>
          <a:off x="0" y="454818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85725" cy="9525"/>
    <xdr:sp fLocksText="0">
      <xdr:nvSpPr>
        <xdr:cNvPr id="1398" name="Text Box 1"/>
        <xdr:cNvSpPr txBox="1">
          <a:spLocks noChangeArrowheads="1"/>
        </xdr:cNvSpPr>
      </xdr:nvSpPr>
      <xdr:spPr>
        <a:xfrm>
          <a:off x="0" y="454818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85725" cy="85725"/>
    <xdr:sp fLocksText="0">
      <xdr:nvSpPr>
        <xdr:cNvPr id="1399" name="Text Box 2"/>
        <xdr:cNvSpPr txBox="1">
          <a:spLocks noChangeArrowheads="1"/>
        </xdr:cNvSpPr>
      </xdr:nvSpPr>
      <xdr:spPr>
        <a:xfrm>
          <a:off x="0" y="45481875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85725" cy="9525"/>
    <xdr:sp fLocksText="0">
      <xdr:nvSpPr>
        <xdr:cNvPr id="1400" name="Text Box 1"/>
        <xdr:cNvSpPr txBox="1">
          <a:spLocks noChangeArrowheads="1"/>
        </xdr:cNvSpPr>
      </xdr:nvSpPr>
      <xdr:spPr>
        <a:xfrm>
          <a:off x="0" y="454818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85725" cy="9525"/>
    <xdr:sp fLocksText="0">
      <xdr:nvSpPr>
        <xdr:cNvPr id="1401" name="Text Box 1"/>
        <xdr:cNvSpPr txBox="1">
          <a:spLocks noChangeArrowheads="1"/>
        </xdr:cNvSpPr>
      </xdr:nvSpPr>
      <xdr:spPr>
        <a:xfrm>
          <a:off x="0" y="454818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402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403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404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405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406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407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408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409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410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411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412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413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414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415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416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417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418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419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420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421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422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423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424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425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426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427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428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429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85725" cy="9525"/>
    <xdr:sp fLocksText="0">
      <xdr:nvSpPr>
        <xdr:cNvPr id="1430" name="Text Box 1"/>
        <xdr:cNvSpPr txBox="1">
          <a:spLocks noChangeArrowheads="1"/>
        </xdr:cNvSpPr>
      </xdr:nvSpPr>
      <xdr:spPr>
        <a:xfrm>
          <a:off x="0" y="454818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431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432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433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434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435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436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437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438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439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440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441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442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443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444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445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446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447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448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449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450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451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452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453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454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455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456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85725" cy="7115175"/>
    <xdr:sp fLocksText="0">
      <xdr:nvSpPr>
        <xdr:cNvPr id="1457" name="Text Box 2"/>
        <xdr:cNvSpPr txBox="1">
          <a:spLocks noChangeArrowheads="1"/>
        </xdr:cNvSpPr>
      </xdr:nvSpPr>
      <xdr:spPr>
        <a:xfrm>
          <a:off x="400050" y="45481875"/>
          <a:ext cx="8572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85725"/>
    <xdr:sp fLocksText="0">
      <xdr:nvSpPr>
        <xdr:cNvPr id="1458" name="Text Box 2"/>
        <xdr:cNvSpPr txBox="1">
          <a:spLocks noChangeArrowheads="1"/>
        </xdr:cNvSpPr>
      </xdr:nvSpPr>
      <xdr:spPr>
        <a:xfrm>
          <a:off x="400050" y="6362700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459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460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461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462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463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464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465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466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467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468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469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470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471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472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473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474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475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476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477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478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479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480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481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482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483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484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485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486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9525"/>
    <xdr:sp fLocksText="0">
      <xdr:nvSpPr>
        <xdr:cNvPr id="1487" name="Text Box 1"/>
        <xdr:cNvSpPr txBox="1">
          <a:spLocks noChangeArrowheads="1"/>
        </xdr:cNvSpPr>
      </xdr:nvSpPr>
      <xdr:spPr>
        <a:xfrm>
          <a:off x="400050" y="6362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9525"/>
    <xdr:sp fLocksText="0">
      <xdr:nvSpPr>
        <xdr:cNvPr id="1488" name="Text Box 1"/>
        <xdr:cNvSpPr txBox="1">
          <a:spLocks noChangeArrowheads="1"/>
        </xdr:cNvSpPr>
      </xdr:nvSpPr>
      <xdr:spPr>
        <a:xfrm>
          <a:off x="400050" y="6362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85725"/>
    <xdr:sp fLocksText="0">
      <xdr:nvSpPr>
        <xdr:cNvPr id="1489" name="Text Box 2"/>
        <xdr:cNvSpPr txBox="1">
          <a:spLocks noChangeArrowheads="1"/>
        </xdr:cNvSpPr>
      </xdr:nvSpPr>
      <xdr:spPr>
        <a:xfrm>
          <a:off x="400050" y="6362700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490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491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492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493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494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495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496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497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498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499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500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501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502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503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504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505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506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507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508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509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510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511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512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513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514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515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516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517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9525"/>
    <xdr:sp fLocksText="0">
      <xdr:nvSpPr>
        <xdr:cNvPr id="1518" name="Text Box 1"/>
        <xdr:cNvSpPr txBox="1">
          <a:spLocks noChangeArrowheads="1"/>
        </xdr:cNvSpPr>
      </xdr:nvSpPr>
      <xdr:spPr>
        <a:xfrm>
          <a:off x="400050" y="6362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9525"/>
    <xdr:sp fLocksText="0">
      <xdr:nvSpPr>
        <xdr:cNvPr id="1519" name="Text Box 1"/>
        <xdr:cNvSpPr txBox="1">
          <a:spLocks noChangeArrowheads="1"/>
        </xdr:cNvSpPr>
      </xdr:nvSpPr>
      <xdr:spPr>
        <a:xfrm>
          <a:off x="400050" y="6362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85725"/>
    <xdr:sp fLocksText="0">
      <xdr:nvSpPr>
        <xdr:cNvPr id="1520" name="Text Box 2"/>
        <xdr:cNvSpPr txBox="1">
          <a:spLocks noChangeArrowheads="1"/>
        </xdr:cNvSpPr>
      </xdr:nvSpPr>
      <xdr:spPr>
        <a:xfrm>
          <a:off x="400050" y="6362700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9525"/>
    <xdr:sp fLocksText="0">
      <xdr:nvSpPr>
        <xdr:cNvPr id="1521" name="Text Box 1"/>
        <xdr:cNvSpPr txBox="1">
          <a:spLocks noChangeArrowheads="1"/>
        </xdr:cNvSpPr>
      </xdr:nvSpPr>
      <xdr:spPr>
        <a:xfrm>
          <a:off x="400050" y="6362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9525"/>
    <xdr:sp fLocksText="0">
      <xdr:nvSpPr>
        <xdr:cNvPr id="1522" name="Text Box 1"/>
        <xdr:cNvSpPr txBox="1">
          <a:spLocks noChangeArrowheads="1"/>
        </xdr:cNvSpPr>
      </xdr:nvSpPr>
      <xdr:spPr>
        <a:xfrm>
          <a:off x="400050" y="6362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523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524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525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526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527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528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529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530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531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532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533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534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535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536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537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538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539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540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541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542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543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544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545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546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547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548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549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550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9525"/>
    <xdr:sp fLocksText="0">
      <xdr:nvSpPr>
        <xdr:cNvPr id="1551" name="Text Box 1"/>
        <xdr:cNvSpPr txBox="1">
          <a:spLocks noChangeArrowheads="1"/>
        </xdr:cNvSpPr>
      </xdr:nvSpPr>
      <xdr:spPr>
        <a:xfrm>
          <a:off x="400050" y="6362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552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553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554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555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556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557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558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559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560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561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562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563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564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565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566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567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568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569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570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571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572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573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574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575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576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577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85725" cy="4819650"/>
    <xdr:sp fLocksText="0">
      <xdr:nvSpPr>
        <xdr:cNvPr id="1578" name="Text Box 2"/>
        <xdr:cNvSpPr txBox="1">
          <a:spLocks noChangeArrowheads="1"/>
        </xdr:cNvSpPr>
      </xdr:nvSpPr>
      <xdr:spPr>
        <a:xfrm>
          <a:off x="400050" y="6362700"/>
          <a:ext cx="8572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85725"/>
    <xdr:sp fLocksText="0">
      <xdr:nvSpPr>
        <xdr:cNvPr id="1579" name="Text Box 2"/>
        <xdr:cNvSpPr txBox="1">
          <a:spLocks noChangeArrowheads="1"/>
        </xdr:cNvSpPr>
      </xdr:nvSpPr>
      <xdr:spPr>
        <a:xfrm>
          <a:off x="400050" y="14811375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580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581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582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583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584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585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586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587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588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589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590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591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592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593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594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595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596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597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598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599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00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01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02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03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04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05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06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07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9525"/>
    <xdr:sp fLocksText="0">
      <xdr:nvSpPr>
        <xdr:cNvPr id="1608" name="Text Box 1"/>
        <xdr:cNvSpPr txBox="1">
          <a:spLocks noChangeArrowheads="1"/>
        </xdr:cNvSpPr>
      </xdr:nvSpPr>
      <xdr:spPr>
        <a:xfrm>
          <a:off x="400050" y="148113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9525"/>
    <xdr:sp fLocksText="0">
      <xdr:nvSpPr>
        <xdr:cNvPr id="1609" name="Text Box 1"/>
        <xdr:cNvSpPr txBox="1">
          <a:spLocks noChangeArrowheads="1"/>
        </xdr:cNvSpPr>
      </xdr:nvSpPr>
      <xdr:spPr>
        <a:xfrm>
          <a:off x="400050" y="148113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85725"/>
    <xdr:sp fLocksText="0">
      <xdr:nvSpPr>
        <xdr:cNvPr id="1610" name="Text Box 2"/>
        <xdr:cNvSpPr txBox="1">
          <a:spLocks noChangeArrowheads="1"/>
        </xdr:cNvSpPr>
      </xdr:nvSpPr>
      <xdr:spPr>
        <a:xfrm>
          <a:off x="400050" y="14811375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11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12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13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14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15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16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17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18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19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20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21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22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23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24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25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26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27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28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29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30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31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32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33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34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35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36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37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38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9525"/>
    <xdr:sp fLocksText="0">
      <xdr:nvSpPr>
        <xdr:cNvPr id="1639" name="Text Box 1"/>
        <xdr:cNvSpPr txBox="1">
          <a:spLocks noChangeArrowheads="1"/>
        </xdr:cNvSpPr>
      </xdr:nvSpPr>
      <xdr:spPr>
        <a:xfrm>
          <a:off x="400050" y="148113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9525"/>
    <xdr:sp fLocksText="0">
      <xdr:nvSpPr>
        <xdr:cNvPr id="1640" name="Text Box 1"/>
        <xdr:cNvSpPr txBox="1">
          <a:spLocks noChangeArrowheads="1"/>
        </xdr:cNvSpPr>
      </xdr:nvSpPr>
      <xdr:spPr>
        <a:xfrm>
          <a:off x="400050" y="148113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85725"/>
    <xdr:sp fLocksText="0">
      <xdr:nvSpPr>
        <xdr:cNvPr id="1641" name="Text Box 2"/>
        <xdr:cNvSpPr txBox="1">
          <a:spLocks noChangeArrowheads="1"/>
        </xdr:cNvSpPr>
      </xdr:nvSpPr>
      <xdr:spPr>
        <a:xfrm>
          <a:off x="400050" y="14811375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9525"/>
    <xdr:sp fLocksText="0">
      <xdr:nvSpPr>
        <xdr:cNvPr id="1642" name="Text Box 1"/>
        <xdr:cNvSpPr txBox="1">
          <a:spLocks noChangeArrowheads="1"/>
        </xdr:cNvSpPr>
      </xdr:nvSpPr>
      <xdr:spPr>
        <a:xfrm>
          <a:off x="400050" y="148113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9525"/>
    <xdr:sp fLocksText="0">
      <xdr:nvSpPr>
        <xdr:cNvPr id="1643" name="Text Box 1"/>
        <xdr:cNvSpPr txBox="1">
          <a:spLocks noChangeArrowheads="1"/>
        </xdr:cNvSpPr>
      </xdr:nvSpPr>
      <xdr:spPr>
        <a:xfrm>
          <a:off x="400050" y="148113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44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45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46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47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48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49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50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51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52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53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54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55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56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57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58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59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60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61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62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63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64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65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66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67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68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69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70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71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9525"/>
    <xdr:sp fLocksText="0">
      <xdr:nvSpPr>
        <xdr:cNvPr id="1672" name="Text Box 1"/>
        <xdr:cNvSpPr txBox="1">
          <a:spLocks noChangeArrowheads="1"/>
        </xdr:cNvSpPr>
      </xdr:nvSpPr>
      <xdr:spPr>
        <a:xfrm>
          <a:off x="400050" y="148113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73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74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75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76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77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78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79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80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81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82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83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84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85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86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87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88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89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90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91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92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93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94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95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96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97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98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85725" cy="4867275"/>
    <xdr:sp fLocksText="0">
      <xdr:nvSpPr>
        <xdr:cNvPr id="1699" name="Text Box 2"/>
        <xdr:cNvSpPr txBox="1">
          <a:spLocks noChangeArrowheads="1"/>
        </xdr:cNvSpPr>
      </xdr:nvSpPr>
      <xdr:spPr>
        <a:xfrm>
          <a:off x="400050" y="1481137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85725"/>
    <xdr:sp fLocksText="0">
      <xdr:nvSpPr>
        <xdr:cNvPr id="1700" name="Text Box 2"/>
        <xdr:cNvSpPr txBox="1">
          <a:spLocks noChangeArrowheads="1"/>
        </xdr:cNvSpPr>
      </xdr:nvSpPr>
      <xdr:spPr>
        <a:xfrm>
          <a:off x="400050" y="40500300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01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02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03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04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05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06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07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08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09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10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11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12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13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14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15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16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17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18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19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20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21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22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23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24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25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26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27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28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9525"/>
    <xdr:sp fLocksText="0">
      <xdr:nvSpPr>
        <xdr:cNvPr id="1729" name="Text Box 1"/>
        <xdr:cNvSpPr txBox="1">
          <a:spLocks noChangeArrowheads="1"/>
        </xdr:cNvSpPr>
      </xdr:nvSpPr>
      <xdr:spPr>
        <a:xfrm>
          <a:off x="400050" y="405003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9525"/>
    <xdr:sp fLocksText="0">
      <xdr:nvSpPr>
        <xdr:cNvPr id="1730" name="Text Box 1"/>
        <xdr:cNvSpPr txBox="1">
          <a:spLocks noChangeArrowheads="1"/>
        </xdr:cNvSpPr>
      </xdr:nvSpPr>
      <xdr:spPr>
        <a:xfrm>
          <a:off x="400050" y="405003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85725"/>
    <xdr:sp fLocksText="0">
      <xdr:nvSpPr>
        <xdr:cNvPr id="1731" name="Text Box 2"/>
        <xdr:cNvSpPr txBox="1">
          <a:spLocks noChangeArrowheads="1"/>
        </xdr:cNvSpPr>
      </xdr:nvSpPr>
      <xdr:spPr>
        <a:xfrm>
          <a:off x="400050" y="40500300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32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33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34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35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36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37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38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39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40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41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42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43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44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45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46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47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48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49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50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51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52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53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54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55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56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57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58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59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9525"/>
    <xdr:sp fLocksText="0">
      <xdr:nvSpPr>
        <xdr:cNvPr id="1760" name="Text Box 1"/>
        <xdr:cNvSpPr txBox="1">
          <a:spLocks noChangeArrowheads="1"/>
        </xdr:cNvSpPr>
      </xdr:nvSpPr>
      <xdr:spPr>
        <a:xfrm>
          <a:off x="400050" y="405003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9525"/>
    <xdr:sp fLocksText="0">
      <xdr:nvSpPr>
        <xdr:cNvPr id="1761" name="Text Box 1"/>
        <xdr:cNvSpPr txBox="1">
          <a:spLocks noChangeArrowheads="1"/>
        </xdr:cNvSpPr>
      </xdr:nvSpPr>
      <xdr:spPr>
        <a:xfrm>
          <a:off x="400050" y="405003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85725"/>
    <xdr:sp fLocksText="0">
      <xdr:nvSpPr>
        <xdr:cNvPr id="1762" name="Text Box 2"/>
        <xdr:cNvSpPr txBox="1">
          <a:spLocks noChangeArrowheads="1"/>
        </xdr:cNvSpPr>
      </xdr:nvSpPr>
      <xdr:spPr>
        <a:xfrm>
          <a:off x="400050" y="40500300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9525"/>
    <xdr:sp fLocksText="0">
      <xdr:nvSpPr>
        <xdr:cNvPr id="1763" name="Text Box 1"/>
        <xdr:cNvSpPr txBox="1">
          <a:spLocks noChangeArrowheads="1"/>
        </xdr:cNvSpPr>
      </xdr:nvSpPr>
      <xdr:spPr>
        <a:xfrm>
          <a:off x="400050" y="405003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9525"/>
    <xdr:sp fLocksText="0">
      <xdr:nvSpPr>
        <xdr:cNvPr id="1764" name="Text Box 1"/>
        <xdr:cNvSpPr txBox="1">
          <a:spLocks noChangeArrowheads="1"/>
        </xdr:cNvSpPr>
      </xdr:nvSpPr>
      <xdr:spPr>
        <a:xfrm>
          <a:off x="400050" y="405003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65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66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67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68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69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70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71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72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73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74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75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76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77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78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79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80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81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82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83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84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85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86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87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88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89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90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91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92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9525"/>
    <xdr:sp fLocksText="0">
      <xdr:nvSpPr>
        <xdr:cNvPr id="1793" name="Text Box 1"/>
        <xdr:cNvSpPr txBox="1">
          <a:spLocks noChangeArrowheads="1"/>
        </xdr:cNvSpPr>
      </xdr:nvSpPr>
      <xdr:spPr>
        <a:xfrm>
          <a:off x="400050" y="405003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94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95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96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97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98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799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800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801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802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803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804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805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806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807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808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809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810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811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812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813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814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815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816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817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818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819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85725" cy="4829175"/>
    <xdr:sp fLocksText="0">
      <xdr:nvSpPr>
        <xdr:cNvPr id="1820" name="Text Box 2"/>
        <xdr:cNvSpPr txBox="1">
          <a:spLocks noChangeArrowheads="1"/>
        </xdr:cNvSpPr>
      </xdr:nvSpPr>
      <xdr:spPr>
        <a:xfrm>
          <a:off x="400050" y="40500300"/>
          <a:ext cx="8572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edadze\d\xarjtagricxva\betonis%20da%20rkina-betonis%20samushaoeb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106">
      <selection activeCell="C121" sqref="C121"/>
    </sheetView>
  </sheetViews>
  <sheetFormatPr defaultColWidth="9.00390625" defaultRowHeight="12.75"/>
  <cols>
    <col min="1" max="1" width="5.875" style="0" customWidth="1"/>
    <col min="2" max="2" width="11.375" style="0" customWidth="1"/>
    <col min="3" max="3" width="41.375" style="0" customWidth="1"/>
    <col min="4" max="4" width="8.125" style="0" customWidth="1"/>
    <col min="5" max="5" width="8.875" style="0" customWidth="1"/>
    <col min="6" max="6" width="9.00390625" style="0" customWidth="1"/>
    <col min="8" max="8" width="8.25390625" style="0" customWidth="1"/>
  </cols>
  <sheetData>
    <row r="1" spans="1:8" ht="19.5">
      <c r="A1" s="214" t="s">
        <v>42</v>
      </c>
      <c r="B1" s="214"/>
      <c r="C1" s="214"/>
      <c r="D1" s="214"/>
      <c r="E1" s="214"/>
      <c r="F1" s="214"/>
      <c r="G1" s="214"/>
      <c r="H1" s="214"/>
    </row>
    <row r="2" spans="1:8" ht="6.75" customHeight="1">
      <c r="A2" s="13"/>
      <c r="B2" s="13"/>
      <c r="C2" s="13"/>
      <c r="D2" s="13"/>
      <c r="E2" s="13"/>
      <c r="F2" s="13"/>
      <c r="G2" s="13"/>
      <c r="H2" s="13"/>
    </row>
    <row r="3" spans="1:8" ht="35.25" customHeight="1">
      <c r="A3" s="215" t="s">
        <v>129</v>
      </c>
      <c r="B3" s="215"/>
      <c r="C3" s="215"/>
      <c r="D3" s="215"/>
      <c r="E3" s="215"/>
      <c r="F3" s="215"/>
      <c r="G3" s="215"/>
      <c r="H3" s="215"/>
    </row>
    <row r="4" spans="1:8" ht="17.25" customHeight="1">
      <c r="A4" s="216" t="s">
        <v>120</v>
      </c>
      <c r="B4" s="216"/>
      <c r="C4" s="216"/>
      <c r="D4" s="216"/>
      <c r="E4" s="216"/>
      <c r="F4" s="216"/>
      <c r="G4" s="216"/>
      <c r="H4" s="216"/>
    </row>
    <row r="5" spans="1:8" ht="16.5" hidden="1">
      <c r="A5" s="27"/>
      <c r="B5" s="27"/>
      <c r="C5" s="27"/>
      <c r="D5" s="27"/>
      <c r="E5" s="27"/>
      <c r="F5" s="27"/>
      <c r="G5" s="27"/>
      <c r="H5" s="27"/>
    </row>
    <row r="6" spans="1:8" ht="15" hidden="1">
      <c r="A6" s="217"/>
      <c r="B6" s="217"/>
      <c r="C6" s="217"/>
      <c r="D6" s="217"/>
      <c r="E6" s="217"/>
      <c r="F6" s="217"/>
      <c r="G6" s="217"/>
      <c r="H6" s="217"/>
    </row>
    <row r="7" spans="1:8" ht="16.5">
      <c r="A7" s="213" t="s">
        <v>55</v>
      </c>
      <c r="B7" s="213"/>
      <c r="C7" s="213"/>
      <c r="D7" s="213"/>
      <c r="E7" s="34" t="e">
        <f>H132</f>
        <v>#REF!</v>
      </c>
      <c r="F7" s="27" t="s">
        <v>72</v>
      </c>
      <c r="G7" s="25"/>
      <c r="H7" s="25"/>
    </row>
    <row r="8" spans="1:8" ht="16.5">
      <c r="A8" s="213" t="s">
        <v>89</v>
      </c>
      <c r="B8" s="213"/>
      <c r="C8" s="213"/>
      <c r="D8" s="213"/>
      <c r="E8" s="34" t="e">
        <f>H125</f>
        <v>#REF!</v>
      </c>
      <c r="F8" s="27" t="s">
        <v>72</v>
      </c>
      <c r="G8" s="25"/>
      <c r="H8" s="25"/>
    </row>
    <row r="9" spans="1:8" ht="16.5">
      <c r="A9" s="205" t="s">
        <v>0</v>
      </c>
      <c r="B9" s="205"/>
      <c r="C9" s="205"/>
      <c r="D9" s="205"/>
      <c r="E9" s="34" t="e">
        <f>E8/4.6</f>
        <v>#REF!</v>
      </c>
      <c r="F9" s="30" t="s">
        <v>21</v>
      </c>
      <c r="G9" s="29"/>
      <c r="H9" s="29"/>
    </row>
    <row r="10" spans="1:8" ht="15">
      <c r="A10" s="206" t="s">
        <v>130</v>
      </c>
      <c r="B10" s="206"/>
      <c r="C10" s="206"/>
      <c r="D10" s="206"/>
      <c r="E10" s="206"/>
      <c r="F10" s="206"/>
      <c r="G10" s="206"/>
      <c r="H10" s="206"/>
    </row>
    <row r="11" spans="1:8" ht="13.5" customHeight="1">
      <c r="A11" s="6"/>
      <c r="B11" s="6"/>
      <c r="C11" s="6"/>
      <c r="D11" s="6"/>
      <c r="E11" s="6"/>
      <c r="F11" s="2"/>
      <c r="G11" s="2"/>
      <c r="H11" s="1"/>
    </row>
    <row r="12" spans="1:8" ht="30" customHeight="1">
      <c r="A12" s="207" t="s">
        <v>73</v>
      </c>
      <c r="B12" s="208" t="s">
        <v>5</v>
      </c>
      <c r="C12" s="209" t="s">
        <v>6</v>
      </c>
      <c r="D12" s="210" t="s">
        <v>80</v>
      </c>
      <c r="E12" s="211" t="s">
        <v>88</v>
      </c>
      <c r="F12" s="211"/>
      <c r="G12" s="212" t="s">
        <v>74</v>
      </c>
      <c r="H12" s="212"/>
    </row>
    <row r="13" spans="1:8" ht="49.5">
      <c r="A13" s="207"/>
      <c r="B13" s="208"/>
      <c r="C13" s="209"/>
      <c r="D13" s="210"/>
      <c r="E13" s="7" t="s">
        <v>80</v>
      </c>
      <c r="F13" s="7" t="s">
        <v>4</v>
      </c>
      <c r="G13" s="7" t="s">
        <v>3</v>
      </c>
      <c r="H13" s="18" t="s">
        <v>81</v>
      </c>
    </row>
    <row r="14" spans="1:8" ht="13.5">
      <c r="A14" s="3" t="s">
        <v>82</v>
      </c>
      <c r="B14" s="3" t="s">
        <v>83</v>
      </c>
      <c r="C14" s="3" t="s">
        <v>84</v>
      </c>
      <c r="D14" s="3" t="s">
        <v>85</v>
      </c>
      <c r="E14" s="3" t="s">
        <v>86</v>
      </c>
      <c r="F14" s="17" t="s">
        <v>87</v>
      </c>
      <c r="G14" s="3" t="s">
        <v>75</v>
      </c>
      <c r="H14" s="19">
        <v>8</v>
      </c>
    </row>
    <row r="15" spans="1:8" s="14" customFormat="1" ht="49.5" customHeight="1">
      <c r="A15" s="3" t="s">
        <v>82</v>
      </c>
      <c r="B15" s="3" t="s">
        <v>107</v>
      </c>
      <c r="C15" s="5" t="s">
        <v>90</v>
      </c>
      <c r="D15" s="3" t="s">
        <v>33</v>
      </c>
      <c r="E15" s="12"/>
      <c r="F15" s="17">
        <v>30</v>
      </c>
      <c r="G15" s="12"/>
      <c r="H15" s="33">
        <f>H16+H17++H18++H19++H20++H21</f>
        <v>189.13044799999997</v>
      </c>
    </row>
    <row r="16" spans="1:8" ht="18.75" customHeight="1">
      <c r="A16" s="10">
        <f aca="true" t="shared" si="0" ref="A16:A21">A15+0.1</f>
        <v>1.1</v>
      </c>
      <c r="B16" s="4" t="s">
        <v>23</v>
      </c>
      <c r="C16" s="16" t="s">
        <v>106</v>
      </c>
      <c r="D16" s="4" t="s">
        <v>34</v>
      </c>
      <c r="E16" s="8">
        <v>0.12</v>
      </c>
      <c r="F16" s="10">
        <f>E16*F15</f>
        <v>3.5999999999999996</v>
      </c>
      <c r="G16" s="8">
        <v>4.6</v>
      </c>
      <c r="H16" s="21">
        <f aca="true" t="shared" si="1" ref="H16:H21">F16*G16</f>
        <v>16.56</v>
      </c>
    </row>
    <row r="17" spans="1:8" ht="15">
      <c r="A17" s="10">
        <f t="shared" si="0"/>
        <v>1.2000000000000002</v>
      </c>
      <c r="B17" s="4"/>
      <c r="C17" s="16" t="s">
        <v>108</v>
      </c>
      <c r="D17" s="4" t="s">
        <v>72</v>
      </c>
      <c r="E17" s="8">
        <v>0.06</v>
      </c>
      <c r="F17" s="10">
        <f>E17*F15</f>
        <v>1.7999999999999998</v>
      </c>
      <c r="G17" s="8">
        <v>3.2</v>
      </c>
      <c r="H17" s="21">
        <f t="shared" si="1"/>
        <v>5.76</v>
      </c>
    </row>
    <row r="18" spans="1:8" ht="17.25" customHeight="1">
      <c r="A18" s="10">
        <f t="shared" si="0"/>
        <v>1.3000000000000003</v>
      </c>
      <c r="B18" s="4"/>
      <c r="C18" s="16" t="s">
        <v>124</v>
      </c>
      <c r="D18" s="4" t="s">
        <v>33</v>
      </c>
      <c r="E18" s="9">
        <v>1.01</v>
      </c>
      <c r="F18" s="10">
        <f>E18*F15</f>
        <v>30.3</v>
      </c>
      <c r="G18" s="8">
        <v>4.1</v>
      </c>
      <c r="H18" s="21">
        <f t="shared" si="1"/>
        <v>124.22999999999999</v>
      </c>
    </row>
    <row r="19" spans="1:8" ht="15">
      <c r="A19" s="10">
        <f t="shared" si="0"/>
        <v>1.4000000000000004</v>
      </c>
      <c r="B19" s="4"/>
      <c r="C19" s="16" t="s">
        <v>101</v>
      </c>
      <c r="D19" s="4" t="s">
        <v>35</v>
      </c>
      <c r="E19" s="10"/>
      <c r="F19" s="10">
        <v>13</v>
      </c>
      <c r="G19" s="8">
        <v>0.8</v>
      </c>
      <c r="H19" s="21">
        <f t="shared" si="1"/>
        <v>10.4</v>
      </c>
    </row>
    <row r="20" spans="1:8" ht="15">
      <c r="A20" s="10">
        <f t="shared" si="0"/>
        <v>1.5000000000000004</v>
      </c>
      <c r="B20" s="4"/>
      <c r="C20" s="16" t="s">
        <v>102</v>
      </c>
      <c r="D20" s="4" t="s">
        <v>35</v>
      </c>
      <c r="E20" s="10"/>
      <c r="F20" s="10">
        <v>3</v>
      </c>
      <c r="G20" s="8">
        <v>10.2</v>
      </c>
      <c r="H20" s="21">
        <f t="shared" si="1"/>
        <v>30.599999999999998</v>
      </c>
    </row>
    <row r="21" spans="1:8" ht="15">
      <c r="A21" s="10">
        <f t="shared" si="0"/>
        <v>1.6000000000000005</v>
      </c>
      <c r="B21" s="4"/>
      <c r="C21" s="16" t="s">
        <v>22</v>
      </c>
      <c r="D21" s="4" t="s">
        <v>72</v>
      </c>
      <c r="E21" s="8">
        <v>0.0163</v>
      </c>
      <c r="F21" s="10">
        <f>E21*F18</f>
        <v>0.49388999999999994</v>
      </c>
      <c r="G21" s="8">
        <v>3.2</v>
      </c>
      <c r="H21" s="21">
        <f t="shared" si="1"/>
        <v>1.5804479999999999</v>
      </c>
    </row>
    <row r="22" spans="1:8" s="14" customFormat="1" ht="46.5" customHeight="1">
      <c r="A22" s="3" t="s">
        <v>83</v>
      </c>
      <c r="B22" s="3" t="s">
        <v>107</v>
      </c>
      <c r="C22" s="5" t="s">
        <v>121</v>
      </c>
      <c r="D22" s="3" t="s">
        <v>33</v>
      </c>
      <c r="E22" s="12"/>
      <c r="F22" s="17">
        <v>24</v>
      </c>
      <c r="G22" s="12"/>
      <c r="H22" s="33">
        <f>H23+H24++H25+H26++H27++H28</f>
        <v>120.92035840000001</v>
      </c>
    </row>
    <row r="23" spans="1:8" ht="15">
      <c r="A23" s="10">
        <f aca="true" t="shared" si="2" ref="A23:A28">A22+0.1</f>
        <v>2.1</v>
      </c>
      <c r="B23" s="4" t="s">
        <v>23</v>
      </c>
      <c r="C23" s="16" t="s">
        <v>106</v>
      </c>
      <c r="D23" s="4" t="s">
        <v>34</v>
      </c>
      <c r="E23" s="8">
        <v>0.12</v>
      </c>
      <c r="F23" s="10">
        <f>E23*F22</f>
        <v>2.88</v>
      </c>
      <c r="G23" s="8">
        <v>4.6</v>
      </c>
      <c r="H23" s="21">
        <f aca="true" t="shared" si="3" ref="H23:H28">F23*G23</f>
        <v>13.248</v>
      </c>
    </row>
    <row r="24" spans="1:8" ht="15">
      <c r="A24" s="10">
        <f t="shared" si="2"/>
        <v>2.2</v>
      </c>
      <c r="B24" s="4"/>
      <c r="C24" s="16" t="s">
        <v>108</v>
      </c>
      <c r="D24" s="4" t="s">
        <v>72</v>
      </c>
      <c r="E24" s="8">
        <v>0.06</v>
      </c>
      <c r="F24" s="10">
        <f>E24*F22</f>
        <v>1.44</v>
      </c>
      <c r="G24" s="8">
        <v>3.2</v>
      </c>
      <c r="H24" s="21">
        <f t="shared" si="3"/>
        <v>4.608</v>
      </c>
    </row>
    <row r="25" spans="1:8" ht="17.25" customHeight="1">
      <c r="A25" s="10">
        <f t="shared" si="2"/>
        <v>2.3000000000000003</v>
      </c>
      <c r="B25" s="4"/>
      <c r="C25" s="16" t="s">
        <v>43</v>
      </c>
      <c r="D25" s="4" t="s">
        <v>33</v>
      </c>
      <c r="E25" s="9">
        <v>1.01</v>
      </c>
      <c r="F25" s="10">
        <f>E25*F22</f>
        <v>24.240000000000002</v>
      </c>
      <c r="G25" s="8">
        <v>2.5</v>
      </c>
      <c r="H25" s="21">
        <f t="shared" si="3"/>
        <v>60.60000000000001</v>
      </c>
    </row>
    <row r="26" spans="1:8" ht="15">
      <c r="A26" s="10">
        <f t="shared" si="2"/>
        <v>2.4000000000000004</v>
      </c>
      <c r="B26" s="4"/>
      <c r="C26" s="16" t="s">
        <v>44</v>
      </c>
      <c r="D26" s="4" t="s">
        <v>35</v>
      </c>
      <c r="E26" s="10"/>
      <c r="F26" s="10">
        <v>12</v>
      </c>
      <c r="G26" s="8">
        <v>0.6</v>
      </c>
      <c r="H26" s="21">
        <f t="shared" si="3"/>
        <v>7.199999999999999</v>
      </c>
    </row>
    <row r="27" spans="1:8" ht="15">
      <c r="A27" s="10">
        <f t="shared" si="2"/>
        <v>2.5000000000000004</v>
      </c>
      <c r="B27" s="4"/>
      <c r="C27" s="16" t="s">
        <v>45</v>
      </c>
      <c r="D27" s="4" t="s">
        <v>35</v>
      </c>
      <c r="E27" s="10"/>
      <c r="F27" s="10">
        <v>4</v>
      </c>
      <c r="G27" s="8">
        <v>8.5</v>
      </c>
      <c r="H27" s="21">
        <f t="shared" si="3"/>
        <v>34</v>
      </c>
    </row>
    <row r="28" spans="1:8" ht="15">
      <c r="A28" s="10">
        <f t="shared" si="2"/>
        <v>2.6000000000000005</v>
      </c>
      <c r="B28" s="4"/>
      <c r="C28" s="16" t="s">
        <v>22</v>
      </c>
      <c r="D28" s="4" t="s">
        <v>72</v>
      </c>
      <c r="E28" s="8">
        <v>0.0163</v>
      </c>
      <c r="F28" s="10">
        <f>E28*F25</f>
        <v>0.395112</v>
      </c>
      <c r="G28" s="8">
        <v>3.2</v>
      </c>
      <c r="H28" s="21">
        <f t="shared" si="3"/>
        <v>1.2643584</v>
      </c>
    </row>
    <row r="29" spans="1:8" s="14" customFormat="1" ht="45" customHeight="1">
      <c r="A29" s="3" t="s">
        <v>84</v>
      </c>
      <c r="B29" s="3" t="s">
        <v>107</v>
      </c>
      <c r="C29" s="5" t="s">
        <v>98</v>
      </c>
      <c r="D29" s="3" t="s">
        <v>33</v>
      </c>
      <c r="E29" s="12"/>
      <c r="F29" s="17">
        <v>32</v>
      </c>
      <c r="G29" s="12"/>
      <c r="H29" s="33">
        <f>H30+H31++H32++H33++H34++H35</f>
        <v>106.03781120000001</v>
      </c>
    </row>
    <row r="30" spans="1:8" ht="15">
      <c r="A30" s="10">
        <f aca="true" t="shared" si="4" ref="A30:A35">A29+0.1</f>
        <v>3.1</v>
      </c>
      <c r="B30" s="4" t="s">
        <v>23</v>
      </c>
      <c r="C30" s="16" t="s">
        <v>106</v>
      </c>
      <c r="D30" s="4" t="s">
        <v>34</v>
      </c>
      <c r="E30" s="8">
        <v>0.12</v>
      </c>
      <c r="F30" s="10">
        <f>E30*F29</f>
        <v>3.84</v>
      </c>
      <c r="G30" s="8">
        <v>4.6</v>
      </c>
      <c r="H30" s="21">
        <f aca="true" t="shared" si="5" ref="H30:H35">F30*G30</f>
        <v>17.663999999999998</v>
      </c>
    </row>
    <row r="31" spans="1:8" ht="15">
      <c r="A31" s="10">
        <f t="shared" si="4"/>
        <v>3.2</v>
      </c>
      <c r="B31" s="4"/>
      <c r="C31" s="16" t="s">
        <v>108</v>
      </c>
      <c r="D31" s="4" t="s">
        <v>72</v>
      </c>
      <c r="E31" s="8">
        <v>0.06</v>
      </c>
      <c r="F31" s="10">
        <f>E31*F29</f>
        <v>1.92</v>
      </c>
      <c r="G31" s="8">
        <v>3.2</v>
      </c>
      <c r="H31" s="21">
        <f t="shared" si="5"/>
        <v>6.144</v>
      </c>
    </row>
    <row r="32" spans="1:8" ht="15">
      <c r="A32" s="10">
        <f t="shared" si="4"/>
        <v>3.3000000000000003</v>
      </c>
      <c r="B32" s="4"/>
      <c r="C32" s="16" t="s">
        <v>46</v>
      </c>
      <c r="D32" s="4" t="s">
        <v>33</v>
      </c>
      <c r="E32" s="9">
        <v>1.01</v>
      </c>
      <c r="F32" s="10">
        <f>E32*F29</f>
        <v>32.32</v>
      </c>
      <c r="G32" s="8">
        <v>1.7</v>
      </c>
      <c r="H32" s="21">
        <f t="shared" si="5"/>
        <v>54.943999999999996</v>
      </c>
    </row>
    <row r="33" spans="1:8" ht="15">
      <c r="A33" s="10">
        <f t="shared" si="4"/>
        <v>3.4000000000000004</v>
      </c>
      <c r="B33" s="4"/>
      <c r="C33" s="16" t="s">
        <v>47</v>
      </c>
      <c r="D33" s="4" t="s">
        <v>35</v>
      </c>
      <c r="E33" s="10"/>
      <c r="F33" s="10">
        <v>13</v>
      </c>
      <c r="G33" s="8">
        <v>0.4</v>
      </c>
      <c r="H33" s="21">
        <f t="shared" si="5"/>
        <v>5.2</v>
      </c>
    </row>
    <row r="34" spans="1:8" ht="15">
      <c r="A34" s="10">
        <f t="shared" si="4"/>
        <v>3.5000000000000004</v>
      </c>
      <c r="B34" s="4"/>
      <c r="C34" s="16" t="s">
        <v>48</v>
      </c>
      <c r="D34" s="4" t="s">
        <v>35</v>
      </c>
      <c r="E34" s="10"/>
      <c r="F34" s="10">
        <v>3</v>
      </c>
      <c r="G34" s="8">
        <v>6.8</v>
      </c>
      <c r="H34" s="21">
        <f t="shared" si="5"/>
        <v>20.4</v>
      </c>
    </row>
    <row r="35" spans="1:8" ht="15">
      <c r="A35" s="10">
        <f t="shared" si="4"/>
        <v>3.6000000000000005</v>
      </c>
      <c r="B35" s="4"/>
      <c r="C35" s="16" t="s">
        <v>22</v>
      </c>
      <c r="D35" s="4" t="s">
        <v>72</v>
      </c>
      <c r="E35" s="8">
        <v>0.0163</v>
      </c>
      <c r="F35" s="10">
        <f>E35*F32</f>
        <v>0.526816</v>
      </c>
      <c r="G35" s="8">
        <v>3.2</v>
      </c>
      <c r="H35" s="21">
        <f t="shared" si="5"/>
        <v>1.6858111999999998</v>
      </c>
    </row>
    <row r="36" spans="1:8" s="14" customFormat="1" ht="45" customHeight="1">
      <c r="A36" s="3" t="s">
        <v>85</v>
      </c>
      <c r="B36" s="3" t="s">
        <v>91</v>
      </c>
      <c r="C36" s="5" t="s">
        <v>93</v>
      </c>
      <c r="D36" s="3" t="s">
        <v>7</v>
      </c>
      <c r="E36" s="12"/>
      <c r="F36" s="17">
        <v>1</v>
      </c>
      <c r="G36" s="12"/>
      <c r="H36" s="33">
        <f>H37++H38++H39++H40</f>
        <v>20.748</v>
      </c>
    </row>
    <row r="37" spans="1:8" ht="15">
      <c r="A37" s="10">
        <f>A36+0.1</f>
        <v>4.1</v>
      </c>
      <c r="B37" s="4"/>
      <c r="C37" s="16" t="s">
        <v>104</v>
      </c>
      <c r="D37" s="4" t="s">
        <v>34</v>
      </c>
      <c r="E37" s="8">
        <v>1.54</v>
      </c>
      <c r="F37" s="10">
        <f>E37*F36</f>
        <v>1.54</v>
      </c>
      <c r="G37" s="8">
        <v>4.6</v>
      </c>
      <c r="H37" s="21">
        <f>F37*G37</f>
        <v>7.084</v>
      </c>
    </row>
    <row r="38" spans="1:8" ht="15">
      <c r="A38" s="10">
        <f>A37+0.1</f>
        <v>4.199999999999999</v>
      </c>
      <c r="B38" s="4"/>
      <c r="C38" s="16" t="s">
        <v>29</v>
      </c>
      <c r="D38" s="4" t="s">
        <v>24</v>
      </c>
      <c r="E38" s="8">
        <v>0.03</v>
      </c>
      <c r="F38" s="9">
        <f>E38*F36</f>
        <v>0.03</v>
      </c>
      <c r="G38" s="8">
        <v>3.2</v>
      </c>
      <c r="H38" s="36">
        <f>F38*G38</f>
        <v>0.096</v>
      </c>
    </row>
    <row r="39" spans="1:8" ht="15">
      <c r="A39" s="10">
        <f>A38+0.1</f>
        <v>4.299999999999999</v>
      </c>
      <c r="B39" s="4"/>
      <c r="C39" s="16" t="s">
        <v>92</v>
      </c>
      <c r="D39" s="4" t="s">
        <v>33</v>
      </c>
      <c r="E39" s="9">
        <v>1</v>
      </c>
      <c r="F39" s="10">
        <f>E39*F36</f>
        <v>1</v>
      </c>
      <c r="G39" s="8">
        <v>12</v>
      </c>
      <c r="H39" s="21">
        <f>F39*G39</f>
        <v>12</v>
      </c>
    </row>
    <row r="40" spans="1:8" ht="15">
      <c r="A40" s="10">
        <f>A39+0.1</f>
        <v>4.399999999999999</v>
      </c>
      <c r="B40" s="4"/>
      <c r="C40" s="16" t="s">
        <v>22</v>
      </c>
      <c r="D40" s="4" t="s">
        <v>72</v>
      </c>
      <c r="E40" s="8">
        <v>0.49</v>
      </c>
      <c r="F40" s="10">
        <f>E40*F39</f>
        <v>0.49</v>
      </c>
      <c r="G40" s="8">
        <v>3.2</v>
      </c>
      <c r="H40" s="21">
        <f>F40*G40</f>
        <v>1.568</v>
      </c>
    </row>
    <row r="41" spans="1:8" s="14" customFormat="1" ht="45" customHeight="1">
      <c r="A41" s="3" t="s">
        <v>86</v>
      </c>
      <c r="B41" s="3" t="s">
        <v>91</v>
      </c>
      <c r="C41" s="5" t="s">
        <v>94</v>
      </c>
      <c r="D41" s="3" t="s">
        <v>7</v>
      </c>
      <c r="E41" s="12"/>
      <c r="F41" s="17">
        <v>1</v>
      </c>
      <c r="G41" s="12"/>
      <c r="H41" s="33">
        <f>H42+H43+H44++H45</f>
        <v>38.748</v>
      </c>
    </row>
    <row r="42" spans="1:8" ht="15">
      <c r="A42" s="10">
        <f>A41+0.1</f>
        <v>5.1</v>
      </c>
      <c r="B42" s="4"/>
      <c r="C42" s="16" t="s">
        <v>104</v>
      </c>
      <c r="D42" s="4" t="s">
        <v>34</v>
      </c>
      <c r="E42" s="8">
        <v>1.54</v>
      </c>
      <c r="F42" s="10">
        <f>E42*F41</f>
        <v>1.54</v>
      </c>
      <c r="G42" s="8">
        <v>4.6</v>
      </c>
      <c r="H42" s="21">
        <f>F42*G42</f>
        <v>7.084</v>
      </c>
    </row>
    <row r="43" spans="1:8" ht="15">
      <c r="A43" s="10">
        <f>A42+0.1</f>
        <v>5.199999999999999</v>
      </c>
      <c r="B43" s="4"/>
      <c r="C43" s="16" t="s">
        <v>29</v>
      </c>
      <c r="D43" s="4" t="s">
        <v>24</v>
      </c>
      <c r="E43" s="8">
        <v>0.03</v>
      </c>
      <c r="F43" s="9">
        <f>E43*F41</f>
        <v>0.03</v>
      </c>
      <c r="G43" s="8">
        <v>3.2</v>
      </c>
      <c r="H43" s="36">
        <f>F43*G43</f>
        <v>0.096</v>
      </c>
    </row>
    <row r="44" spans="1:8" ht="15">
      <c r="A44" s="10">
        <f>A43+0.1</f>
        <v>5.299999999999999</v>
      </c>
      <c r="B44" s="4"/>
      <c r="C44" s="16" t="s">
        <v>94</v>
      </c>
      <c r="D44" s="4" t="s">
        <v>33</v>
      </c>
      <c r="E44" s="9">
        <v>1</v>
      </c>
      <c r="F44" s="10">
        <f>E44*F41</f>
        <v>1</v>
      </c>
      <c r="G44" s="8">
        <v>30</v>
      </c>
      <c r="H44" s="21">
        <f>F44*G44</f>
        <v>30</v>
      </c>
    </row>
    <row r="45" spans="1:8" ht="15">
      <c r="A45" s="10">
        <f>A44+0.1</f>
        <v>5.399999999999999</v>
      </c>
      <c r="B45" s="4"/>
      <c r="C45" s="16" t="s">
        <v>22</v>
      </c>
      <c r="D45" s="4" t="s">
        <v>72</v>
      </c>
      <c r="E45" s="8">
        <v>0.49</v>
      </c>
      <c r="F45" s="10">
        <f>E45*F44</f>
        <v>0.49</v>
      </c>
      <c r="G45" s="8">
        <v>3.2</v>
      </c>
      <c r="H45" s="21">
        <f>F45*G45</f>
        <v>1.568</v>
      </c>
    </row>
    <row r="46" spans="1:8" s="14" customFormat="1" ht="42" customHeight="1">
      <c r="A46" s="3" t="s">
        <v>87</v>
      </c>
      <c r="B46" s="3" t="s">
        <v>91</v>
      </c>
      <c r="C46" s="5" t="s">
        <v>111</v>
      </c>
      <c r="D46" s="3" t="s">
        <v>7</v>
      </c>
      <c r="E46" s="12"/>
      <c r="F46" s="17">
        <v>1</v>
      </c>
      <c r="G46" s="12"/>
      <c r="H46" s="33">
        <f>H47+H48++H49++H50</f>
        <v>20.748</v>
      </c>
    </row>
    <row r="47" spans="1:8" ht="15">
      <c r="A47" s="10">
        <f>A46+0.1</f>
        <v>6.1</v>
      </c>
      <c r="B47" s="4"/>
      <c r="C47" s="16" t="s">
        <v>104</v>
      </c>
      <c r="D47" s="4" t="s">
        <v>34</v>
      </c>
      <c r="E47" s="8">
        <v>1.54</v>
      </c>
      <c r="F47" s="10">
        <f>E47*F46</f>
        <v>1.54</v>
      </c>
      <c r="G47" s="8">
        <v>4.6</v>
      </c>
      <c r="H47" s="21">
        <f>F47*G47</f>
        <v>7.084</v>
      </c>
    </row>
    <row r="48" spans="1:8" ht="15">
      <c r="A48" s="10">
        <f>A47+0.1</f>
        <v>6.199999999999999</v>
      </c>
      <c r="B48" s="4"/>
      <c r="C48" s="16" t="s">
        <v>29</v>
      </c>
      <c r="D48" s="4" t="s">
        <v>24</v>
      </c>
      <c r="E48" s="8">
        <v>0.03</v>
      </c>
      <c r="F48" s="9">
        <f>E48*F46</f>
        <v>0.03</v>
      </c>
      <c r="G48" s="8">
        <v>3.2</v>
      </c>
      <c r="H48" s="36">
        <f>F48*G48</f>
        <v>0.096</v>
      </c>
    </row>
    <row r="49" spans="1:8" ht="15">
      <c r="A49" s="10">
        <f>A48+0.1</f>
        <v>6.299999999999999</v>
      </c>
      <c r="B49" s="4"/>
      <c r="C49" s="16" t="s">
        <v>111</v>
      </c>
      <c r="D49" s="4" t="s">
        <v>33</v>
      </c>
      <c r="E49" s="9">
        <v>1</v>
      </c>
      <c r="F49" s="10">
        <f>E49*F46</f>
        <v>1</v>
      </c>
      <c r="G49" s="8">
        <v>12</v>
      </c>
      <c r="H49" s="21">
        <f>F49*G49</f>
        <v>12</v>
      </c>
    </row>
    <row r="50" spans="1:8" ht="15">
      <c r="A50" s="10">
        <f>A49+0.1</f>
        <v>6.399999999999999</v>
      </c>
      <c r="B50" s="4"/>
      <c r="C50" s="16" t="s">
        <v>22</v>
      </c>
      <c r="D50" s="4" t="s">
        <v>72</v>
      </c>
      <c r="E50" s="8">
        <v>0.49</v>
      </c>
      <c r="F50" s="10">
        <f>E50*F49</f>
        <v>0.49</v>
      </c>
      <c r="G50" s="8">
        <v>3.2</v>
      </c>
      <c r="H50" s="21">
        <f>F50*G50</f>
        <v>1.568</v>
      </c>
    </row>
    <row r="51" spans="1:9" s="14" customFormat="1" ht="40.5">
      <c r="A51" s="3" t="s">
        <v>75</v>
      </c>
      <c r="B51" s="3" t="s">
        <v>49</v>
      </c>
      <c r="C51" s="5" t="s">
        <v>50</v>
      </c>
      <c r="D51" s="3" t="s">
        <v>33</v>
      </c>
      <c r="E51" s="12"/>
      <c r="F51" s="17">
        <v>86</v>
      </c>
      <c r="G51" s="12"/>
      <c r="H51" s="33">
        <f>H52+H53</f>
        <v>35.514559999999996</v>
      </c>
      <c r="I51" s="32"/>
    </row>
    <row r="52" spans="1:8" ht="18" customHeight="1">
      <c r="A52" s="10">
        <f>A51+0.1</f>
        <v>7.1</v>
      </c>
      <c r="B52" s="4"/>
      <c r="C52" s="16" t="s">
        <v>103</v>
      </c>
      <c r="D52" s="4" t="s">
        <v>34</v>
      </c>
      <c r="E52" s="8">
        <v>0.06</v>
      </c>
      <c r="F52" s="10">
        <f>E52*F51</f>
        <v>5.16</v>
      </c>
      <c r="G52" s="8">
        <v>4.6</v>
      </c>
      <c r="H52" s="21">
        <f>F52*G52</f>
        <v>23.735999999999997</v>
      </c>
    </row>
    <row r="53" spans="1:8" ht="13.5" customHeight="1">
      <c r="A53" s="10">
        <f>A52+0.1</f>
        <v>7.199999999999999</v>
      </c>
      <c r="B53" s="4"/>
      <c r="C53" s="16" t="s">
        <v>22</v>
      </c>
      <c r="D53" s="4" t="s">
        <v>72</v>
      </c>
      <c r="E53" s="8">
        <v>0.0428</v>
      </c>
      <c r="F53" s="10">
        <f>E53*F51</f>
        <v>3.6807999999999996</v>
      </c>
      <c r="G53" s="8">
        <v>3.2</v>
      </c>
      <c r="H53" s="21">
        <f>F53*G53</f>
        <v>11.778559999999999</v>
      </c>
    </row>
    <row r="54" spans="1:8" s="14" customFormat="1" ht="51.75" customHeight="1">
      <c r="A54" s="3" t="s">
        <v>76</v>
      </c>
      <c r="B54" s="3" t="s">
        <v>109</v>
      </c>
      <c r="C54" s="5" t="s">
        <v>68</v>
      </c>
      <c r="D54" s="3" t="s">
        <v>135</v>
      </c>
      <c r="E54" s="12"/>
      <c r="F54" s="17">
        <v>1</v>
      </c>
      <c r="G54" s="12"/>
      <c r="H54" s="33">
        <f>H55+H56++H57++H58++H59</f>
        <v>566.3100000000001</v>
      </c>
    </row>
    <row r="55" spans="1:8" ht="13.5">
      <c r="A55" s="10">
        <f>A54+0.1</f>
        <v>8.1</v>
      </c>
      <c r="B55" s="4"/>
      <c r="C55" s="31" t="s">
        <v>110</v>
      </c>
      <c r="D55" s="4" t="s">
        <v>34</v>
      </c>
      <c r="E55" s="8">
        <v>19.09</v>
      </c>
      <c r="F55" s="10">
        <f>E55*F54</f>
        <v>19.09</v>
      </c>
      <c r="G55" s="8">
        <v>4.6</v>
      </c>
      <c r="H55" s="21">
        <f>F55*G55</f>
        <v>87.814</v>
      </c>
    </row>
    <row r="56" spans="1:8" ht="15" customHeight="1">
      <c r="A56" s="10">
        <f>A55+0.1</f>
        <v>8.2</v>
      </c>
      <c r="B56" s="4"/>
      <c r="C56" s="31" t="s">
        <v>100</v>
      </c>
      <c r="D56" s="4" t="s">
        <v>72</v>
      </c>
      <c r="E56" s="8">
        <v>0.45</v>
      </c>
      <c r="F56" s="10">
        <f>E56*F54</f>
        <v>0.45</v>
      </c>
      <c r="G56" s="8">
        <v>3.2</v>
      </c>
      <c r="H56" s="21">
        <f>F56*G56</f>
        <v>1.4400000000000002</v>
      </c>
    </row>
    <row r="57" spans="1:8" ht="13.5">
      <c r="A57" s="10">
        <f>A56+0.1</f>
        <v>8.299999999999999</v>
      </c>
      <c r="B57" s="4"/>
      <c r="C57" s="22" t="s">
        <v>95</v>
      </c>
      <c r="D57" s="4" t="s">
        <v>26</v>
      </c>
      <c r="E57" s="10">
        <v>1</v>
      </c>
      <c r="F57" s="10">
        <f>E57*F54</f>
        <v>1</v>
      </c>
      <c r="G57" s="8">
        <v>430</v>
      </c>
      <c r="H57" s="21">
        <f>F57*G57</f>
        <v>430</v>
      </c>
    </row>
    <row r="58" spans="1:8" ht="13.5">
      <c r="A58" s="10">
        <f>A57+0.1</f>
        <v>8.399999999999999</v>
      </c>
      <c r="B58" s="4"/>
      <c r="C58" s="22" t="s">
        <v>96</v>
      </c>
      <c r="D58" s="4" t="s">
        <v>7</v>
      </c>
      <c r="E58" s="10"/>
      <c r="F58" s="10">
        <v>1</v>
      </c>
      <c r="G58" s="8">
        <v>42</v>
      </c>
      <c r="H58" s="21">
        <f>F58*G58</f>
        <v>42</v>
      </c>
    </row>
    <row r="59" spans="1:8" ht="15.75" customHeight="1">
      <c r="A59" s="10">
        <f>A58+0.1</f>
        <v>8.499999999999998</v>
      </c>
      <c r="B59" s="4"/>
      <c r="C59" s="31" t="s">
        <v>22</v>
      </c>
      <c r="D59" s="4" t="s">
        <v>72</v>
      </c>
      <c r="E59" s="9">
        <v>1.58</v>
      </c>
      <c r="F59" s="10">
        <f>E59*F54</f>
        <v>1.58</v>
      </c>
      <c r="G59" s="8">
        <v>3.2</v>
      </c>
      <c r="H59" s="21">
        <f>F59*G59</f>
        <v>5.056000000000001</v>
      </c>
    </row>
    <row r="60" spans="1:8" s="14" customFormat="1" ht="52.5" customHeight="1">
      <c r="A60" s="3" t="s">
        <v>77</v>
      </c>
      <c r="B60" s="3" t="s">
        <v>20</v>
      </c>
      <c r="C60" s="5" t="s">
        <v>53</v>
      </c>
      <c r="D60" s="3" t="s">
        <v>7</v>
      </c>
      <c r="E60" s="17"/>
      <c r="F60" s="17">
        <v>10</v>
      </c>
      <c r="G60" s="17"/>
      <c r="H60" s="33">
        <f>H61+H62</f>
        <v>49.67999999999999</v>
      </c>
    </row>
    <row r="61" spans="1:8" ht="14.25" customHeight="1">
      <c r="A61" s="10">
        <f>A60+0.1</f>
        <v>9.1</v>
      </c>
      <c r="B61" s="4"/>
      <c r="C61" s="16" t="s">
        <v>27</v>
      </c>
      <c r="D61" s="4" t="s">
        <v>21</v>
      </c>
      <c r="E61" s="9">
        <v>0.76</v>
      </c>
      <c r="F61" s="10">
        <f>E61*F60</f>
        <v>7.6</v>
      </c>
      <c r="G61" s="8">
        <v>4.6</v>
      </c>
      <c r="H61" s="21">
        <f>F61*G61</f>
        <v>34.959999999999994</v>
      </c>
    </row>
    <row r="62" spans="1:8" ht="14.25" customHeight="1">
      <c r="A62" s="10">
        <f>A61+0.1</f>
        <v>9.2</v>
      </c>
      <c r="B62" s="4"/>
      <c r="C62" s="16" t="s">
        <v>28</v>
      </c>
      <c r="D62" s="4" t="s">
        <v>72</v>
      </c>
      <c r="E62" s="9">
        <v>0.46</v>
      </c>
      <c r="F62" s="10">
        <f>E62*F60</f>
        <v>4.6000000000000005</v>
      </c>
      <c r="G62" s="10">
        <v>3.2</v>
      </c>
      <c r="H62" s="21">
        <f>F62*G62</f>
        <v>14.720000000000002</v>
      </c>
    </row>
    <row r="63" spans="1:8" ht="16.5" customHeight="1">
      <c r="A63" s="4"/>
      <c r="B63" s="4"/>
      <c r="C63" s="28" t="s">
        <v>131</v>
      </c>
      <c r="D63" s="4"/>
      <c r="E63" s="8"/>
      <c r="F63" s="10"/>
      <c r="G63" s="8"/>
      <c r="H63" s="21"/>
    </row>
    <row r="64" spans="1:8" s="14" customFormat="1" ht="45" customHeight="1">
      <c r="A64" s="3" t="s">
        <v>78</v>
      </c>
      <c r="B64" s="3" t="s">
        <v>132</v>
      </c>
      <c r="C64" s="5" t="s">
        <v>133</v>
      </c>
      <c r="D64" s="3" t="s">
        <v>33</v>
      </c>
      <c r="E64" s="12"/>
      <c r="F64" s="17">
        <v>22</v>
      </c>
      <c r="G64" s="12"/>
      <c r="H64" s="33">
        <f>H65+H66++H67++H68++H69</f>
        <v>264.7176</v>
      </c>
    </row>
    <row r="65" spans="1:8" ht="17.25" customHeight="1">
      <c r="A65" s="10">
        <f>A64+0.1</f>
        <v>10.1</v>
      </c>
      <c r="B65" s="4"/>
      <c r="C65" s="16" t="s">
        <v>1</v>
      </c>
      <c r="D65" s="4" t="s">
        <v>34</v>
      </c>
      <c r="E65" s="8">
        <v>0.67</v>
      </c>
      <c r="F65" s="10">
        <f>E65*F64</f>
        <v>14.74</v>
      </c>
      <c r="G65" s="8">
        <v>4.6</v>
      </c>
      <c r="H65" s="21">
        <f>F65*G65</f>
        <v>67.804</v>
      </c>
    </row>
    <row r="66" spans="1:8" ht="15">
      <c r="A66" s="10">
        <f>A65+0.1</f>
        <v>10.2</v>
      </c>
      <c r="B66" s="4"/>
      <c r="C66" s="16" t="s">
        <v>2</v>
      </c>
      <c r="D66" s="4" t="s">
        <v>72</v>
      </c>
      <c r="E66" s="8">
        <v>0.001</v>
      </c>
      <c r="F66" s="10">
        <f>E66*F64</f>
        <v>0.022</v>
      </c>
      <c r="G66" s="8">
        <v>3.2</v>
      </c>
      <c r="H66" s="21">
        <f>F66*G66</f>
        <v>0.0704</v>
      </c>
    </row>
    <row r="67" spans="1:8" ht="15">
      <c r="A67" s="10">
        <f>A66+0.1</f>
        <v>10.299999999999999</v>
      </c>
      <c r="B67" s="4"/>
      <c r="C67" s="16" t="s">
        <v>105</v>
      </c>
      <c r="D67" s="4" t="s">
        <v>25</v>
      </c>
      <c r="E67" s="10">
        <v>1</v>
      </c>
      <c r="F67" s="10">
        <f>E67*F64</f>
        <v>22</v>
      </c>
      <c r="G67" s="8">
        <v>5.1</v>
      </c>
      <c r="H67" s="21">
        <f>F67*G67</f>
        <v>112.19999999999999</v>
      </c>
    </row>
    <row r="68" spans="1:8" ht="15">
      <c r="A68" s="10">
        <f>A67+0.1</f>
        <v>10.399999999999999</v>
      </c>
      <c r="B68" s="4"/>
      <c r="C68" s="16" t="s">
        <v>134</v>
      </c>
      <c r="D68" s="4" t="s">
        <v>35</v>
      </c>
      <c r="E68" s="8"/>
      <c r="F68" s="10">
        <v>14</v>
      </c>
      <c r="G68" s="8">
        <v>5</v>
      </c>
      <c r="H68" s="21">
        <f>F68*G68</f>
        <v>70</v>
      </c>
    </row>
    <row r="69" spans="1:8" ht="15">
      <c r="A69" s="10">
        <f>A68+0.1</f>
        <v>10.499999999999998</v>
      </c>
      <c r="B69" s="3"/>
      <c r="C69" s="16" t="s">
        <v>22</v>
      </c>
      <c r="D69" s="4" t="s">
        <v>72</v>
      </c>
      <c r="E69" s="8">
        <v>0.208</v>
      </c>
      <c r="F69" s="10">
        <f>E69*F64</f>
        <v>4.576</v>
      </c>
      <c r="G69" s="8">
        <v>3.2</v>
      </c>
      <c r="H69" s="21">
        <f>F69*G69</f>
        <v>14.6432</v>
      </c>
    </row>
    <row r="70" spans="1:8" s="14" customFormat="1" ht="45" customHeight="1">
      <c r="A70" s="3" t="s">
        <v>30</v>
      </c>
      <c r="B70" s="3" t="s">
        <v>36</v>
      </c>
      <c r="C70" s="5" t="s">
        <v>37</v>
      </c>
      <c r="D70" s="3" t="s">
        <v>33</v>
      </c>
      <c r="E70" s="12"/>
      <c r="F70" s="17">
        <v>20</v>
      </c>
      <c r="G70" s="12"/>
      <c r="H70" s="33">
        <f>H71+H72++H73+H74+H75</f>
        <v>224.448</v>
      </c>
    </row>
    <row r="71" spans="1:8" ht="15">
      <c r="A71" s="10">
        <f>A70+0.1</f>
        <v>11.1</v>
      </c>
      <c r="B71" s="4"/>
      <c r="C71" s="16" t="s">
        <v>38</v>
      </c>
      <c r="D71" s="4" t="s">
        <v>34</v>
      </c>
      <c r="E71" s="8">
        <v>0.7</v>
      </c>
      <c r="F71" s="10">
        <f>E71*F70</f>
        <v>14</v>
      </c>
      <c r="G71" s="8">
        <v>4.6</v>
      </c>
      <c r="H71" s="21">
        <f>F71*G71</f>
        <v>64.39999999999999</v>
      </c>
    </row>
    <row r="72" spans="1:8" ht="15">
      <c r="A72" s="10">
        <f>A71+0.1</f>
        <v>11.2</v>
      </c>
      <c r="B72" s="4"/>
      <c r="C72" s="16" t="s">
        <v>39</v>
      </c>
      <c r="D72" s="4" t="s">
        <v>72</v>
      </c>
      <c r="E72" s="8">
        <v>0.001</v>
      </c>
      <c r="F72" s="10">
        <f>E72*F70</f>
        <v>0.02</v>
      </c>
      <c r="G72" s="8">
        <v>3.2</v>
      </c>
      <c r="H72" s="21">
        <f>F72*G72</f>
        <v>0.064</v>
      </c>
    </row>
    <row r="73" spans="1:8" ht="16.5" customHeight="1">
      <c r="A73" s="10">
        <f>A72+0.1</f>
        <v>11.299999999999999</v>
      </c>
      <c r="B73" s="4"/>
      <c r="C73" s="16" t="s">
        <v>40</v>
      </c>
      <c r="D73" s="4" t="s">
        <v>25</v>
      </c>
      <c r="E73" s="10">
        <v>1</v>
      </c>
      <c r="F73" s="10">
        <f>E73*F70</f>
        <v>20</v>
      </c>
      <c r="G73" s="8">
        <v>4</v>
      </c>
      <c r="H73" s="21">
        <f>F73*G73</f>
        <v>80</v>
      </c>
    </row>
    <row r="74" spans="1:8" ht="15">
      <c r="A74" s="10">
        <f>A73+0.1</f>
        <v>11.399999999999999</v>
      </c>
      <c r="B74" s="4"/>
      <c r="C74" s="16" t="s">
        <v>41</v>
      </c>
      <c r="D74" s="4" t="s">
        <v>35</v>
      </c>
      <c r="E74" s="8"/>
      <c r="F74" s="10">
        <v>20</v>
      </c>
      <c r="G74" s="8">
        <v>3.5</v>
      </c>
      <c r="H74" s="21">
        <f>F74*G74</f>
        <v>70</v>
      </c>
    </row>
    <row r="75" spans="1:8" ht="15">
      <c r="A75" s="10">
        <f>A74+0.1</f>
        <v>11.499999999999998</v>
      </c>
      <c r="B75" s="4"/>
      <c r="C75" s="16" t="s">
        <v>22</v>
      </c>
      <c r="D75" s="4" t="s">
        <v>72</v>
      </c>
      <c r="E75" s="8">
        <v>0.156</v>
      </c>
      <c r="F75" s="10">
        <f>E75*F70</f>
        <v>3.12</v>
      </c>
      <c r="G75" s="8">
        <v>3.2</v>
      </c>
      <c r="H75" s="21">
        <f>F75*G75</f>
        <v>9.984000000000002</v>
      </c>
    </row>
    <row r="76" spans="1:8" s="14" customFormat="1" ht="48" customHeight="1">
      <c r="A76" s="3" t="s">
        <v>8</v>
      </c>
      <c r="B76" s="3" t="s">
        <v>114</v>
      </c>
      <c r="C76" s="5" t="s">
        <v>69</v>
      </c>
      <c r="D76" s="3" t="s">
        <v>135</v>
      </c>
      <c r="E76" s="12"/>
      <c r="F76" s="17">
        <v>4</v>
      </c>
      <c r="G76" s="12"/>
      <c r="H76" s="33">
        <f>H77++H78++H79++H80</f>
        <v>537.2479999999999</v>
      </c>
    </row>
    <row r="77" spans="1:8" ht="15">
      <c r="A77" s="10">
        <f>A76+0.1</f>
        <v>12.1</v>
      </c>
      <c r="B77" s="4"/>
      <c r="C77" s="16" t="s">
        <v>112</v>
      </c>
      <c r="D77" s="4" t="s">
        <v>34</v>
      </c>
      <c r="E77" s="8">
        <v>4.2</v>
      </c>
      <c r="F77" s="10">
        <f>E77*F76</f>
        <v>16.8</v>
      </c>
      <c r="G77" s="8">
        <v>4.6</v>
      </c>
      <c r="H77" s="21">
        <f>F77*G77</f>
        <v>77.28</v>
      </c>
    </row>
    <row r="78" spans="1:8" ht="15">
      <c r="A78" s="10">
        <f>A77+0.1</f>
        <v>12.2</v>
      </c>
      <c r="B78" s="4"/>
      <c r="C78" s="16" t="s">
        <v>113</v>
      </c>
      <c r="D78" s="4" t="s">
        <v>72</v>
      </c>
      <c r="E78" s="8">
        <v>0.32</v>
      </c>
      <c r="F78" s="10">
        <f>E78*F76</f>
        <v>1.28</v>
      </c>
      <c r="G78" s="8">
        <v>3.2</v>
      </c>
      <c r="H78" s="21">
        <f>F78*G78</f>
        <v>4.096</v>
      </c>
    </row>
    <row r="79" spans="1:8" ht="15">
      <c r="A79" s="10">
        <f>A78+0.1</f>
        <v>12.299999999999999</v>
      </c>
      <c r="B79" s="4"/>
      <c r="C79" s="16" t="s">
        <v>70</v>
      </c>
      <c r="D79" s="4" t="s">
        <v>26</v>
      </c>
      <c r="E79" s="8">
        <v>1</v>
      </c>
      <c r="F79" s="10">
        <f>E79*F76</f>
        <v>4</v>
      </c>
      <c r="G79" s="10">
        <v>110</v>
      </c>
      <c r="H79" s="21">
        <f>F79*G79</f>
        <v>440</v>
      </c>
    </row>
    <row r="80" spans="1:8" ht="15">
      <c r="A80" s="10">
        <f>A79+0.1</f>
        <v>12.399999999999999</v>
      </c>
      <c r="B80" s="4"/>
      <c r="C80" s="16" t="s">
        <v>22</v>
      </c>
      <c r="D80" s="4" t="s">
        <v>72</v>
      </c>
      <c r="E80" s="8">
        <v>1.24</v>
      </c>
      <c r="F80" s="10">
        <f>E80*F76</f>
        <v>4.96</v>
      </c>
      <c r="G80" s="8">
        <v>3.2</v>
      </c>
      <c r="H80" s="21">
        <f>F80*G80</f>
        <v>15.872</v>
      </c>
    </row>
    <row r="81" spans="1:8" s="14" customFormat="1" ht="52.5" customHeight="1">
      <c r="A81" s="3" t="s">
        <v>9</v>
      </c>
      <c r="B81" s="3" t="s">
        <v>115</v>
      </c>
      <c r="C81" s="5" t="s">
        <v>71</v>
      </c>
      <c r="D81" s="3" t="s">
        <v>135</v>
      </c>
      <c r="E81" s="12"/>
      <c r="F81" s="17">
        <v>4</v>
      </c>
      <c r="G81" s="12"/>
      <c r="H81" s="33">
        <f>H82+H83+H84+H85++H86++H87</f>
        <v>762.24</v>
      </c>
    </row>
    <row r="82" spans="1:8" ht="15">
      <c r="A82" s="10">
        <f aca="true" t="shared" si="6" ref="A82:A87">A81+0.1</f>
        <v>13.1</v>
      </c>
      <c r="B82" s="4"/>
      <c r="C82" s="16" t="s">
        <v>116</v>
      </c>
      <c r="D82" s="4" t="s">
        <v>34</v>
      </c>
      <c r="E82" s="8">
        <v>7.88</v>
      </c>
      <c r="F82" s="10">
        <f>E82*F81</f>
        <v>31.52</v>
      </c>
      <c r="G82" s="8">
        <v>4.6</v>
      </c>
      <c r="H82" s="21">
        <f aca="true" t="shared" si="7" ref="H82:H87">F82*G82</f>
        <v>144.992</v>
      </c>
    </row>
    <row r="83" spans="1:8" ht="15.75" customHeight="1">
      <c r="A83" s="10">
        <f t="shared" si="6"/>
        <v>13.2</v>
      </c>
      <c r="B83" s="4"/>
      <c r="C83" s="16" t="s">
        <v>117</v>
      </c>
      <c r="D83" s="4" t="s">
        <v>72</v>
      </c>
      <c r="E83" s="8">
        <v>0.04</v>
      </c>
      <c r="F83" s="10">
        <f>E83*F81</f>
        <v>0.16</v>
      </c>
      <c r="G83" s="8">
        <v>3.2</v>
      </c>
      <c r="H83" s="21">
        <f t="shared" si="7"/>
        <v>0.512</v>
      </c>
    </row>
    <row r="84" spans="1:8" ht="15" customHeight="1">
      <c r="A84" s="10">
        <f t="shared" si="6"/>
        <v>13.299999999999999</v>
      </c>
      <c r="B84" s="4"/>
      <c r="C84" s="16" t="s">
        <v>61</v>
      </c>
      <c r="D84" s="4" t="s">
        <v>26</v>
      </c>
      <c r="E84" s="8">
        <v>1</v>
      </c>
      <c r="F84" s="10">
        <f>E84*F81</f>
        <v>4</v>
      </c>
      <c r="G84" s="8">
        <v>110</v>
      </c>
      <c r="H84" s="21">
        <f t="shared" si="7"/>
        <v>440</v>
      </c>
    </row>
    <row r="85" spans="1:8" ht="15" customHeight="1">
      <c r="A85" s="10">
        <f t="shared" si="6"/>
        <v>13.399999999999999</v>
      </c>
      <c r="B85" s="4"/>
      <c r="C85" s="16" t="s">
        <v>99</v>
      </c>
      <c r="D85" s="4" t="s">
        <v>7</v>
      </c>
      <c r="E85" s="8">
        <v>1</v>
      </c>
      <c r="F85" s="10">
        <f>E85*F81</f>
        <v>4</v>
      </c>
      <c r="G85" s="8">
        <v>25</v>
      </c>
      <c r="H85" s="21">
        <f>F85*G85</f>
        <v>100</v>
      </c>
    </row>
    <row r="86" spans="1:8" ht="15" customHeight="1">
      <c r="A86" s="10">
        <f t="shared" si="6"/>
        <v>13.499999999999998</v>
      </c>
      <c r="B86" s="4"/>
      <c r="C86" s="16" t="s">
        <v>136</v>
      </c>
      <c r="D86" s="4" t="s">
        <v>7</v>
      </c>
      <c r="E86" s="8">
        <v>2</v>
      </c>
      <c r="F86" s="10">
        <f>E86*F81</f>
        <v>8</v>
      </c>
      <c r="G86" s="8">
        <v>9</v>
      </c>
      <c r="H86" s="21">
        <f t="shared" si="7"/>
        <v>72</v>
      </c>
    </row>
    <row r="87" spans="1:8" ht="15">
      <c r="A87" s="10">
        <f t="shared" si="6"/>
        <v>13.599999999999998</v>
      </c>
      <c r="B87" s="4"/>
      <c r="C87" s="16" t="s">
        <v>22</v>
      </c>
      <c r="D87" s="4" t="s">
        <v>72</v>
      </c>
      <c r="E87" s="8">
        <v>0.37</v>
      </c>
      <c r="F87" s="10">
        <f>E87*F81</f>
        <v>1.48</v>
      </c>
      <c r="G87" s="8">
        <v>3.2</v>
      </c>
      <c r="H87" s="21">
        <f t="shared" si="7"/>
        <v>4.736</v>
      </c>
    </row>
    <row r="88" spans="1:8" s="14" customFormat="1" ht="45" customHeight="1">
      <c r="A88" s="3" t="s">
        <v>10</v>
      </c>
      <c r="B88" s="3" t="s">
        <v>114</v>
      </c>
      <c r="C88" s="5" t="s">
        <v>62</v>
      </c>
      <c r="D88" s="3" t="s">
        <v>135</v>
      </c>
      <c r="E88" s="12"/>
      <c r="F88" s="17">
        <v>1</v>
      </c>
      <c r="G88" s="12"/>
      <c r="H88" s="33">
        <f>H89++H90++H91++H92</f>
        <v>154.31199999999998</v>
      </c>
    </row>
    <row r="89" spans="1:8" ht="15">
      <c r="A89" s="10">
        <f>A88+0.1</f>
        <v>14.1</v>
      </c>
      <c r="B89" s="4"/>
      <c r="C89" s="16" t="s">
        <v>112</v>
      </c>
      <c r="D89" s="4" t="s">
        <v>34</v>
      </c>
      <c r="E89" s="8">
        <v>4.2</v>
      </c>
      <c r="F89" s="10">
        <f>E89*F88</f>
        <v>4.2</v>
      </c>
      <c r="G89" s="8">
        <v>4.6</v>
      </c>
      <c r="H89" s="21">
        <f>F89*G89</f>
        <v>19.32</v>
      </c>
    </row>
    <row r="90" spans="1:8" ht="15">
      <c r="A90" s="10">
        <f>A89+0.1</f>
        <v>14.2</v>
      </c>
      <c r="B90" s="4"/>
      <c r="C90" s="16" t="s">
        <v>113</v>
      </c>
      <c r="D90" s="4" t="s">
        <v>72</v>
      </c>
      <c r="E90" s="8">
        <v>0.32</v>
      </c>
      <c r="F90" s="10">
        <f>E90*F88</f>
        <v>0.32</v>
      </c>
      <c r="G90" s="8">
        <v>3.2</v>
      </c>
      <c r="H90" s="21">
        <f>F90*G90</f>
        <v>1.024</v>
      </c>
    </row>
    <row r="91" spans="1:8" ht="15">
      <c r="A91" s="10">
        <f>A90+0.1</f>
        <v>14.299999999999999</v>
      </c>
      <c r="B91" s="4"/>
      <c r="C91" s="16" t="s">
        <v>126</v>
      </c>
      <c r="D91" s="4" t="s">
        <v>26</v>
      </c>
      <c r="E91" s="8">
        <v>1</v>
      </c>
      <c r="F91" s="10">
        <f>E91*F88</f>
        <v>1</v>
      </c>
      <c r="G91" s="10">
        <v>130</v>
      </c>
      <c r="H91" s="21">
        <f>F91*G91</f>
        <v>130</v>
      </c>
    </row>
    <row r="92" spans="1:8" ht="15">
      <c r="A92" s="10">
        <f>A91+0.1</f>
        <v>14.399999999999999</v>
      </c>
      <c r="B92" s="4"/>
      <c r="C92" s="16" t="s">
        <v>22</v>
      </c>
      <c r="D92" s="4" t="s">
        <v>72</v>
      </c>
      <c r="E92" s="8">
        <v>1.24</v>
      </c>
      <c r="F92" s="10">
        <f>E92*F88</f>
        <v>1.24</v>
      </c>
      <c r="G92" s="8">
        <v>3.2</v>
      </c>
      <c r="H92" s="21">
        <f>F92*G92</f>
        <v>3.968</v>
      </c>
    </row>
    <row r="93" spans="1:8" s="14" customFormat="1" ht="45.75" customHeight="1">
      <c r="A93" s="3" t="s">
        <v>31</v>
      </c>
      <c r="B93" s="3" t="s">
        <v>115</v>
      </c>
      <c r="C93" s="5" t="s">
        <v>63</v>
      </c>
      <c r="D93" s="3" t="s">
        <v>135</v>
      </c>
      <c r="E93" s="12"/>
      <c r="F93" s="17">
        <v>2</v>
      </c>
      <c r="G93" s="12"/>
      <c r="H93" s="33">
        <f>H94+H95+H96+H97++H98++H99</f>
        <v>401.12</v>
      </c>
    </row>
    <row r="94" spans="1:8" ht="15">
      <c r="A94" s="10">
        <f aca="true" t="shared" si="8" ref="A94:A99">A93+0.1</f>
        <v>15.1</v>
      </c>
      <c r="B94" s="4"/>
      <c r="C94" s="16" t="s">
        <v>116</v>
      </c>
      <c r="D94" s="4" t="s">
        <v>34</v>
      </c>
      <c r="E94" s="8">
        <v>7.88</v>
      </c>
      <c r="F94" s="10">
        <f>E94*F93</f>
        <v>15.76</v>
      </c>
      <c r="G94" s="8">
        <v>4.6</v>
      </c>
      <c r="H94" s="21">
        <f aca="true" t="shared" si="9" ref="H94:H99">F94*G94</f>
        <v>72.496</v>
      </c>
    </row>
    <row r="95" spans="1:8" ht="15.75" customHeight="1">
      <c r="A95" s="10">
        <f t="shared" si="8"/>
        <v>15.2</v>
      </c>
      <c r="B95" s="4"/>
      <c r="C95" s="16" t="s">
        <v>117</v>
      </c>
      <c r="D95" s="4" t="s">
        <v>72</v>
      </c>
      <c r="E95" s="8">
        <v>0.04</v>
      </c>
      <c r="F95" s="10">
        <f>E95*F93</f>
        <v>0.08</v>
      </c>
      <c r="G95" s="8">
        <v>3.2</v>
      </c>
      <c r="H95" s="21">
        <f t="shared" si="9"/>
        <v>0.256</v>
      </c>
    </row>
    <row r="96" spans="1:8" ht="15" customHeight="1">
      <c r="A96" s="10">
        <f t="shared" si="8"/>
        <v>15.299999999999999</v>
      </c>
      <c r="B96" s="4"/>
      <c r="C96" s="16" t="s">
        <v>65</v>
      </c>
      <c r="D96" s="4" t="s">
        <v>26</v>
      </c>
      <c r="E96" s="8">
        <v>1</v>
      </c>
      <c r="F96" s="10">
        <f>E96*F93</f>
        <v>2</v>
      </c>
      <c r="G96" s="8">
        <v>120</v>
      </c>
      <c r="H96" s="21">
        <f t="shared" si="9"/>
        <v>240</v>
      </c>
    </row>
    <row r="97" spans="1:8" ht="15" customHeight="1">
      <c r="A97" s="10">
        <f t="shared" si="8"/>
        <v>15.399999999999999</v>
      </c>
      <c r="B97" s="4"/>
      <c r="C97" s="16" t="s">
        <v>99</v>
      </c>
      <c r="D97" s="4" t="s">
        <v>7</v>
      </c>
      <c r="E97" s="8">
        <v>1</v>
      </c>
      <c r="F97" s="10">
        <f>E97*F93</f>
        <v>2</v>
      </c>
      <c r="G97" s="8">
        <v>25</v>
      </c>
      <c r="H97" s="21">
        <f t="shared" si="9"/>
        <v>50</v>
      </c>
    </row>
    <row r="98" spans="1:8" ht="15" customHeight="1">
      <c r="A98" s="10">
        <f t="shared" si="8"/>
        <v>15.499999999999998</v>
      </c>
      <c r="B98" s="4"/>
      <c r="C98" s="16" t="s">
        <v>136</v>
      </c>
      <c r="D98" s="4" t="s">
        <v>7</v>
      </c>
      <c r="E98" s="8">
        <v>2</v>
      </c>
      <c r="F98" s="10">
        <f>E98*F93</f>
        <v>4</v>
      </c>
      <c r="G98" s="8">
        <v>9</v>
      </c>
      <c r="H98" s="21">
        <f t="shared" si="9"/>
        <v>36</v>
      </c>
    </row>
    <row r="99" spans="1:8" ht="15">
      <c r="A99" s="10">
        <f t="shared" si="8"/>
        <v>15.599999999999998</v>
      </c>
      <c r="B99" s="4"/>
      <c r="C99" s="16" t="s">
        <v>22</v>
      </c>
      <c r="D99" s="4" t="s">
        <v>72</v>
      </c>
      <c r="E99" s="8">
        <v>0.37</v>
      </c>
      <c r="F99" s="10">
        <f>E99*F93</f>
        <v>0.74</v>
      </c>
      <c r="G99" s="8">
        <v>3.2</v>
      </c>
      <c r="H99" s="21">
        <f t="shared" si="9"/>
        <v>2.368</v>
      </c>
    </row>
    <row r="100" spans="1:8" s="14" customFormat="1" ht="47.25" customHeight="1">
      <c r="A100" s="3" t="s">
        <v>13</v>
      </c>
      <c r="B100" s="3" t="s">
        <v>115</v>
      </c>
      <c r="C100" s="5" t="s">
        <v>64</v>
      </c>
      <c r="D100" s="3" t="s">
        <v>135</v>
      </c>
      <c r="E100" s="12"/>
      <c r="F100" s="17">
        <v>1</v>
      </c>
      <c r="G100" s="12"/>
      <c r="H100" s="33">
        <f>H101+H102++H103++H104++H105</f>
        <v>152.56</v>
      </c>
    </row>
    <row r="101" spans="1:8" ht="15">
      <c r="A101" s="10">
        <f>A100+0.1</f>
        <v>16.1</v>
      </c>
      <c r="B101" s="4"/>
      <c r="C101" s="16" t="s">
        <v>116</v>
      </c>
      <c r="D101" s="4" t="s">
        <v>34</v>
      </c>
      <c r="E101" s="8">
        <v>7.88</v>
      </c>
      <c r="F101" s="10">
        <f>E101*F100</f>
        <v>7.88</v>
      </c>
      <c r="G101" s="8">
        <v>4.6</v>
      </c>
      <c r="H101" s="21">
        <f>F101*G101</f>
        <v>36.248</v>
      </c>
    </row>
    <row r="102" spans="1:8" ht="15.75" customHeight="1">
      <c r="A102" s="10">
        <f>A101+0.1</f>
        <v>16.200000000000003</v>
      </c>
      <c r="B102" s="4"/>
      <c r="C102" s="16" t="s">
        <v>117</v>
      </c>
      <c r="D102" s="4" t="s">
        <v>72</v>
      </c>
      <c r="E102" s="8">
        <v>0.04</v>
      </c>
      <c r="F102" s="10">
        <f>E102*F100</f>
        <v>0.04</v>
      </c>
      <c r="G102" s="8">
        <v>3.2</v>
      </c>
      <c r="H102" s="21">
        <f>F102*G102</f>
        <v>0.128</v>
      </c>
    </row>
    <row r="103" spans="1:8" ht="15" customHeight="1">
      <c r="A103" s="10">
        <f>A102+0.1</f>
        <v>16.300000000000004</v>
      </c>
      <c r="B103" s="4"/>
      <c r="C103" s="16" t="s">
        <v>64</v>
      </c>
      <c r="D103" s="4" t="s">
        <v>26</v>
      </c>
      <c r="E103" s="8">
        <v>1</v>
      </c>
      <c r="F103" s="10">
        <f>E103*F100</f>
        <v>1</v>
      </c>
      <c r="G103" s="8">
        <v>90</v>
      </c>
      <c r="H103" s="21">
        <f>F103*G103</f>
        <v>90</v>
      </c>
    </row>
    <row r="104" spans="1:8" ht="15" customHeight="1">
      <c r="A104" s="10">
        <f>A103+0.1</f>
        <v>16.400000000000006</v>
      </c>
      <c r="B104" s="4"/>
      <c r="C104" s="16" t="s">
        <v>99</v>
      </c>
      <c r="D104" s="4" t="s">
        <v>7</v>
      </c>
      <c r="E104" s="8">
        <v>1</v>
      </c>
      <c r="F104" s="10">
        <f>E104*F100</f>
        <v>1</v>
      </c>
      <c r="G104" s="8">
        <v>25</v>
      </c>
      <c r="H104" s="21">
        <f>F104*G104</f>
        <v>25</v>
      </c>
    </row>
    <row r="105" spans="1:8" ht="15">
      <c r="A105" s="10">
        <f>A104+0.1</f>
        <v>16.500000000000007</v>
      </c>
      <c r="B105" s="4"/>
      <c r="C105" s="16" t="s">
        <v>22</v>
      </c>
      <c r="D105" s="4" t="s">
        <v>72</v>
      </c>
      <c r="E105" s="8">
        <v>0.37</v>
      </c>
      <c r="F105" s="10">
        <f>E105*F100</f>
        <v>0.37</v>
      </c>
      <c r="G105" s="8">
        <v>3.2</v>
      </c>
      <c r="H105" s="21">
        <f>F105*G105</f>
        <v>1.184</v>
      </c>
    </row>
    <row r="106" spans="1:8" s="14" customFormat="1" ht="48" customHeight="1">
      <c r="A106" s="3" t="s">
        <v>14</v>
      </c>
      <c r="B106" s="3" t="s">
        <v>52</v>
      </c>
      <c r="C106" s="5" t="s">
        <v>118</v>
      </c>
      <c r="D106" s="3" t="s">
        <v>35</v>
      </c>
      <c r="E106" s="12"/>
      <c r="F106" s="17">
        <v>7</v>
      </c>
      <c r="G106" s="12"/>
      <c r="H106" s="33">
        <f>H107+H108+H109+H110</f>
        <v>125.013</v>
      </c>
    </row>
    <row r="107" spans="1:8" ht="15">
      <c r="A107" s="10">
        <f>A106+0.1</f>
        <v>17.1</v>
      </c>
      <c r="B107" s="4"/>
      <c r="C107" s="16" t="s">
        <v>97</v>
      </c>
      <c r="D107" s="4" t="s">
        <v>34</v>
      </c>
      <c r="E107" s="8">
        <v>0.529</v>
      </c>
      <c r="F107" s="10">
        <f>E107*F106</f>
        <v>3.7030000000000003</v>
      </c>
      <c r="G107" s="8">
        <v>4.6</v>
      </c>
      <c r="H107" s="21">
        <f>F107*G107</f>
        <v>17.0338</v>
      </c>
    </row>
    <row r="108" spans="1:8" ht="15">
      <c r="A108" s="10">
        <f>A107+0.1</f>
        <v>17.200000000000003</v>
      </c>
      <c r="B108" s="4"/>
      <c r="C108" s="16" t="s">
        <v>32</v>
      </c>
      <c r="D108" s="4" t="s">
        <v>72</v>
      </c>
      <c r="E108" s="8">
        <v>0.023</v>
      </c>
      <c r="F108" s="10">
        <f>E108*F106</f>
        <v>0.161</v>
      </c>
      <c r="G108" s="8">
        <v>3.2</v>
      </c>
      <c r="H108" s="21">
        <f>F108*G108</f>
        <v>0.5152</v>
      </c>
    </row>
    <row r="109" spans="1:8" ht="15" customHeight="1">
      <c r="A109" s="10">
        <f>A108+0.1</f>
        <v>17.300000000000004</v>
      </c>
      <c r="B109" s="4"/>
      <c r="C109" s="16" t="s">
        <v>119</v>
      </c>
      <c r="D109" s="4" t="s">
        <v>35</v>
      </c>
      <c r="E109" s="8">
        <v>1</v>
      </c>
      <c r="F109" s="10">
        <f>E109*F106</f>
        <v>7</v>
      </c>
      <c r="G109" s="10">
        <v>15</v>
      </c>
      <c r="H109" s="21">
        <f>F109*G109</f>
        <v>105</v>
      </c>
    </row>
    <row r="110" spans="1:8" ht="15">
      <c r="A110" s="10">
        <f>A109+0.1</f>
        <v>17.400000000000006</v>
      </c>
      <c r="B110" s="4"/>
      <c r="C110" s="16" t="s">
        <v>22</v>
      </c>
      <c r="D110" s="4" t="s">
        <v>72</v>
      </c>
      <c r="E110" s="8">
        <v>0.11</v>
      </c>
      <c r="F110" s="10">
        <f>E110*F106</f>
        <v>0.77</v>
      </c>
      <c r="G110" s="8">
        <v>3.2</v>
      </c>
      <c r="H110" s="21">
        <f>F110*G110</f>
        <v>2.4640000000000004</v>
      </c>
    </row>
    <row r="111" spans="1:8" s="14" customFormat="1" ht="45" customHeight="1">
      <c r="A111" s="3" t="s">
        <v>15</v>
      </c>
      <c r="B111" s="3" t="s">
        <v>52</v>
      </c>
      <c r="C111" s="5" t="s">
        <v>66</v>
      </c>
      <c r="D111" s="3" t="s">
        <v>35</v>
      </c>
      <c r="E111" s="12"/>
      <c r="F111" s="17">
        <v>2</v>
      </c>
      <c r="G111" s="12"/>
      <c r="H111" s="33">
        <f>H112+H113+H114+H115</f>
        <v>154.65120000000002</v>
      </c>
    </row>
    <row r="112" spans="1:8" ht="15">
      <c r="A112" s="10">
        <f>A111+0.1</f>
        <v>18.1</v>
      </c>
      <c r="B112" s="4"/>
      <c r="C112" s="16" t="s">
        <v>67</v>
      </c>
      <c r="D112" s="4" t="s">
        <v>34</v>
      </c>
      <c r="E112" s="8">
        <v>1.5</v>
      </c>
      <c r="F112" s="10">
        <f>E112*F111</f>
        <v>3</v>
      </c>
      <c r="G112" s="8">
        <v>4.6</v>
      </c>
      <c r="H112" s="21">
        <f>F112*G112</f>
        <v>13.799999999999999</v>
      </c>
    </row>
    <row r="113" spans="1:8" ht="15">
      <c r="A113" s="10">
        <f>A112+0.1</f>
        <v>18.200000000000003</v>
      </c>
      <c r="B113" s="4"/>
      <c r="C113" s="16" t="s">
        <v>32</v>
      </c>
      <c r="D113" s="4" t="s">
        <v>72</v>
      </c>
      <c r="E113" s="8">
        <v>0.023</v>
      </c>
      <c r="F113" s="10">
        <f>E113*F111</f>
        <v>0.046</v>
      </c>
      <c r="G113" s="8">
        <v>3.2</v>
      </c>
      <c r="H113" s="21">
        <f>F113*G113</f>
        <v>0.1472</v>
      </c>
    </row>
    <row r="114" spans="1:8" ht="15" customHeight="1">
      <c r="A114" s="10">
        <f>A113+0.1</f>
        <v>18.300000000000004</v>
      </c>
      <c r="B114" s="4"/>
      <c r="C114" s="16" t="s">
        <v>66</v>
      </c>
      <c r="D114" s="4" t="s">
        <v>35</v>
      </c>
      <c r="E114" s="8">
        <v>1</v>
      </c>
      <c r="F114" s="10">
        <f>E114*F111</f>
        <v>2</v>
      </c>
      <c r="G114" s="10">
        <v>70</v>
      </c>
      <c r="H114" s="21">
        <f>F114*G114</f>
        <v>140</v>
      </c>
    </row>
    <row r="115" spans="1:8" ht="15">
      <c r="A115" s="10">
        <f>A114+0.1</f>
        <v>18.400000000000006</v>
      </c>
      <c r="B115" s="4"/>
      <c r="C115" s="16" t="s">
        <v>22</v>
      </c>
      <c r="D115" s="4" t="s">
        <v>72</v>
      </c>
      <c r="E115" s="8">
        <v>0.11</v>
      </c>
      <c r="F115" s="10">
        <f>E115*F111</f>
        <v>0.22</v>
      </c>
      <c r="G115" s="8">
        <v>3.2</v>
      </c>
      <c r="H115" s="21">
        <f>F115*G115</f>
        <v>0.7040000000000001</v>
      </c>
    </row>
    <row r="116" spans="1:8" s="14" customFormat="1" ht="45" customHeight="1">
      <c r="A116" s="3" t="s">
        <v>16</v>
      </c>
      <c r="B116" s="3" t="s">
        <v>52</v>
      </c>
      <c r="C116" s="5" t="s">
        <v>128</v>
      </c>
      <c r="D116" s="3" t="s">
        <v>35</v>
      </c>
      <c r="E116" s="12"/>
      <c r="F116" s="17">
        <v>3</v>
      </c>
      <c r="G116" s="12"/>
      <c r="H116" s="33">
        <f>H117+H118+H119+H120</f>
        <v>908.577</v>
      </c>
    </row>
    <row r="117" spans="1:8" ht="15">
      <c r="A117" s="10">
        <f>A116+0.1</f>
        <v>19.1</v>
      </c>
      <c r="B117" s="4"/>
      <c r="C117" s="16" t="s">
        <v>97</v>
      </c>
      <c r="D117" s="4" t="s">
        <v>34</v>
      </c>
      <c r="E117" s="8">
        <v>0.529</v>
      </c>
      <c r="F117" s="10">
        <f>E117*F116</f>
        <v>1.5870000000000002</v>
      </c>
      <c r="G117" s="8">
        <v>4.6</v>
      </c>
      <c r="H117" s="21">
        <f>F117*G117</f>
        <v>7.3002</v>
      </c>
    </row>
    <row r="118" spans="1:8" ht="15">
      <c r="A118" s="10">
        <f>A117+0.1</f>
        <v>19.200000000000003</v>
      </c>
      <c r="B118" s="4"/>
      <c r="C118" s="16" t="s">
        <v>32</v>
      </c>
      <c r="D118" s="4" t="s">
        <v>72</v>
      </c>
      <c r="E118" s="8">
        <v>0.023</v>
      </c>
      <c r="F118" s="10">
        <f>E118*F116</f>
        <v>0.069</v>
      </c>
      <c r="G118" s="8">
        <v>3.2</v>
      </c>
      <c r="H118" s="21">
        <f>F118*G118</f>
        <v>0.22080000000000002</v>
      </c>
    </row>
    <row r="119" spans="1:8" ht="15" customHeight="1">
      <c r="A119" s="10">
        <f>A118+0.1</f>
        <v>19.300000000000004</v>
      </c>
      <c r="B119" s="4"/>
      <c r="C119" s="16" t="s">
        <v>127</v>
      </c>
      <c r="D119" s="4" t="s">
        <v>35</v>
      </c>
      <c r="E119" s="8">
        <v>1</v>
      </c>
      <c r="F119" s="10">
        <f>E119*F116</f>
        <v>3</v>
      </c>
      <c r="G119" s="10">
        <v>300</v>
      </c>
      <c r="H119" s="21">
        <f>F119*G119</f>
        <v>900</v>
      </c>
    </row>
    <row r="120" spans="1:8" ht="15">
      <c r="A120" s="10">
        <f>A119+0.1</f>
        <v>19.400000000000006</v>
      </c>
      <c r="B120" s="4"/>
      <c r="C120" s="16" t="s">
        <v>22</v>
      </c>
      <c r="D120" s="4" t="s">
        <v>72</v>
      </c>
      <c r="E120" s="8">
        <v>0.11</v>
      </c>
      <c r="F120" s="10">
        <f>E120*F116</f>
        <v>0.33</v>
      </c>
      <c r="G120" s="8">
        <v>3.2</v>
      </c>
      <c r="H120" s="21">
        <f>F120*G120</f>
        <v>1.056</v>
      </c>
    </row>
    <row r="121" spans="1:8" s="14" customFormat="1" ht="52.5" customHeight="1">
      <c r="A121" s="3" t="s">
        <v>17</v>
      </c>
      <c r="B121" s="3" t="s">
        <v>20</v>
      </c>
      <c r="C121" s="5" t="s">
        <v>53</v>
      </c>
      <c r="D121" s="3" t="s">
        <v>7</v>
      </c>
      <c r="E121" s="17"/>
      <c r="F121" s="17">
        <v>8</v>
      </c>
      <c r="G121" s="17"/>
      <c r="H121" s="33">
        <f>H122+H123</f>
        <v>39.744</v>
      </c>
    </row>
    <row r="122" spans="1:8" ht="14.25" customHeight="1">
      <c r="A122" s="10">
        <f>A121+0.1</f>
        <v>20.1</v>
      </c>
      <c r="B122" s="4"/>
      <c r="C122" s="16" t="s">
        <v>27</v>
      </c>
      <c r="D122" s="4" t="s">
        <v>21</v>
      </c>
      <c r="E122" s="9">
        <v>0.76</v>
      </c>
      <c r="F122" s="10">
        <f>E122*F121</f>
        <v>6.08</v>
      </c>
      <c r="G122" s="8">
        <v>4.6</v>
      </c>
      <c r="H122" s="21">
        <f>F122*G122</f>
        <v>27.967999999999996</v>
      </c>
    </row>
    <row r="123" spans="1:8" ht="14.25" customHeight="1">
      <c r="A123" s="10">
        <f>A122+0.1</f>
        <v>20.200000000000003</v>
      </c>
      <c r="B123" s="4"/>
      <c r="C123" s="16" t="s">
        <v>28</v>
      </c>
      <c r="D123" s="4" t="s">
        <v>72</v>
      </c>
      <c r="E123" s="9">
        <v>0.46</v>
      </c>
      <c r="F123" s="10">
        <f>E123*F121</f>
        <v>3.68</v>
      </c>
      <c r="G123" s="10">
        <v>3.2</v>
      </c>
      <c r="H123" s="21">
        <f>F123*G123</f>
        <v>11.776000000000002</v>
      </c>
    </row>
    <row r="124" spans="1:10" ht="13.5">
      <c r="A124" s="3"/>
      <c r="B124" s="4"/>
      <c r="C124" s="3" t="s">
        <v>11</v>
      </c>
      <c r="D124" s="3" t="s">
        <v>72</v>
      </c>
      <c r="E124" s="12"/>
      <c r="F124" s="12"/>
      <c r="G124" s="15"/>
      <c r="H124" s="33" t="e">
        <f>H121++#REF!++#REF!+H116++H111+H106++H81++H76+#REF!+H70++H64++#REF!++H51++H29++H22++H15</f>
        <v>#REF!</v>
      </c>
      <c r="I124" s="24"/>
      <c r="J124" s="14"/>
    </row>
    <row r="125" spans="1:10" ht="16.5" customHeight="1">
      <c r="A125" s="3"/>
      <c r="B125" s="4"/>
      <c r="C125" s="3" t="s">
        <v>12</v>
      </c>
      <c r="D125" s="3" t="s">
        <v>72</v>
      </c>
      <c r="E125" s="12"/>
      <c r="F125" s="12"/>
      <c r="G125" s="12"/>
      <c r="H125" s="33" t="e">
        <f>H122+#REF!+#REF!+H117+H112+H107+H82+H77+#REF!+H71+H65+#REF!+#REF!+H52+H30+H23+H16</f>
        <v>#REF!</v>
      </c>
      <c r="I125" s="35"/>
      <c r="J125" s="14"/>
    </row>
    <row r="126" spans="1:10" ht="27.75" customHeight="1">
      <c r="A126" s="3"/>
      <c r="B126" s="4"/>
      <c r="C126" s="3" t="s">
        <v>18</v>
      </c>
      <c r="D126" s="3" t="s">
        <v>72</v>
      </c>
      <c r="E126" s="12"/>
      <c r="F126" s="12"/>
      <c r="G126" s="12"/>
      <c r="H126" s="33" t="e">
        <f>H124-H125</f>
        <v>#REF!</v>
      </c>
      <c r="I126" s="14"/>
      <c r="J126" s="14"/>
    </row>
    <row r="127" spans="1:10" ht="15">
      <c r="A127" s="3"/>
      <c r="B127" s="4"/>
      <c r="C127" s="5" t="s">
        <v>125</v>
      </c>
      <c r="D127" s="5"/>
      <c r="E127" s="11"/>
      <c r="F127" s="11"/>
      <c r="G127" s="11"/>
      <c r="H127" s="21" t="e">
        <f>H124*0.02</f>
        <v>#REF!</v>
      </c>
      <c r="I127" s="14"/>
      <c r="J127" s="14"/>
    </row>
    <row r="128" spans="1:10" ht="17.25" customHeight="1">
      <c r="A128" s="3"/>
      <c r="B128" s="4"/>
      <c r="C128" s="3" t="s">
        <v>79</v>
      </c>
      <c r="D128" s="3" t="s">
        <v>72</v>
      </c>
      <c r="E128" s="12"/>
      <c r="F128" s="12"/>
      <c r="G128" s="12"/>
      <c r="H128" s="33" t="e">
        <f>H127+H124</f>
        <v>#REF!</v>
      </c>
      <c r="I128" s="14"/>
      <c r="J128" s="14"/>
    </row>
    <row r="129" spans="1:10" ht="19.5" customHeight="1">
      <c r="A129" s="3"/>
      <c r="B129" s="4"/>
      <c r="C129" s="3" t="s">
        <v>122</v>
      </c>
      <c r="D129" s="3" t="s">
        <v>72</v>
      </c>
      <c r="E129" s="12"/>
      <c r="F129" s="12"/>
      <c r="G129" s="12"/>
      <c r="H129" s="33" t="e">
        <f>H128*0.1</f>
        <v>#REF!</v>
      </c>
      <c r="I129" s="14"/>
      <c r="J129" s="14"/>
    </row>
    <row r="130" spans="1:10" ht="15" customHeight="1">
      <c r="A130" s="3"/>
      <c r="B130" s="4"/>
      <c r="C130" s="3" t="s">
        <v>79</v>
      </c>
      <c r="D130" s="3" t="s">
        <v>72</v>
      </c>
      <c r="E130" s="12"/>
      <c r="F130" s="12"/>
      <c r="G130" s="12"/>
      <c r="H130" s="33" t="e">
        <f>H128+H129</f>
        <v>#REF!</v>
      </c>
      <c r="I130" s="14"/>
      <c r="J130" s="14"/>
    </row>
    <row r="131" spans="1:10" ht="19.5" customHeight="1">
      <c r="A131" s="3"/>
      <c r="B131" s="4"/>
      <c r="C131" s="3" t="s">
        <v>123</v>
      </c>
      <c r="D131" s="3" t="s">
        <v>72</v>
      </c>
      <c r="E131" s="12"/>
      <c r="F131" s="12"/>
      <c r="G131" s="12"/>
      <c r="H131" s="33" t="e">
        <f>H130*0.08</f>
        <v>#REF!</v>
      </c>
      <c r="I131" s="14"/>
      <c r="J131" s="14"/>
    </row>
    <row r="132" spans="1:8" ht="17.25" customHeight="1">
      <c r="A132" s="4"/>
      <c r="B132" s="4"/>
      <c r="C132" s="3" t="s">
        <v>19</v>
      </c>
      <c r="D132" s="3" t="s">
        <v>72</v>
      </c>
      <c r="E132" s="8"/>
      <c r="F132" s="8"/>
      <c r="G132" s="20"/>
      <c r="H132" s="33" t="e">
        <f>H130+H131</f>
        <v>#REF!</v>
      </c>
    </row>
    <row r="135" spans="1:7" ht="15">
      <c r="A135" s="26"/>
      <c r="B135" s="26"/>
      <c r="C135" s="26"/>
      <c r="D135" s="26"/>
      <c r="E135" s="26"/>
      <c r="F135" s="26"/>
      <c r="G135" s="26"/>
    </row>
    <row r="136" spans="1:9" ht="15" customHeight="1">
      <c r="A136" s="203" t="s">
        <v>54</v>
      </c>
      <c r="B136" s="203"/>
      <c r="C136" s="203"/>
      <c r="D136" s="203"/>
      <c r="E136" s="203"/>
      <c r="F136" s="203"/>
      <c r="G136" s="203"/>
      <c r="H136" s="203"/>
      <c r="I136" s="23"/>
    </row>
    <row r="139" spans="3:10" ht="15" customHeight="1">
      <c r="C139" s="204"/>
      <c r="D139" s="204"/>
      <c r="E139" s="204"/>
      <c r="F139" s="204"/>
      <c r="G139" s="204"/>
      <c r="H139" s="204"/>
      <c r="I139" s="204"/>
      <c r="J139" s="204"/>
    </row>
  </sheetData>
  <sheetProtection/>
  <mergeCells count="16">
    <mergeCell ref="A7:D7"/>
    <mergeCell ref="A8:D8"/>
    <mergeCell ref="A1:H1"/>
    <mergeCell ref="A3:H3"/>
    <mergeCell ref="A4:H4"/>
    <mergeCell ref="A6:H6"/>
    <mergeCell ref="A136:H136"/>
    <mergeCell ref="C139:J139"/>
    <mergeCell ref="A9:D9"/>
    <mergeCell ref="A10:H10"/>
    <mergeCell ref="A12:A13"/>
    <mergeCell ref="B12:B13"/>
    <mergeCell ref="C12:C13"/>
    <mergeCell ref="D12:D13"/>
    <mergeCell ref="E12:F12"/>
    <mergeCell ref="G12:H12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526"/>
  <sheetViews>
    <sheetView tabSelected="1" zoomScalePageLayoutView="0" workbookViewId="0" topLeftCell="A1">
      <selection activeCell="J13" sqref="I12:J13"/>
    </sheetView>
  </sheetViews>
  <sheetFormatPr defaultColWidth="9.00390625" defaultRowHeight="12.75"/>
  <cols>
    <col min="1" max="1" width="5.25390625" style="164" customWidth="1"/>
    <col min="2" max="2" width="45.375" style="164" customWidth="1"/>
    <col min="3" max="3" width="9.125" style="164" customWidth="1"/>
    <col min="4" max="4" width="17.25390625" style="165" customWidth="1"/>
    <col min="5" max="5" width="14.125" style="164" customWidth="1"/>
    <col min="6" max="6" width="9.625" style="164" bestFit="1" customWidth="1"/>
    <col min="7" max="16384" width="9.125" style="164" customWidth="1"/>
  </cols>
  <sheetData>
    <row r="1" spans="1:5" s="183" customFormat="1" ht="19.5">
      <c r="A1" s="219" t="s">
        <v>389</v>
      </c>
      <c r="B1" s="219"/>
      <c r="C1" s="219"/>
      <c r="D1" s="219"/>
      <c r="E1" s="219"/>
    </row>
    <row r="2" spans="1:5" s="141" customFormat="1" ht="18">
      <c r="A2" s="220" t="s">
        <v>385</v>
      </c>
      <c r="B2" s="220"/>
      <c r="C2" s="220"/>
      <c r="D2" s="220"/>
      <c r="E2" s="220"/>
    </row>
    <row r="3" spans="1:10" s="187" customFormat="1" ht="21">
      <c r="A3" s="229" t="s">
        <v>393</v>
      </c>
      <c r="B3" s="229"/>
      <c r="C3" s="229"/>
      <c r="D3" s="229"/>
      <c r="E3" s="229"/>
      <c r="F3" s="186"/>
      <c r="G3" s="186"/>
      <c r="H3" s="186"/>
      <c r="I3" s="186"/>
      <c r="J3" s="186"/>
    </row>
    <row r="4" spans="1:10" s="187" customFormat="1" ht="16.5">
      <c r="A4" s="233" t="s">
        <v>394</v>
      </c>
      <c r="B4" s="233"/>
      <c r="C4" s="233"/>
      <c r="D4" s="233"/>
      <c r="E4" s="233"/>
      <c r="F4" s="186"/>
      <c r="G4" s="186"/>
      <c r="H4" s="186"/>
      <c r="I4" s="186"/>
      <c r="J4" s="186"/>
    </row>
    <row r="5" spans="1:10" s="187" customFormat="1" ht="16.5">
      <c r="A5" s="222" t="s">
        <v>73</v>
      </c>
      <c r="B5" s="222" t="s">
        <v>390</v>
      </c>
      <c r="C5" s="221" t="s">
        <v>391</v>
      </c>
      <c r="D5" s="222" t="s">
        <v>392</v>
      </c>
      <c r="E5" s="222" t="s">
        <v>88</v>
      </c>
      <c r="F5" s="186"/>
      <c r="G5" s="186"/>
      <c r="H5" s="186"/>
      <c r="I5" s="186"/>
      <c r="J5" s="186"/>
    </row>
    <row r="6" spans="1:10" s="187" customFormat="1" ht="16.5">
      <c r="A6" s="222"/>
      <c r="B6" s="222"/>
      <c r="C6" s="221"/>
      <c r="D6" s="222"/>
      <c r="E6" s="222"/>
      <c r="F6" s="186"/>
      <c r="G6" s="186"/>
      <c r="H6" s="186"/>
      <c r="I6" s="186"/>
      <c r="J6" s="186"/>
    </row>
    <row r="7" spans="1:10" s="187" customFormat="1" ht="16.5">
      <c r="A7" s="184">
        <v>1</v>
      </c>
      <c r="B7" s="184">
        <v>2</v>
      </c>
      <c r="C7" s="185">
        <v>3</v>
      </c>
      <c r="D7" s="184">
        <v>4</v>
      </c>
      <c r="E7" s="184">
        <v>5</v>
      </c>
      <c r="F7" s="186"/>
      <c r="G7" s="186"/>
      <c r="H7" s="186"/>
      <c r="I7" s="186"/>
      <c r="J7" s="186"/>
    </row>
    <row r="8" spans="1:5" s="47" customFormat="1" ht="15">
      <c r="A8" s="230" t="s">
        <v>306</v>
      </c>
      <c r="B8" s="231"/>
      <c r="C8" s="231"/>
      <c r="D8" s="231"/>
      <c r="E8" s="232"/>
    </row>
    <row r="9" spans="1:6" s="110" customFormat="1" ht="30">
      <c r="A9" s="37" t="s">
        <v>82</v>
      </c>
      <c r="B9" s="97" t="s">
        <v>344</v>
      </c>
      <c r="C9" s="37" t="s">
        <v>188</v>
      </c>
      <c r="D9" s="97"/>
      <c r="E9" s="41">
        <f>7+12</f>
        <v>19</v>
      </c>
      <c r="F9" s="171"/>
    </row>
    <row r="10" spans="1:6" s="110" customFormat="1" ht="15">
      <c r="A10" s="42"/>
      <c r="B10" s="37" t="s">
        <v>137</v>
      </c>
      <c r="C10" s="37" t="s">
        <v>58</v>
      </c>
      <c r="D10" s="97">
        <v>3.88</v>
      </c>
      <c r="E10" s="75">
        <f>D10*E9</f>
        <v>73.72</v>
      </c>
      <c r="F10" s="171"/>
    </row>
    <row r="11" spans="1:247" s="47" customFormat="1" ht="15.75">
      <c r="A11" s="166">
        <f>A9+1</f>
        <v>2</v>
      </c>
      <c r="B11" s="113" t="s">
        <v>192</v>
      </c>
      <c r="C11" s="112" t="s">
        <v>188</v>
      </c>
      <c r="D11" s="112"/>
      <c r="E11" s="111">
        <v>11.38</v>
      </c>
      <c r="F11" s="171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Q11" s="142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  <c r="ED11" s="142"/>
      <c r="EE11" s="142"/>
      <c r="EF11" s="142"/>
      <c r="EG11" s="142"/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2"/>
      <c r="FF11" s="142"/>
      <c r="FG11" s="142"/>
      <c r="FH11" s="142"/>
      <c r="FI11" s="142"/>
      <c r="FJ11" s="142"/>
      <c r="FK11" s="142"/>
      <c r="FL11" s="142"/>
      <c r="FM11" s="142"/>
      <c r="FN11" s="142"/>
      <c r="FO11" s="142"/>
      <c r="FP11" s="142"/>
      <c r="FQ11" s="142"/>
      <c r="FR11" s="142"/>
      <c r="FS11" s="142"/>
      <c r="FT11" s="142"/>
      <c r="FU11" s="142"/>
      <c r="FV11" s="142"/>
      <c r="FW11" s="142"/>
      <c r="FX11" s="142"/>
      <c r="FY11" s="142"/>
      <c r="FZ11" s="142"/>
      <c r="GA11" s="142"/>
      <c r="GB11" s="142"/>
      <c r="GC11" s="142"/>
      <c r="GD11" s="142"/>
      <c r="GE11" s="142"/>
      <c r="GF11" s="142"/>
      <c r="GG11" s="142"/>
      <c r="GH11" s="142"/>
      <c r="GI11" s="142"/>
      <c r="GJ11" s="142"/>
      <c r="GK11" s="142"/>
      <c r="GL11" s="142"/>
      <c r="GM11" s="142"/>
      <c r="GN11" s="142"/>
      <c r="GO11" s="142"/>
      <c r="GP11" s="142"/>
      <c r="GQ11" s="142"/>
      <c r="GR11" s="142"/>
      <c r="GS11" s="142"/>
      <c r="GT11" s="142"/>
      <c r="GU11" s="142"/>
      <c r="GV11" s="142"/>
      <c r="GW11" s="142"/>
      <c r="GX11" s="142"/>
      <c r="GY11" s="142"/>
      <c r="GZ11" s="142"/>
      <c r="HA11" s="142"/>
      <c r="HB11" s="142"/>
      <c r="HC11" s="142"/>
      <c r="HD11" s="142"/>
      <c r="HE11" s="142"/>
      <c r="HF11" s="142"/>
      <c r="HG11" s="142"/>
      <c r="HH11" s="142"/>
      <c r="HI11" s="142"/>
      <c r="HJ11" s="142"/>
      <c r="HK11" s="142"/>
      <c r="HL11" s="142"/>
      <c r="HM11" s="142"/>
      <c r="HN11" s="142"/>
      <c r="HO11" s="142"/>
      <c r="HP11" s="142"/>
      <c r="HQ11" s="142"/>
      <c r="HR11" s="142"/>
      <c r="HS11" s="142"/>
      <c r="HT11" s="142"/>
      <c r="HU11" s="142"/>
      <c r="HV11" s="142"/>
      <c r="HW11" s="142"/>
      <c r="HX11" s="142"/>
      <c r="HY11" s="142"/>
      <c r="HZ11" s="142"/>
      <c r="IA11" s="142"/>
      <c r="IB11" s="142"/>
      <c r="IC11" s="142"/>
      <c r="ID11" s="142"/>
      <c r="IE11" s="142"/>
      <c r="IF11" s="142"/>
      <c r="IG11" s="142"/>
      <c r="IH11" s="142"/>
      <c r="II11" s="142"/>
      <c r="IJ11" s="142"/>
      <c r="IK11" s="142"/>
      <c r="IL11" s="142"/>
      <c r="IM11" s="142"/>
    </row>
    <row r="12" spans="1:247" s="47" customFormat="1" ht="15">
      <c r="A12" s="112"/>
      <c r="B12" s="113" t="s">
        <v>137</v>
      </c>
      <c r="C12" s="112" t="s">
        <v>193</v>
      </c>
      <c r="D12" s="112">
        <v>0.87</v>
      </c>
      <c r="E12" s="111">
        <f>E11*D12</f>
        <v>9.9006</v>
      </c>
      <c r="F12" s="171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2"/>
      <c r="DF12" s="142"/>
      <c r="DG12" s="142"/>
      <c r="DH12" s="142"/>
      <c r="DI12" s="142"/>
      <c r="DJ12" s="142"/>
      <c r="DK12" s="142"/>
      <c r="DL12" s="142"/>
      <c r="DM12" s="142"/>
      <c r="DN12" s="142"/>
      <c r="DO12" s="142"/>
      <c r="DP12" s="142"/>
      <c r="DQ12" s="142"/>
      <c r="DR12" s="142"/>
      <c r="DS12" s="142"/>
      <c r="DT12" s="142"/>
      <c r="DU12" s="142"/>
      <c r="DV12" s="142"/>
      <c r="DW12" s="142"/>
      <c r="DX12" s="142"/>
      <c r="DY12" s="142"/>
      <c r="DZ12" s="142"/>
      <c r="EA12" s="142"/>
      <c r="EB12" s="142"/>
      <c r="EC12" s="142"/>
      <c r="ED12" s="142"/>
      <c r="EE12" s="142"/>
      <c r="EF12" s="142"/>
      <c r="EG12" s="142"/>
      <c r="EH12" s="142"/>
      <c r="EI12" s="142"/>
      <c r="EJ12" s="142"/>
      <c r="EK12" s="142"/>
      <c r="EL12" s="142"/>
      <c r="EM12" s="142"/>
      <c r="EN12" s="142"/>
      <c r="EO12" s="142"/>
      <c r="EP12" s="142"/>
      <c r="EQ12" s="142"/>
      <c r="ER12" s="142"/>
      <c r="ES12" s="142"/>
      <c r="ET12" s="142"/>
      <c r="EU12" s="142"/>
      <c r="EV12" s="142"/>
      <c r="EW12" s="142"/>
      <c r="EX12" s="142"/>
      <c r="EY12" s="142"/>
      <c r="EZ12" s="142"/>
      <c r="FA12" s="142"/>
      <c r="FB12" s="142"/>
      <c r="FC12" s="142"/>
      <c r="FD12" s="142"/>
      <c r="FE12" s="142"/>
      <c r="FF12" s="142"/>
      <c r="FG12" s="142"/>
      <c r="FH12" s="142"/>
      <c r="FI12" s="142"/>
      <c r="FJ12" s="142"/>
      <c r="FK12" s="142"/>
      <c r="FL12" s="142"/>
      <c r="FM12" s="142"/>
      <c r="FN12" s="142"/>
      <c r="FO12" s="142"/>
      <c r="FP12" s="142"/>
      <c r="FQ12" s="142"/>
      <c r="FR12" s="142"/>
      <c r="FS12" s="142"/>
      <c r="FT12" s="142"/>
      <c r="FU12" s="142"/>
      <c r="FV12" s="142"/>
      <c r="FW12" s="142"/>
      <c r="FX12" s="142"/>
      <c r="FY12" s="142"/>
      <c r="FZ12" s="142"/>
      <c r="GA12" s="142"/>
      <c r="GB12" s="142"/>
      <c r="GC12" s="142"/>
      <c r="GD12" s="142"/>
      <c r="GE12" s="142"/>
      <c r="GF12" s="142"/>
      <c r="GG12" s="142"/>
      <c r="GH12" s="142"/>
      <c r="GI12" s="142"/>
      <c r="GJ12" s="142"/>
      <c r="GK12" s="142"/>
      <c r="GL12" s="142"/>
      <c r="GM12" s="142"/>
      <c r="GN12" s="142"/>
      <c r="GO12" s="142"/>
      <c r="GP12" s="142"/>
      <c r="GQ12" s="142"/>
      <c r="GR12" s="142"/>
      <c r="GS12" s="142"/>
      <c r="GT12" s="142"/>
      <c r="GU12" s="142"/>
      <c r="GV12" s="142"/>
      <c r="GW12" s="142"/>
      <c r="GX12" s="142"/>
      <c r="GY12" s="142"/>
      <c r="GZ12" s="142"/>
      <c r="HA12" s="142"/>
      <c r="HB12" s="142"/>
      <c r="HC12" s="142"/>
      <c r="HD12" s="142"/>
      <c r="HE12" s="142"/>
      <c r="HF12" s="142"/>
      <c r="HG12" s="142"/>
      <c r="HH12" s="142"/>
      <c r="HI12" s="142"/>
      <c r="HJ12" s="142"/>
      <c r="HK12" s="142"/>
      <c r="HL12" s="142"/>
      <c r="HM12" s="142"/>
      <c r="HN12" s="142"/>
      <c r="HO12" s="142"/>
      <c r="HP12" s="142"/>
      <c r="HQ12" s="142"/>
      <c r="HR12" s="142"/>
      <c r="HS12" s="142"/>
      <c r="HT12" s="142"/>
      <c r="HU12" s="142"/>
      <c r="HV12" s="142"/>
      <c r="HW12" s="142"/>
      <c r="HX12" s="142"/>
      <c r="HY12" s="142"/>
      <c r="HZ12" s="142"/>
      <c r="IA12" s="142"/>
      <c r="IB12" s="142"/>
      <c r="IC12" s="142"/>
      <c r="ID12" s="142"/>
      <c r="IE12" s="142"/>
      <c r="IF12" s="142"/>
      <c r="IG12" s="142"/>
      <c r="IH12" s="142"/>
      <c r="II12" s="142"/>
      <c r="IJ12" s="142"/>
      <c r="IK12" s="142"/>
      <c r="IL12" s="142"/>
      <c r="IM12" s="142"/>
    </row>
    <row r="13" spans="1:247" s="47" customFormat="1" ht="15">
      <c r="A13" s="167">
        <f>A11+1</f>
        <v>3</v>
      </c>
      <c r="B13" s="41" t="s">
        <v>237</v>
      </c>
      <c r="C13" s="168" t="s">
        <v>150</v>
      </c>
      <c r="D13" s="190"/>
      <c r="E13" s="143">
        <f>E11*1.65</f>
        <v>18.777</v>
      </c>
      <c r="F13" s="171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  <c r="EL13" s="144"/>
      <c r="EM13" s="144"/>
      <c r="EN13" s="144"/>
      <c r="EO13" s="144"/>
      <c r="EP13" s="144"/>
      <c r="EQ13" s="144"/>
      <c r="ER13" s="144"/>
      <c r="ES13" s="144"/>
      <c r="ET13" s="144"/>
      <c r="EU13" s="144"/>
      <c r="EV13" s="144"/>
      <c r="EW13" s="144"/>
      <c r="EX13" s="144"/>
      <c r="EY13" s="144"/>
      <c r="EZ13" s="144"/>
      <c r="FA13" s="144"/>
      <c r="FB13" s="144"/>
      <c r="FC13" s="144"/>
      <c r="FD13" s="144"/>
      <c r="FE13" s="144"/>
      <c r="FF13" s="144"/>
      <c r="FG13" s="144"/>
      <c r="FH13" s="144"/>
      <c r="FI13" s="144"/>
      <c r="FJ13" s="144"/>
      <c r="FK13" s="144"/>
      <c r="FL13" s="144"/>
      <c r="FM13" s="144"/>
      <c r="FN13" s="144"/>
      <c r="FO13" s="144"/>
      <c r="FP13" s="144"/>
      <c r="FQ13" s="144"/>
      <c r="FR13" s="144"/>
      <c r="FS13" s="144"/>
      <c r="FT13" s="144"/>
      <c r="FU13" s="144"/>
      <c r="FV13" s="144"/>
      <c r="FW13" s="144"/>
      <c r="FX13" s="144"/>
      <c r="FY13" s="144"/>
      <c r="FZ13" s="144"/>
      <c r="GA13" s="144"/>
      <c r="GB13" s="144"/>
      <c r="GC13" s="144"/>
      <c r="GD13" s="144"/>
      <c r="GE13" s="144"/>
      <c r="GF13" s="144"/>
      <c r="GG13" s="144"/>
      <c r="GH13" s="144"/>
      <c r="GI13" s="144"/>
      <c r="GJ13" s="144"/>
      <c r="GK13" s="144"/>
      <c r="GL13" s="144"/>
      <c r="GM13" s="144"/>
      <c r="GN13" s="144"/>
      <c r="GO13" s="144"/>
      <c r="GP13" s="144"/>
      <c r="GQ13" s="144"/>
      <c r="GR13" s="144"/>
      <c r="GS13" s="144"/>
      <c r="GT13" s="144"/>
      <c r="GU13" s="144"/>
      <c r="GV13" s="144"/>
      <c r="GW13" s="144"/>
      <c r="GX13" s="144"/>
      <c r="GY13" s="144"/>
      <c r="GZ13" s="144"/>
      <c r="HA13" s="144"/>
      <c r="HB13" s="144"/>
      <c r="HC13" s="144"/>
      <c r="HD13" s="144"/>
      <c r="HE13" s="144"/>
      <c r="HF13" s="144"/>
      <c r="HG13" s="144"/>
      <c r="HH13" s="144"/>
      <c r="HI13" s="144"/>
      <c r="HJ13" s="144"/>
      <c r="HK13" s="144"/>
      <c r="HL13" s="144"/>
      <c r="HM13" s="144"/>
      <c r="HN13" s="144"/>
      <c r="HO13" s="144"/>
      <c r="HP13" s="144"/>
      <c r="HQ13" s="144"/>
      <c r="HR13" s="144"/>
      <c r="HS13" s="144"/>
      <c r="HT13" s="144"/>
      <c r="HU13" s="144"/>
      <c r="HV13" s="144"/>
      <c r="HW13" s="144"/>
      <c r="HX13" s="144"/>
      <c r="HY13" s="144"/>
      <c r="HZ13" s="144"/>
      <c r="IA13" s="144"/>
      <c r="IB13" s="144"/>
      <c r="IC13" s="144"/>
      <c r="ID13" s="144"/>
      <c r="IE13" s="144"/>
      <c r="IF13" s="144"/>
      <c r="IG13" s="144"/>
      <c r="IH13" s="144"/>
      <c r="II13" s="144"/>
      <c r="IJ13" s="144"/>
      <c r="IK13" s="144"/>
      <c r="IL13" s="144"/>
      <c r="IM13" s="144"/>
    </row>
    <row r="14" spans="1:6" s="110" customFormat="1" ht="45">
      <c r="A14" s="78">
        <f>A13+1</f>
        <v>4</v>
      </c>
      <c r="B14" s="97" t="s">
        <v>325</v>
      </c>
      <c r="C14" s="37" t="s">
        <v>188</v>
      </c>
      <c r="D14" s="97"/>
      <c r="E14" s="41">
        <f>3.13+6</f>
        <v>9.129999999999999</v>
      </c>
      <c r="F14" s="171"/>
    </row>
    <row r="15" spans="1:6" s="110" customFormat="1" ht="15">
      <c r="A15" s="42"/>
      <c r="B15" s="37" t="s">
        <v>137</v>
      </c>
      <c r="C15" s="37" t="s">
        <v>58</v>
      </c>
      <c r="D15" s="97">
        <f>860/100</f>
        <v>8.6</v>
      </c>
      <c r="E15" s="75">
        <f>E14*D15</f>
        <v>78.51799999999999</v>
      </c>
      <c r="F15" s="171"/>
    </row>
    <row r="16" spans="1:6" s="110" customFormat="1" ht="15">
      <c r="A16" s="97"/>
      <c r="B16" s="97" t="s">
        <v>315</v>
      </c>
      <c r="C16" s="145" t="s">
        <v>152</v>
      </c>
      <c r="D16" s="97">
        <f>670/100</f>
        <v>6.7</v>
      </c>
      <c r="E16" s="41">
        <f>E14*D16</f>
        <v>61.17099999999999</v>
      </c>
      <c r="F16" s="171"/>
    </row>
    <row r="17" spans="1:247" s="47" customFormat="1" ht="30">
      <c r="A17" s="166">
        <f>A14+1</f>
        <v>5</v>
      </c>
      <c r="B17" s="113" t="s">
        <v>316</v>
      </c>
      <c r="C17" s="112" t="s">
        <v>188</v>
      </c>
      <c r="D17" s="112"/>
      <c r="E17" s="111">
        <f>E14</f>
        <v>9.129999999999999</v>
      </c>
      <c r="F17" s="171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A17" s="142"/>
      <c r="DB17" s="142"/>
      <c r="DC17" s="142"/>
      <c r="DD17" s="142"/>
      <c r="DE17" s="142"/>
      <c r="DF17" s="142"/>
      <c r="DG17" s="142"/>
      <c r="DH17" s="142"/>
      <c r="DI17" s="142"/>
      <c r="DJ17" s="142"/>
      <c r="DK17" s="142"/>
      <c r="DL17" s="142"/>
      <c r="DM17" s="142"/>
      <c r="DN17" s="142"/>
      <c r="DO17" s="142"/>
      <c r="DP17" s="142"/>
      <c r="DQ17" s="142"/>
      <c r="DR17" s="142"/>
      <c r="DS17" s="142"/>
      <c r="DT17" s="142"/>
      <c r="DU17" s="142"/>
      <c r="DV17" s="142"/>
      <c r="DW17" s="142"/>
      <c r="DX17" s="142"/>
      <c r="DY17" s="142"/>
      <c r="DZ17" s="142"/>
      <c r="EA17" s="142"/>
      <c r="EB17" s="142"/>
      <c r="EC17" s="142"/>
      <c r="ED17" s="142"/>
      <c r="EE17" s="142"/>
      <c r="EF17" s="142"/>
      <c r="EG17" s="142"/>
      <c r="EH17" s="142"/>
      <c r="EI17" s="142"/>
      <c r="EJ17" s="142"/>
      <c r="EK17" s="142"/>
      <c r="EL17" s="142"/>
      <c r="EM17" s="142"/>
      <c r="EN17" s="142"/>
      <c r="EO17" s="142"/>
      <c r="EP17" s="142"/>
      <c r="EQ17" s="142"/>
      <c r="ER17" s="142"/>
      <c r="ES17" s="142"/>
      <c r="ET17" s="142"/>
      <c r="EU17" s="142"/>
      <c r="EV17" s="142"/>
      <c r="EW17" s="142"/>
      <c r="EX17" s="142"/>
      <c r="EY17" s="142"/>
      <c r="EZ17" s="142"/>
      <c r="FA17" s="142"/>
      <c r="FB17" s="142"/>
      <c r="FC17" s="142"/>
      <c r="FD17" s="142"/>
      <c r="FE17" s="142"/>
      <c r="FF17" s="142"/>
      <c r="FG17" s="142"/>
      <c r="FH17" s="142"/>
      <c r="FI17" s="142"/>
      <c r="FJ17" s="142"/>
      <c r="FK17" s="142"/>
      <c r="FL17" s="142"/>
      <c r="FM17" s="142"/>
      <c r="FN17" s="142"/>
      <c r="FO17" s="142"/>
      <c r="FP17" s="142"/>
      <c r="FQ17" s="142"/>
      <c r="FR17" s="142"/>
      <c r="FS17" s="142"/>
      <c r="FT17" s="142"/>
      <c r="FU17" s="142"/>
      <c r="FV17" s="142"/>
      <c r="FW17" s="142"/>
      <c r="FX17" s="142"/>
      <c r="FY17" s="142"/>
      <c r="FZ17" s="142"/>
      <c r="GA17" s="142"/>
      <c r="GB17" s="142"/>
      <c r="GC17" s="142"/>
      <c r="GD17" s="142"/>
      <c r="GE17" s="142"/>
      <c r="GF17" s="142"/>
      <c r="GG17" s="142"/>
      <c r="GH17" s="142"/>
      <c r="GI17" s="142"/>
      <c r="GJ17" s="142"/>
      <c r="GK17" s="142"/>
      <c r="GL17" s="142"/>
      <c r="GM17" s="142"/>
      <c r="GN17" s="142"/>
      <c r="GO17" s="142"/>
      <c r="GP17" s="142"/>
      <c r="GQ17" s="142"/>
      <c r="GR17" s="142"/>
      <c r="GS17" s="142"/>
      <c r="GT17" s="142"/>
      <c r="GU17" s="142"/>
      <c r="GV17" s="142"/>
      <c r="GW17" s="142"/>
      <c r="GX17" s="142"/>
      <c r="GY17" s="142"/>
      <c r="GZ17" s="142"/>
      <c r="HA17" s="142"/>
      <c r="HB17" s="142"/>
      <c r="HC17" s="142"/>
      <c r="HD17" s="142"/>
      <c r="HE17" s="142"/>
      <c r="HF17" s="142"/>
      <c r="HG17" s="142"/>
      <c r="HH17" s="142"/>
      <c r="HI17" s="142"/>
      <c r="HJ17" s="142"/>
      <c r="HK17" s="142"/>
      <c r="HL17" s="142"/>
      <c r="HM17" s="142"/>
      <c r="HN17" s="142"/>
      <c r="HO17" s="142"/>
      <c r="HP17" s="142"/>
      <c r="HQ17" s="142"/>
      <c r="HR17" s="142"/>
      <c r="HS17" s="142"/>
      <c r="HT17" s="142"/>
      <c r="HU17" s="142"/>
      <c r="HV17" s="142"/>
      <c r="HW17" s="142"/>
      <c r="HX17" s="142"/>
      <c r="HY17" s="142"/>
      <c r="HZ17" s="142"/>
      <c r="IA17" s="142"/>
      <c r="IB17" s="142"/>
      <c r="IC17" s="142"/>
      <c r="ID17" s="142"/>
      <c r="IE17" s="142"/>
      <c r="IF17" s="142"/>
      <c r="IG17" s="142"/>
      <c r="IH17" s="142"/>
      <c r="II17" s="142"/>
      <c r="IJ17" s="142"/>
      <c r="IK17" s="142"/>
      <c r="IL17" s="142"/>
      <c r="IM17" s="142"/>
    </row>
    <row r="18" spans="1:247" s="47" customFormat="1" ht="15">
      <c r="A18" s="112"/>
      <c r="B18" s="113" t="s">
        <v>137</v>
      </c>
      <c r="C18" s="112" t="s">
        <v>193</v>
      </c>
      <c r="D18" s="112">
        <v>0.87</v>
      </c>
      <c r="E18" s="111">
        <f>E17*D18</f>
        <v>7.943099999999999</v>
      </c>
      <c r="F18" s="171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2"/>
      <c r="CY18" s="142"/>
      <c r="CZ18" s="142"/>
      <c r="DA18" s="142"/>
      <c r="DB18" s="142"/>
      <c r="DC18" s="142"/>
      <c r="DD18" s="142"/>
      <c r="DE18" s="142"/>
      <c r="DF18" s="142"/>
      <c r="DG18" s="142"/>
      <c r="DH18" s="142"/>
      <c r="DI18" s="142"/>
      <c r="DJ18" s="142"/>
      <c r="DK18" s="142"/>
      <c r="DL18" s="142"/>
      <c r="DM18" s="142"/>
      <c r="DN18" s="142"/>
      <c r="DO18" s="142"/>
      <c r="DP18" s="142"/>
      <c r="DQ18" s="142"/>
      <c r="DR18" s="142"/>
      <c r="DS18" s="142"/>
      <c r="DT18" s="142"/>
      <c r="DU18" s="142"/>
      <c r="DV18" s="142"/>
      <c r="DW18" s="142"/>
      <c r="DX18" s="142"/>
      <c r="DY18" s="142"/>
      <c r="DZ18" s="142"/>
      <c r="EA18" s="142"/>
      <c r="EB18" s="142"/>
      <c r="EC18" s="142"/>
      <c r="ED18" s="142"/>
      <c r="EE18" s="142"/>
      <c r="EF18" s="142"/>
      <c r="EG18" s="142"/>
      <c r="EH18" s="142"/>
      <c r="EI18" s="142"/>
      <c r="EJ18" s="142"/>
      <c r="EK18" s="142"/>
      <c r="EL18" s="142"/>
      <c r="EM18" s="142"/>
      <c r="EN18" s="142"/>
      <c r="EO18" s="142"/>
      <c r="EP18" s="142"/>
      <c r="EQ18" s="142"/>
      <c r="ER18" s="142"/>
      <c r="ES18" s="142"/>
      <c r="ET18" s="142"/>
      <c r="EU18" s="142"/>
      <c r="EV18" s="142"/>
      <c r="EW18" s="142"/>
      <c r="EX18" s="142"/>
      <c r="EY18" s="142"/>
      <c r="EZ18" s="142"/>
      <c r="FA18" s="142"/>
      <c r="FB18" s="142"/>
      <c r="FC18" s="142"/>
      <c r="FD18" s="142"/>
      <c r="FE18" s="142"/>
      <c r="FF18" s="142"/>
      <c r="FG18" s="142"/>
      <c r="FH18" s="142"/>
      <c r="FI18" s="142"/>
      <c r="FJ18" s="142"/>
      <c r="FK18" s="142"/>
      <c r="FL18" s="142"/>
      <c r="FM18" s="142"/>
      <c r="FN18" s="142"/>
      <c r="FO18" s="142"/>
      <c r="FP18" s="142"/>
      <c r="FQ18" s="142"/>
      <c r="FR18" s="142"/>
      <c r="FS18" s="142"/>
      <c r="FT18" s="142"/>
      <c r="FU18" s="142"/>
      <c r="FV18" s="142"/>
      <c r="FW18" s="142"/>
      <c r="FX18" s="142"/>
      <c r="FY18" s="142"/>
      <c r="FZ18" s="142"/>
      <c r="GA18" s="142"/>
      <c r="GB18" s="142"/>
      <c r="GC18" s="142"/>
      <c r="GD18" s="142"/>
      <c r="GE18" s="142"/>
      <c r="GF18" s="142"/>
      <c r="GG18" s="142"/>
      <c r="GH18" s="142"/>
      <c r="GI18" s="142"/>
      <c r="GJ18" s="142"/>
      <c r="GK18" s="142"/>
      <c r="GL18" s="142"/>
      <c r="GM18" s="142"/>
      <c r="GN18" s="142"/>
      <c r="GO18" s="142"/>
      <c r="GP18" s="142"/>
      <c r="GQ18" s="142"/>
      <c r="GR18" s="142"/>
      <c r="GS18" s="142"/>
      <c r="GT18" s="142"/>
      <c r="GU18" s="142"/>
      <c r="GV18" s="142"/>
      <c r="GW18" s="142"/>
      <c r="GX18" s="142"/>
      <c r="GY18" s="142"/>
      <c r="GZ18" s="142"/>
      <c r="HA18" s="142"/>
      <c r="HB18" s="142"/>
      <c r="HC18" s="142"/>
      <c r="HD18" s="142"/>
      <c r="HE18" s="142"/>
      <c r="HF18" s="142"/>
      <c r="HG18" s="142"/>
      <c r="HH18" s="142"/>
      <c r="HI18" s="142"/>
      <c r="HJ18" s="142"/>
      <c r="HK18" s="142"/>
      <c r="HL18" s="142"/>
      <c r="HM18" s="142"/>
      <c r="HN18" s="142"/>
      <c r="HO18" s="142"/>
      <c r="HP18" s="142"/>
      <c r="HQ18" s="142"/>
      <c r="HR18" s="142"/>
      <c r="HS18" s="142"/>
      <c r="HT18" s="142"/>
      <c r="HU18" s="142"/>
      <c r="HV18" s="142"/>
      <c r="HW18" s="142"/>
      <c r="HX18" s="142"/>
      <c r="HY18" s="142"/>
      <c r="HZ18" s="142"/>
      <c r="IA18" s="142"/>
      <c r="IB18" s="142"/>
      <c r="IC18" s="142"/>
      <c r="ID18" s="142"/>
      <c r="IE18" s="142"/>
      <c r="IF18" s="142"/>
      <c r="IG18" s="142"/>
      <c r="IH18" s="142"/>
      <c r="II18" s="142"/>
      <c r="IJ18" s="142"/>
      <c r="IK18" s="142"/>
      <c r="IL18" s="142"/>
      <c r="IM18" s="142"/>
    </row>
    <row r="19" spans="1:247" s="47" customFormat="1" ht="15">
      <c r="A19" s="167">
        <f>A17+1</f>
        <v>6</v>
      </c>
      <c r="B19" s="41" t="s">
        <v>320</v>
      </c>
      <c r="C19" s="168" t="s">
        <v>150</v>
      </c>
      <c r="D19" s="190"/>
      <c r="E19" s="143">
        <f>E17*2</f>
        <v>18.259999999999998</v>
      </c>
      <c r="F19" s="171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144"/>
      <c r="DC19" s="144"/>
      <c r="DD19" s="144"/>
      <c r="DE19" s="144"/>
      <c r="DF19" s="144"/>
      <c r="DG19" s="144"/>
      <c r="DH19" s="144"/>
      <c r="DI19" s="144"/>
      <c r="DJ19" s="144"/>
      <c r="DK19" s="144"/>
      <c r="DL19" s="144"/>
      <c r="DM19" s="144"/>
      <c r="DN19" s="144"/>
      <c r="DO19" s="144"/>
      <c r="DP19" s="144"/>
      <c r="DQ19" s="144"/>
      <c r="DR19" s="144"/>
      <c r="DS19" s="144"/>
      <c r="DT19" s="144"/>
      <c r="DU19" s="144"/>
      <c r="DV19" s="144"/>
      <c r="DW19" s="144"/>
      <c r="DX19" s="144"/>
      <c r="DY19" s="144"/>
      <c r="DZ19" s="144"/>
      <c r="EA19" s="144"/>
      <c r="EB19" s="144"/>
      <c r="EC19" s="144"/>
      <c r="ED19" s="144"/>
      <c r="EE19" s="144"/>
      <c r="EF19" s="144"/>
      <c r="EG19" s="144"/>
      <c r="EH19" s="144"/>
      <c r="EI19" s="144"/>
      <c r="EJ19" s="144"/>
      <c r="EK19" s="144"/>
      <c r="EL19" s="144"/>
      <c r="EM19" s="144"/>
      <c r="EN19" s="144"/>
      <c r="EO19" s="144"/>
      <c r="EP19" s="144"/>
      <c r="EQ19" s="144"/>
      <c r="ER19" s="144"/>
      <c r="ES19" s="144"/>
      <c r="ET19" s="144"/>
      <c r="EU19" s="144"/>
      <c r="EV19" s="144"/>
      <c r="EW19" s="144"/>
      <c r="EX19" s="144"/>
      <c r="EY19" s="144"/>
      <c r="EZ19" s="144"/>
      <c r="FA19" s="144"/>
      <c r="FB19" s="144"/>
      <c r="FC19" s="144"/>
      <c r="FD19" s="144"/>
      <c r="FE19" s="144"/>
      <c r="FF19" s="144"/>
      <c r="FG19" s="144"/>
      <c r="FH19" s="144"/>
      <c r="FI19" s="144"/>
      <c r="FJ19" s="144"/>
      <c r="FK19" s="144"/>
      <c r="FL19" s="144"/>
      <c r="FM19" s="144"/>
      <c r="FN19" s="144"/>
      <c r="FO19" s="144"/>
      <c r="FP19" s="144"/>
      <c r="FQ19" s="144"/>
      <c r="FR19" s="144"/>
      <c r="FS19" s="144"/>
      <c r="FT19" s="144"/>
      <c r="FU19" s="144"/>
      <c r="FV19" s="144"/>
      <c r="FW19" s="144"/>
      <c r="FX19" s="144"/>
      <c r="FY19" s="144"/>
      <c r="FZ19" s="144"/>
      <c r="GA19" s="144"/>
      <c r="GB19" s="144"/>
      <c r="GC19" s="144"/>
      <c r="GD19" s="144"/>
      <c r="GE19" s="144"/>
      <c r="GF19" s="144"/>
      <c r="GG19" s="144"/>
      <c r="GH19" s="144"/>
      <c r="GI19" s="144"/>
      <c r="GJ19" s="144"/>
      <c r="GK19" s="144"/>
      <c r="GL19" s="144"/>
      <c r="GM19" s="144"/>
      <c r="GN19" s="144"/>
      <c r="GO19" s="144"/>
      <c r="GP19" s="144"/>
      <c r="GQ19" s="144"/>
      <c r="GR19" s="144"/>
      <c r="GS19" s="144"/>
      <c r="GT19" s="144"/>
      <c r="GU19" s="144"/>
      <c r="GV19" s="144"/>
      <c r="GW19" s="144"/>
      <c r="GX19" s="144"/>
      <c r="GY19" s="144"/>
      <c r="GZ19" s="144"/>
      <c r="HA19" s="144"/>
      <c r="HB19" s="144"/>
      <c r="HC19" s="144"/>
      <c r="HD19" s="144"/>
      <c r="HE19" s="144"/>
      <c r="HF19" s="144"/>
      <c r="HG19" s="144"/>
      <c r="HH19" s="144"/>
      <c r="HI19" s="144"/>
      <c r="HJ19" s="144"/>
      <c r="HK19" s="144"/>
      <c r="HL19" s="144"/>
      <c r="HM19" s="144"/>
      <c r="HN19" s="144"/>
      <c r="HO19" s="144"/>
      <c r="HP19" s="144"/>
      <c r="HQ19" s="144"/>
      <c r="HR19" s="144"/>
      <c r="HS19" s="144"/>
      <c r="HT19" s="144"/>
      <c r="HU19" s="144"/>
      <c r="HV19" s="144"/>
      <c r="HW19" s="144"/>
      <c r="HX19" s="144"/>
      <c r="HY19" s="144"/>
      <c r="HZ19" s="144"/>
      <c r="IA19" s="144"/>
      <c r="IB19" s="144"/>
      <c r="IC19" s="144"/>
      <c r="ID19" s="144"/>
      <c r="IE19" s="144"/>
      <c r="IF19" s="144"/>
      <c r="IG19" s="144"/>
      <c r="IH19" s="144"/>
      <c r="II19" s="144"/>
      <c r="IJ19" s="144"/>
      <c r="IK19" s="144"/>
      <c r="IL19" s="144"/>
      <c r="IM19" s="144"/>
    </row>
    <row r="20" spans="1:247" s="47" customFormat="1" ht="30">
      <c r="A20" s="115">
        <f>A19+1</f>
        <v>7</v>
      </c>
      <c r="B20" s="158" t="s">
        <v>336</v>
      </c>
      <c r="C20" s="112" t="s">
        <v>188</v>
      </c>
      <c r="D20" s="114"/>
      <c r="E20" s="79">
        <v>8.81</v>
      </c>
      <c r="F20" s="171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4"/>
      <c r="DE20" s="144"/>
      <c r="DF20" s="144"/>
      <c r="DG20" s="144"/>
      <c r="DH20" s="144"/>
      <c r="DI20" s="144"/>
      <c r="DJ20" s="144"/>
      <c r="DK20" s="144"/>
      <c r="DL20" s="144"/>
      <c r="DM20" s="144"/>
      <c r="DN20" s="144"/>
      <c r="DO20" s="144"/>
      <c r="DP20" s="144"/>
      <c r="DQ20" s="144"/>
      <c r="DR20" s="144"/>
      <c r="DS20" s="144"/>
      <c r="DT20" s="144"/>
      <c r="DU20" s="144"/>
      <c r="DV20" s="144"/>
      <c r="DW20" s="144"/>
      <c r="DX20" s="144"/>
      <c r="DY20" s="144"/>
      <c r="DZ20" s="144"/>
      <c r="EA20" s="144"/>
      <c r="EB20" s="144"/>
      <c r="EC20" s="144"/>
      <c r="ED20" s="144"/>
      <c r="EE20" s="144"/>
      <c r="EF20" s="144"/>
      <c r="EG20" s="144"/>
      <c r="EH20" s="144"/>
      <c r="EI20" s="144"/>
      <c r="EJ20" s="144"/>
      <c r="EK20" s="144"/>
      <c r="EL20" s="144"/>
      <c r="EM20" s="144"/>
      <c r="EN20" s="144"/>
      <c r="EO20" s="144"/>
      <c r="EP20" s="144"/>
      <c r="EQ20" s="144"/>
      <c r="ER20" s="144"/>
      <c r="ES20" s="144"/>
      <c r="ET20" s="144"/>
      <c r="EU20" s="144"/>
      <c r="EV20" s="144"/>
      <c r="EW20" s="144"/>
      <c r="EX20" s="144"/>
      <c r="EY20" s="144"/>
      <c r="EZ20" s="144"/>
      <c r="FA20" s="144"/>
      <c r="FB20" s="144"/>
      <c r="FC20" s="144"/>
      <c r="FD20" s="144"/>
      <c r="FE20" s="144"/>
      <c r="FF20" s="144"/>
      <c r="FG20" s="144"/>
      <c r="FH20" s="144"/>
      <c r="FI20" s="144"/>
      <c r="FJ20" s="144"/>
      <c r="FK20" s="144"/>
      <c r="FL20" s="144"/>
      <c r="FM20" s="144"/>
      <c r="FN20" s="144"/>
      <c r="FO20" s="144"/>
      <c r="FP20" s="144"/>
      <c r="FQ20" s="144"/>
      <c r="FR20" s="144"/>
      <c r="FS20" s="144"/>
      <c r="FT20" s="144"/>
      <c r="FU20" s="144"/>
      <c r="FV20" s="144"/>
      <c r="FW20" s="144"/>
      <c r="FX20" s="144"/>
      <c r="FY20" s="144"/>
      <c r="FZ20" s="144"/>
      <c r="GA20" s="144"/>
      <c r="GB20" s="144"/>
      <c r="GC20" s="144"/>
      <c r="GD20" s="144"/>
      <c r="GE20" s="144"/>
      <c r="GF20" s="144"/>
      <c r="GG20" s="144"/>
      <c r="GH20" s="144"/>
      <c r="GI20" s="144"/>
      <c r="GJ20" s="144"/>
      <c r="GK20" s="144"/>
      <c r="GL20" s="144"/>
      <c r="GM20" s="144"/>
      <c r="GN20" s="144"/>
      <c r="GO20" s="144"/>
      <c r="GP20" s="144"/>
      <c r="GQ20" s="144"/>
      <c r="GR20" s="144"/>
      <c r="GS20" s="144"/>
      <c r="GT20" s="144"/>
      <c r="GU20" s="144"/>
      <c r="GV20" s="144"/>
      <c r="GW20" s="144"/>
      <c r="GX20" s="144"/>
      <c r="GY20" s="144"/>
      <c r="GZ20" s="144"/>
      <c r="HA20" s="144"/>
      <c r="HB20" s="144"/>
      <c r="HC20" s="144"/>
      <c r="HD20" s="144"/>
      <c r="HE20" s="144"/>
      <c r="HF20" s="144"/>
      <c r="HG20" s="144"/>
      <c r="HH20" s="144"/>
      <c r="HI20" s="144"/>
      <c r="HJ20" s="144"/>
      <c r="HK20" s="144"/>
      <c r="HL20" s="144"/>
      <c r="HM20" s="144"/>
      <c r="HN20" s="144"/>
      <c r="HO20" s="144"/>
      <c r="HP20" s="144"/>
      <c r="HQ20" s="144"/>
      <c r="HR20" s="144"/>
      <c r="HS20" s="144"/>
      <c r="HT20" s="144"/>
      <c r="HU20" s="144"/>
      <c r="HV20" s="144"/>
      <c r="HW20" s="144"/>
      <c r="HX20" s="144"/>
      <c r="HY20" s="144"/>
      <c r="HZ20" s="144"/>
      <c r="IA20" s="144"/>
      <c r="IB20" s="144"/>
      <c r="IC20" s="144"/>
      <c r="ID20" s="144"/>
      <c r="IE20" s="144"/>
      <c r="IF20" s="144"/>
      <c r="IG20" s="144"/>
      <c r="IH20" s="144"/>
      <c r="II20" s="144"/>
      <c r="IJ20" s="144"/>
      <c r="IK20" s="144"/>
      <c r="IL20" s="144"/>
      <c r="IM20" s="144"/>
    </row>
    <row r="21" spans="1:247" s="47" customFormat="1" ht="15">
      <c r="A21" s="115"/>
      <c r="B21" s="79" t="s">
        <v>137</v>
      </c>
      <c r="C21" s="114" t="s">
        <v>193</v>
      </c>
      <c r="D21" s="114">
        <v>0.89</v>
      </c>
      <c r="E21" s="79">
        <f>E20*D21</f>
        <v>7.8409</v>
      </c>
      <c r="F21" s="171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4"/>
      <c r="DC21" s="144"/>
      <c r="DD21" s="144"/>
      <c r="DE21" s="144"/>
      <c r="DF21" s="144"/>
      <c r="DG21" s="144"/>
      <c r="DH21" s="144"/>
      <c r="DI21" s="144"/>
      <c r="DJ21" s="144"/>
      <c r="DK21" s="144"/>
      <c r="DL21" s="144"/>
      <c r="DM21" s="144"/>
      <c r="DN21" s="144"/>
      <c r="DO21" s="144"/>
      <c r="DP21" s="144"/>
      <c r="DQ21" s="144"/>
      <c r="DR21" s="144"/>
      <c r="DS21" s="144"/>
      <c r="DT21" s="144"/>
      <c r="DU21" s="144"/>
      <c r="DV21" s="144"/>
      <c r="DW21" s="144"/>
      <c r="DX21" s="144"/>
      <c r="DY21" s="144"/>
      <c r="DZ21" s="144"/>
      <c r="EA21" s="144"/>
      <c r="EB21" s="144"/>
      <c r="EC21" s="144"/>
      <c r="ED21" s="144"/>
      <c r="EE21" s="144"/>
      <c r="EF21" s="144"/>
      <c r="EG21" s="144"/>
      <c r="EH21" s="144"/>
      <c r="EI21" s="144"/>
      <c r="EJ21" s="144"/>
      <c r="EK21" s="144"/>
      <c r="EL21" s="144"/>
      <c r="EM21" s="144"/>
      <c r="EN21" s="144"/>
      <c r="EO21" s="144"/>
      <c r="EP21" s="144"/>
      <c r="EQ21" s="144"/>
      <c r="ER21" s="144"/>
      <c r="ES21" s="144"/>
      <c r="ET21" s="144"/>
      <c r="EU21" s="144"/>
      <c r="EV21" s="144"/>
      <c r="EW21" s="144"/>
      <c r="EX21" s="144"/>
      <c r="EY21" s="144"/>
      <c r="EZ21" s="144"/>
      <c r="FA21" s="144"/>
      <c r="FB21" s="144"/>
      <c r="FC21" s="144"/>
      <c r="FD21" s="144"/>
      <c r="FE21" s="144"/>
      <c r="FF21" s="144"/>
      <c r="FG21" s="144"/>
      <c r="FH21" s="144"/>
      <c r="FI21" s="144"/>
      <c r="FJ21" s="144"/>
      <c r="FK21" s="144"/>
      <c r="FL21" s="144"/>
      <c r="FM21" s="144"/>
      <c r="FN21" s="144"/>
      <c r="FO21" s="144"/>
      <c r="FP21" s="144"/>
      <c r="FQ21" s="144"/>
      <c r="FR21" s="144"/>
      <c r="FS21" s="144"/>
      <c r="FT21" s="144"/>
      <c r="FU21" s="144"/>
      <c r="FV21" s="144"/>
      <c r="FW21" s="144"/>
      <c r="FX21" s="144"/>
      <c r="FY21" s="144"/>
      <c r="FZ21" s="144"/>
      <c r="GA21" s="144"/>
      <c r="GB21" s="144"/>
      <c r="GC21" s="144"/>
      <c r="GD21" s="144"/>
      <c r="GE21" s="144"/>
      <c r="GF21" s="144"/>
      <c r="GG21" s="144"/>
      <c r="GH21" s="144"/>
      <c r="GI21" s="144"/>
      <c r="GJ21" s="144"/>
      <c r="GK21" s="144"/>
      <c r="GL21" s="144"/>
      <c r="GM21" s="144"/>
      <c r="GN21" s="144"/>
      <c r="GO21" s="144"/>
      <c r="GP21" s="144"/>
      <c r="GQ21" s="144"/>
      <c r="GR21" s="144"/>
      <c r="GS21" s="144"/>
      <c r="GT21" s="144"/>
      <c r="GU21" s="144"/>
      <c r="GV21" s="144"/>
      <c r="GW21" s="144"/>
      <c r="GX21" s="144"/>
      <c r="GY21" s="144"/>
      <c r="GZ21" s="144"/>
      <c r="HA21" s="144"/>
      <c r="HB21" s="144"/>
      <c r="HC21" s="144"/>
      <c r="HD21" s="144"/>
      <c r="HE21" s="144"/>
      <c r="HF21" s="144"/>
      <c r="HG21" s="144"/>
      <c r="HH21" s="144"/>
      <c r="HI21" s="144"/>
      <c r="HJ21" s="144"/>
      <c r="HK21" s="144"/>
      <c r="HL21" s="144"/>
      <c r="HM21" s="144"/>
      <c r="HN21" s="144"/>
      <c r="HO21" s="144"/>
      <c r="HP21" s="144"/>
      <c r="HQ21" s="144"/>
      <c r="HR21" s="144"/>
      <c r="HS21" s="144"/>
      <c r="HT21" s="144"/>
      <c r="HU21" s="144"/>
      <c r="HV21" s="144"/>
      <c r="HW21" s="144"/>
      <c r="HX21" s="144"/>
      <c r="HY21" s="144"/>
      <c r="HZ21" s="144"/>
      <c r="IA21" s="144"/>
      <c r="IB21" s="144"/>
      <c r="IC21" s="144"/>
      <c r="ID21" s="144"/>
      <c r="IE21" s="144"/>
      <c r="IF21" s="144"/>
      <c r="IG21" s="144"/>
      <c r="IH21" s="144"/>
      <c r="II21" s="144"/>
      <c r="IJ21" s="144"/>
      <c r="IK21" s="144"/>
      <c r="IL21" s="144"/>
      <c r="IM21" s="144"/>
    </row>
    <row r="22" spans="1:247" s="47" customFormat="1" ht="15">
      <c r="A22" s="115"/>
      <c r="B22" s="79" t="s">
        <v>142</v>
      </c>
      <c r="C22" s="114" t="s">
        <v>51</v>
      </c>
      <c r="D22" s="114">
        <v>0.37</v>
      </c>
      <c r="E22" s="79">
        <f>E20*D22</f>
        <v>3.2597</v>
      </c>
      <c r="F22" s="171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  <c r="CW22" s="144"/>
      <c r="CX22" s="144"/>
      <c r="CY22" s="144"/>
      <c r="CZ22" s="144"/>
      <c r="DA22" s="144"/>
      <c r="DB22" s="144"/>
      <c r="DC22" s="144"/>
      <c r="DD22" s="144"/>
      <c r="DE22" s="144"/>
      <c r="DF22" s="144"/>
      <c r="DG22" s="144"/>
      <c r="DH22" s="144"/>
      <c r="DI22" s="144"/>
      <c r="DJ22" s="144"/>
      <c r="DK22" s="144"/>
      <c r="DL22" s="144"/>
      <c r="DM22" s="144"/>
      <c r="DN22" s="144"/>
      <c r="DO22" s="144"/>
      <c r="DP22" s="144"/>
      <c r="DQ22" s="144"/>
      <c r="DR22" s="144"/>
      <c r="DS22" s="144"/>
      <c r="DT22" s="144"/>
      <c r="DU22" s="144"/>
      <c r="DV22" s="144"/>
      <c r="DW22" s="144"/>
      <c r="DX22" s="144"/>
      <c r="DY22" s="144"/>
      <c r="DZ22" s="144"/>
      <c r="EA22" s="144"/>
      <c r="EB22" s="144"/>
      <c r="EC22" s="144"/>
      <c r="ED22" s="144"/>
      <c r="EE22" s="144"/>
      <c r="EF22" s="144"/>
      <c r="EG22" s="144"/>
      <c r="EH22" s="144"/>
      <c r="EI22" s="144"/>
      <c r="EJ22" s="144"/>
      <c r="EK22" s="144"/>
      <c r="EL22" s="144"/>
      <c r="EM22" s="144"/>
      <c r="EN22" s="144"/>
      <c r="EO22" s="144"/>
      <c r="EP22" s="144"/>
      <c r="EQ22" s="144"/>
      <c r="ER22" s="144"/>
      <c r="ES22" s="144"/>
      <c r="ET22" s="144"/>
      <c r="EU22" s="144"/>
      <c r="EV22" s="144"/>
      <c r="EW22" s="144"/>
      <c r="EX22" s="144"/>
      <c r="EY22" s="144"/>
      <c r="EZ22" s="144"/>
      <c r="FA22" s="144"/>
      <c r="FB22" s="144"/>
      <c r="FC22" s="144"/>
      <c r="FD22" s="144"/>
      <c r="FE22" s="144"/>
      <c r="FF22" s="144"/>
      <c r="FG22" s="144"/>
      <c r="FH22" s="144"/>
      <c r="FI22" s="144"/>
      <c r="FJ22" s="144"/>
      <c r="FK22" s="144"/>
      <c r="FL22" s="144"/>
      <c r="FM22" s="144"/>
      <c r="FN22" s="144"/>
      <c r="FO22" s="144"/>
      <c r="FP22" s="144"/>
      <c r="FQ22" s="144"/>
      <c r="FR22" s="144"/>
      <c r="FS22" s="144"/>
      <c r="FT22" s="144"/>
      <c r="FU22" s="144"/>
      <c r="FV22" s="144"/>
      <c r="FW22" s="144"/>
      <c r="FX22" s="144"/>
      <c r="FY22" s="144"/>
      <c r="FZ22" s="144"/>
      <c r="GA22" s="144"/>
      <c r="GB22" s="144"/>
      <c r="GC22" s="144"/>
      <c r="GD22" s="144"/>
      <c r="GE22" s="144"/>
      <c r="GF22" s="144"/>
      <c r="GG22" s="144"/>
      <c r="GH22" s="144"/>
      <c r="GI22" s="144"/>
      <c r="GJ22" s="144"/>
      <c r="GK22" s="144"/>
      <c r="GL22" s="144"/>
      <c r="GM22" s="144"/>
      <c r="GN22" s="144"/>
      <c r="GO22" s="144"/>
      <c r="GP22" s="144"/>
      <c r="GQ22" s="144"/>
      <c r="GR22" s="144"/>
      <c r="GS22" s="144"/>
      <c r="GT22" s="144"/>
      <c r="GU22" s="144"/>
      <c r="GV22" s="144"/>
      <c r="GW22" s="144"/>
      <c r="GX22" s="144"/>
      <c r="GY22" s="144"/>
      <c r="GZ22" s="144"/>
      <c r="HA22" s="144"/>
      <c r="HB22" s="144"/>
      <c r="HC22" s="144"/>
      <c r="HD22" s="144"/>
      <c r="HE22" s="144"/>
      <c r="HF22" s="144"/>
      <c r="HG22" s="144"/>
      <c r="HH22" s="144"/>
      <c r="HI22" s="144"/>
      <c r="HJ22" s="144"/>
      <c r="HK22" s="144"/>
      <c r="HL22" s="144"/>
      <c r="HM22" s="144"/>
      <c r="HN22" s="144"/>
      <c r="HO22" s="144"/>
      <c r="HP22" s="144"/>
      <c r="HQ22" s="144"/>
      <c r="HR22" s="144"/>
      <c r="HS22" s="144"/>
      <c r="HT22" s="144"/>
      <c r="HU22" s="144"/>
      <c r="HV22" s="144"/>
      <c r="HW22" s="144"/>
      <c r="HX22" s="144"/>
      <c r="HY22" s="144"/>
      <c r="HZ22" s="144"/>
      <c r="IA22" s="144"/>
      <c r="IB22" s="144"/>
      <c r="IC22" s="144"/>
      <c r="ID22" s="144"/>
      <c r="IE22" s="144"/>
      <c r="IF22" s="144"/>
      <c r="IG22" s="144"/>
      <c r="IH22" s="144"/>
      <c r="II22" s="144"/>
      <c r="IJ22" s="144"/>
      <c r="IK22" s="144"/>
      <c r="IL22" s="144"/>
      <c r="IM22" s="144"/>
    </row>
    <row r="23" spans="1:247" s="47" customFormat="1" ht="15.75">
      <c r="A23" s="115"/>
      <c r="B23" s="80" t="s">
        <v>219</v>
      </c>
      <c r="C23" s="79" t="s">
        <v>188</v>
      </c>
      <c r="D23" s="79">
        <v>1.15</v>
      </c>
      <c r="E23" s="79">
        <f>E20*D23</f>
        <v>10.131499999999999</v>
      </c>
      <c r="F23" s="171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4"/>
      <c r="DE23" s="144"/>
      <c r="DF23" s="144"/>
      <c r="DG23" s="144"/>
      <c r="DH23" s="144"/>
      <c r="DI23" s="144"/>
      <c r="DJ23" s="144"/>
      <c r="DK23" s="144"/>
      <c r="DL23" s="144"/>
      <c r="DM23" s="144"/>
      <c r="DN23" s="144"/>
      <c r="DO23" s="144"/>
      <c r="DP23" s="144"/>
      <c r="DQ23" s="144"/>
      <c r="DR23" s="144"/>
      <c r="DS23" s="144"/>
      <c r="DT23" s="144"/>
      <c r="DU23" s="144"/>
      <c r="DV23" s="144"/>
      <c r="DW23" s="144"/>
      <c r="DX23" s="144"/>
      <c r="DY23" s="144"/>
      <c r="DZ23" s="144"/>
      <c r="EA23" s="144"/>
      <c r="EB23" s="144"/>
      <c r="EC23" s="144"/>
      <c r="ED23" s="144"/>
      <c r="EE23" s="144"/>
      <c r="EF23" s="144"/>
      <c r="EG23" s="144"/>
      <c r="EH23" s="144"/>
      <c r="EI23" s="144"/>
      <c r="EJ23" s="144"/>
      <c r="EK23" s="144"/>
      <c r="EL23" s="144"/>
      <c r="EM23" s="144"/>
      <c r="EN23" s="144"/>
      <c r="EO23" s="144"/>
      <c r="EP23" s="144"/>
      <c r="EQ23" s="144"/>
      <c r="ER23" s="144"/>
      <c r="ES23" s="144"/>
      <c r="ET23" s="144"/>
      <c r="EU23" s="144"/>
      <c r="EV23" s="144"/>
      <c r="EW23" s="144"/>
      <c r="EX23" s="144"/>
      <c r="EY23" s="144"/>
      <c r="EZ23" s="144"/>
      <c r="FA23" s="144"/>
      <c r="FB23" s="144"/>
      <c r="FC23" s="144"/>
      <c r="FD23" s="144"/>
      <c r="FE23" s="144"/>
      <c r="FF23" s="144"/>
      <c r="FG23" s="144"/>
      <c r="FH23" s="144"/>
      <c r="FI23" s="144"/>
      <c r="FJ23" s="144"/>
      <c r="FK23" s="144"/>
      <c r="FL23" s="144"/>
      <c r="FM23" s="144"/>
      <c r="FN23" s="144"/>
      <c r="FO23" s="144"/>
      <c r="FP23" s="144"/>
      <c r="FQ23" s="144"/>
      <c r="FR23" s="144"/>
      <c r="FS23" s="144"/>
      <c r="FT23" s="144"/>
      <c r="FU23" s="144"/>
      <c r="FV23" s="144"/>
      <c r="FW23" s="144"/>
      <c r="FX23" s="144"/>
      <c r="FY23" s="144"/>
      <c r="FZ23" s="144"/>
      <c r="GA23" s="144"/>
      <c r="GB23" s="144"/>
      <c r="GC23" s="144"/>
      <c r="GD23" s="144"/>
      <c r="GE23" s="144"/>
      <c r="GF23" s="144"/>
      <c r="GG23" s="144"/>
      <c r="GH23" s="144"/>
      <c r="GI23" s="144"/>
      <c r="GJ23" s="144"/>
      <c r="GK23" s="144"/>
      <c r="GL23" s="144"/>
      <c r="GM23" s="144"/>
      <c r="GN23" s="144"/>
      <c r="GO23" s="144"/>
      <c r="GP23" s="144"/>
      <c r="GQ23" s="144"/>
      <c r="GR23" s="144"/>
      <c r="GS23" s="144"/>
      <c r="GT23" s="144"/>
      <c r="GU23" s="144"/>
      <c r="GV23" s="144"/>
      <c r="GW23" s="144"/>
      <c r="GX23" s="144"/>
      <c r="GY23" s="144"/>
      <c r="GZ23" s="144"/>
      <c r="HA23" s="144"/>
      <c r="HB23" s="144"/>
      <c r="HC23" s="144"/>
      <c r="HD23" s="144"/>
      <c r="HE23" s="144"/>
      <c r="HF23" s="144"/>
      <c r="HG23" s="144"/>
      <c r="HH23" s="144"/>
      <c r="HI23" s="144"/>
      <c r="HJ23" s="144"/>
      <c r="HK23" s="144"/>
      <c r="HL23" s="144"/>
      <c r="HM23" s="144"/>
      <c r="HN23" s="144"/>
      <c r="HO23" s="144"/>
      <c r="HP23" s="144"/>
      <c r="HQ23" s="144"/>
      <c r="HR23" s="144"/>
      <c r="HS23" s="144"/>
      <c r="HT23" s="144"/>
      <c r="HU23" s="144"/>
      <c r="HV23" s="144"/>
      <c r="HW23" s="144"/>
      <c r="HX23" s="144"/>
      <c r="HY23" s="144"/>
      <c r="HZ23" s="144"/>
      <c r="IA23" s="144"/>
      <c r="IB23" s="144"/>
      <c r="IC23" s="144"/>
      <c r="ID23" s="144"/>
      <c r="IE23" s="144"/>
      <c r="IF23" s="144"/>
      <c r="IG23" s="144"/>
      <c r="IH23" s="144"/>
      <c r="II23" s="144"/>
      <c r="IJ23" s="144"/>
      <c r="IK23" s="144"/>
      <c r="IL23" s="144"/>
      <c r="IM23" s="144"/>
    </row>
    <row r="24" spans="1:247" s="47" customFormat="1" ht="15">
      <c r="A24" s="115"/>
      <c r="B24" s="79" t="s">
        <v>166</v>
      </c>
      <c r="C24" s="114" t="s">
        <v>51</v>
      </c>
      <c r="D24" s="79">
        <v>0.02</v>
      </c>
      <c r="E24" s="79">
        <f>E20*D24</f>
        <v>0.17620000000000002</v>
      </c>
      <c r="F24" s="171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4"/>
      <c r="DB24" s="144"/>
      <c r="DC24" s="144"/>
      <c r="DD24" s="144"/>
      <c r="DE24" s="144"/>
      <c r="DF24" s="144"/>
      <c r="DG24" s="144"/>
      <c r="DH24" s="144"/>
      <c r="DI24" s="144"/>
      <c r="DJ24" s="144"/>
      <c r="DK24" s="144"/>
      <c r="DL24" s="144"/>
      <c r="DM24" s="144"/>
      <c r="DN24" s="144"/>
      <c r="DO24" s="144"/>
      <c r="DP24" s="144"/>
      <c r="DQ24" s="144"/>
      <c r="DR24" s="144"/>
      <c r="DS24" s="144"/>
      <c r="DT24" s="144"/>
      <c r="DU24" s="144"/>
      <c r="DV24" s="144"/>
      <c r="DW24" s="144"/>
      <c r="DX24" s="144"/>
      <c r="DY24" s="144"/>
      <c r="DZ24" s="144"/>
      <c r="EA24" s="144"/>
      <c r="EB24" s="144"/>
      <c r="EC24" s="144"/>
      <c r="ED24" s="144"/>
      <c r="EE24" s="144"/>
      <c r="EF24" s="144"/>
      <c r="EG24" s="144"/>
      <c r="EH24" s="144"/>
      <c r="EI24" s="144"/>
      <c r="EJ24" s="144"/>
      <c r="EK24" s="144"/>
      <c r="EL24" s="144"/>
      <c r="EM24" s="144"/>
      <c r="EN24" s="144"/>
      <c r="EO24" s="144"/>
      <c r="EP24" s="144"/>
      <c r="EQ24" s="144"/>
      <c r="ER24" s="144"/>
      <c r="ES24" s="144"/>
      <c r="ET24" s="144"/>
      <c r="EU24" s="144"/>
      <c r="EV24" s="144"/>
      <c r="EW24" s="144"/>
      <c r="EX24" s="144"/>
      <c r="EY24" s="144"/>
      <c r="EZ24" s="144"/>
      <c r="FA24" s="144"/>
      <c r="FB24" s="144"/>
      <c r="FC24" s="144"/>
      <c r="FD24" s="144"/>
      <c r="FE24" s="144"/>
      <c r="FF24" s="144"/>
      <c r="FG24" s="144"/>
      <c r="FH24" s="144"/>
      <c r="FI24" s="144"/>
      <c r="FJ24" s="144"/>
      <c r="FK24" s="144"/>
      <c r="FL24" s="144"/>
      <c r="FM24" s="144"/>
      <c r="FN24" s="144"/>
      <c r="FO24" s="144"/>
      <c r="FP24" s="144"/>
      <c r="FQ24" s="144"/>
      <c r="FR24" s="144"/>
      <c r="FS24" s="144"/>
      <c r="FT24" s="144"/>
      <c r="FU24" s="144"/>
      <c r="FV24" s="144"/>
      <c r="FW24" s="144"/>
      <c r="FX24" s="144"/>
      <c r="FY24" s="144"/>
      <c r="FZ24" s="144"/>
      <c r="GA24" s="144"/>
      <c r="GB24" s="144"/>
      <c r="GC24" s="144"/>
      <c r="GD24" s="144"/>
      <c r="GE24" s="144"/>
      <c r="GF24" s="144"/>
      <c r="GG24" s="144"/>
      <c r="GH24" s="144"/>
      <c r="GI24" s="144"/>
      <c r="GJ24" s="144"/>
      <c r="GK24" s="144"/>
      <c r="GL24" s="144"/>
      <c r="GM24" s="144"/>
      <c r="GN24" s="144"/>
      <c r="GO24" s="144"/>
      <c r="GP24" s="144"/>
      <c r="GQ24" s="144"/>
      <c r="GR24" s="144"/>
      <c r="GS24" s="144"/>
      <c r="GT24" s="144"/>
      <c r="GU24" s="144"/>
      <c r="GV24" s="144"/>
      <c r="GW24" s="144"/>
      <c r="GX24" s="144"/>
      <c r="GY24" s="144"/>
      <c r="GZ24" s="144"/>
      <c r="HA24" s="144"/>
      <c r="HB24" s="144"/>
      <c r="HC24" s="144"/>
      <c r="HD24" s="144"/>
      <c r="HE24" s="144"/>
      <c r="HF24" s="144"/>
      <c r="HG24" s="144"/>
      <c r="HH24" s="144"/>
      <c r="HI24" s="144"/>
      <c r="HJ24" s="144"/>
      <c r="HK24" s="144"/>
      <c r="HL24" s="144"/>
      <c r="HM24" s="144"/>
      <c r="HN24" s="144"/>
      <c r="HO24" s="144"/>
      <c r="HP24" s="144"/>
      <c r="HQ24" s="144"/>
      <c r="HR24" s="144"/>
      <c r="HS24" s="144"/>
      <c r="HT24" s="144"/>
      <c r="HU24" s="144"/>
      <c r="HV24" s="144"/>
      <c r="HW24" s="144"/>
      <c r="HX24" s="144"/>
      <c r="HY24" s="144"/>
      <c r="HZ24" s="144"/>
      <c r="IA24" s="144"/>
      <c r="IB24" s="144"/>
      <c r="IC24" s="144"/>
      <c r="ID24" s="144"/>
      <c r="IE24" s="144"/>
      <c r="IF24" s="144"/>
      <c r="IG24" s="144"/>
      <c r="IH24" s="144"/>
      <c r="II24" s="144"/>
      <c r="IJ24" s="144"/>
      <c r="IK24" s="144"/>
      <c r="IL24" s="144"/>
      <c r="IM24" s="144"/>
    </row>
    <row r="25" spans="1:6" s="110" customFormat="1" ht="30">
      <c r="A25" s="115">
        <f>A20+1</f>
        <v>8</v>
      </c>
      <c r="B25" s="97" t="s">
        <v>334</v>
      </c>
      <c r="C25" s="37" t="s">
        <v>188</v>
      </c>
      <c r="D25" s="97"/>
      <c r="E25" s="41">
        <f>E20</f>
        <v>8.81</v>
      </c>
      <c r="F25" s="171"/>
    </row>
    <row r="26" spans="1:6" s="110" customFormat="1" ht="15">
      <c r="A26" s="42"/>
      <c r="B26" s="37" t="s">
        <v>317</v>
      </c>
      <c r="C26" s="37" t="s">
        <v>152</v>
      </c>
      <c r="D26" s="97">
        <f>12.9/1000</f>
        <v>0.0129</v>
      </c>
      <c r="E26" s="75">
        <f>D26*E25</f>
        <v>0.113649</v>
      </c>
      <c r="F26" s="171"/>
    </row>
    <row r="27" spans="1:6" s="110" customFormat="1" ht="30">
      <c r="A27" s="169">
        <f>A25+1</f>
        <v>9</v>
      </c>
      <c r="B27" s="37" t="s">
        <v>307</v>
      </c>
      <c r="C27" s="97" t="s">
        <v>188</v>
      </c>
      <c r="D27" s="97"/>
      <c r="E27" s="41">
        <f>0.87+1.45</f>
        <v>2.32</v>
      </c>
      <c r="F27" s="171"/>
    </row>
    <row r="28" spans="1:6" s="110" customFormat="1" ht="15">
      <c r="A28" s="116"/>
      <c r="B28" s="37" t="s">
        <v>149</v>
      </c>
      <c r="C28" s="37" t="s">
        <v>58</v>
      </c>
      <c r="D28" s="97">
        <v>1.37</v>
      </c>
      <c r="E28" s="42">
        <f>D28*E27</f>
        <v>3.1784</v>
      </c>
      <c r="F28" s="171"/>
    </row>
    <row r="29" spans="1:6" s="110" customFormat="1" ht="15">
      <c r="A29" s="116"/>
      <c r="B29" s="37" t="s">
        <v>56</v>
      </c>
      <c r="C29" s="41" t="s">
        <v>51</v>
      </c>
      <c r="D29" s="97">
        <v>0.283</v>
      </c>
      <c r="E29" s="42">
        <f>D29*E27</f>
        <v>0.6565599999999999</v>
      </c>
      <c r="F29" s="171"/>
    </row>
    <row r="30" spans="1:6" s="110" customFormat="1" ht="15.75">
      <c r="A30" s="116"/>
      <c r="B30" s="37" t="s">
        <v>308</v>
      </c>
      <c r="C30" s="37" t="s">
        <v>188</v>
      </c>
      <c r="D30" s="97">
        <v>1.02</v>
      </c>
      <c r="E30" s="42">
        <f>D30*E27</f>
        <v>2.3664</v>
      </c>
      <c r="F30" s="171"/>
    </row>
    <row r="31" spans="1:6" s="110" customFormat="1" ht="15">
      <c r="A31" s="116"/>
      <c r="B31" s="37" t="s">
        <v>57</v>
      </c>
      <c r="C31" s="37" t="s">
        <v>51</v>
      </c>
      <c r="D31" s="97">
        <v>0.62</v>
      </c>
      <c r="E31" s="42">
        <f>D31*E27</f>
        <v>1.4384</v>
      </c>
      <c r="F31" s="171"/>
    </row>
    <row r="32" spans="1:6" s="110" customFormat="1" ht="30">
      <c r="A32" s="169">
        <f>A27+1</f>
        <v>10</v>
      </c>
      <c r="B32" s="37" t="s">
        <v>309</v>
      </c>
      <c r="C32" s="41" t="s">
        <v>188</v>
      </c>
      <c r="D32" s="97"/>
      <c r="E32" s="41">
        <f>3.38+6</f>
        <v>9.379999999999999</v>
      </c>
      <c r="F32" s="171"/>
    </row>
    <row r="33" spans="1:6" s="110" customFormat="1" ht="15">
      <c r="A33" s="42"/>
      <c r="B33" s="37" t="s">
        <v>137</v>
      </c>
      <c r="C33" s="37" t="s">
        <v>58</v>
      </c>
      <c r="D33" s="97">
        <f>666/100</f>
        <v>6.66</v>
      </c>
      <c r="E33" s="41">
        <f>E32*D33</f>
        <v>62.4708</v>
      </c>
      <c r="F33" s="171"/>
    </row>
    <row r="34" spans="1:6" s="110" customFormat="1" ht="15">
      <c r="A34" s="42"/>
      <c r="B34" s="37" t="s">
        <v>223</v>
      </c>
      <c r="C34" s="41" t="s">
        <v>51</v>
      </c>
      <c r="D34" s="97">
        <f>59/100</f>
        <v>0.59</v>
      </c>
      <c r="E34" s="41">
        <f>E32*D34</f>
        <v>5.534199999999999</v>
      </c>
      <c r="F34" s="171"/>
    </row>
    <row r="35" spans="1:6" s="110" customFormat="1" ht="15.75">
      <c r="A35" s="42"/>
      <c r="B35" s="97" t="s">
        <v>227</v>
      </c>
      <c r="C35" s="41" t="s">
        <v>188</v>
      </c>
      <c r="D35" s="97">
        <f>101.5/100</f>
        <v>1.015</v>
      </c>
      <c r="E35" s="41">
        <f>D35*E32</f>
        <v>9.520699999999998</v>
      </c>
      <c r="F35" s="171"/>
    </row>
    <row r="36" spans="1:6" s="110" customFormat="1" ht="15.75">
      <c r="A36" s="42"/>
      <c r="B36" s="97" t="s">
        <v>233</v>
      </c>
      <c r="C36" s="97" t="s">
        <v>174</v>
      </c>
      <c r="D36" s="97">
        <f>160/100</f>
        <v>1.6</v>
      </c>
      <c r="E36" s="41">
        <f>D36*E32</f>
        <v>15.008</v>
      </c>
      <c r="F36" s="171"/>
    </row>
    <row r="37" spans="1:6" s="110" customFormat="1" ht="15.75">
      <c r="A37" s="42"/>
      <c r="B37" s="97" t="s">
        <v>234</v>
      </c>
      <c r="C37" s="41" t="s">
        <v>188</v>
      </c>
      <c r="D37" s="74">
        <f>1.83/100</f>
        <v>0.0183</v>
      </c>
      <c r="E37" s="74">
        <f>D37*E32</f>
        <v>0.17165399999999997</v>
      </c>
      <c r="F37" s="171"/>
    </row>
    <row r="38" spans="1:6" s="110" customFormat="1" ht="15">
      <c r="A38" s="42"/>
      <c r="B38" s="97" t="s">
        <v>224</v>
      </c>
      <c r="C38" s="97" t="s">
        <v>51</v>
      </c>
      <c r="D38" s="97">
        <f>40/100</f>
        <v>0.4</v>
      </c>
      <c r="E38" s="41">
        <f>D38*E32</f>
        <v>3.752</v>
      </c>
      <c r="F38" s="171"/>
    </row>
    <row r="39" spans="1:6" s="110" customFormat="1" ht="15">
      <c r="A39" s="169">
        <f>A32+1</f>
        <v>11</v>
      </c>
      <c r="B39" s="97" t="s">
        <v>333</v>
      </c>
      <c r="C39" s="97" t="s">
        <v>191</v>
      </c>
      <c r="D39" s="76"/>
      <c r="E39" s="170">
        <f>SUM(E40:E42)</f>
        <v>1.054</v>
      </c>
      <c r="F39" s="171"/>
    </row>
    <row r="40" spans="1:6" s="110" customFormat="1" ht="15">
      <c r="A40" s="42"/>
      <c r="B40" s="97" t="s">
        <v>232</v>
      </c>
      <c r="C40" s="97" t="s">
        <v>191</v>
      </c>
      <c r="D40" s="76" t="s">
        <v>140</v>
      </c>
      <c r="E40" s="74">
        <f>20/1000</f>
        <v>0.02</v>
      </c>
      <c r="F40" s="171"/>
    </row>
    <row r="41" spans="1:6" s="110" customFormat="1" ht="15">
      <c r="A41" s="42"/>
      <c r="B41" s="97" t="s">
        <v>318</v>
      </c>
      <c r="C41" s="97" t="s">
        <v>191</v>
      </c>
      <c r="D41" s="76" t="s">
        <v>140</v>
      </c>
      <c r="E41" s="75">
        <f>(96+433)/1000</f>
        <v>0.529</v>
      </c>
      <c r="F41" s="171"/>
    </row>
    <row r="42" spans="1:6" s="110" customFormat="1" ht="15">
      <c r="A42" s="42"/>
      <c r="B42" s="97" t="s">
        <v>310</v>
      </c>
      <c r="C42" s="97" t="s">
        <v>191</v>
      </c>
      <c r="D42" s="76" t="s">
        <v>140</v>
      </c>
      <c r="E42" s="75">
        <f>(48+33+173+251)/1000</f>
        <v>0.505</v>
      </c>
      <c r="F42" s="171"/>
    </row>
    <row r="43" spans="1:6" s="110" customFormat="1" ht="15.75">
      <c r="A43" s="169">
        <f>A39+1</f>
        <v>12</v>
      </c>
      <c r="B43" s="97" t="s">
        <v>319</v>
      </c>
      <c r="C43" s="37" t="s">
        <v>188</v>
      </c>
      <c r="D43" s="97"/>
      <c r="E43" s="41">
        <v>7.62</v>
      </c>
      <c r="F43" s="171"/>
    </row>
    <row r="44" spans="1:6" s="110" customFormat="1" ht="15">
      <c r="A44" s="42"/>
      <c r="B44" s="37" t="s">
        <v>137</v>
      </c>
      <c r="C44" s="37" t="s">
        <v>58</v>
      </c>
      <c r="D44" s="97">
        <v>3.88</v>
      </c>
      <c r="E44" s="75">
        <f>D44*E43</f>
        <v>29.5656</v>
      </c>
      <c r="F44" s="171"/>
    </row>
    <row r="45" spans="1:7" s="110" customFormat="1" ht="30">
      <c r="A45" s="169">
        <f>A43+1</f>
        <v>13</v>
      </c>
      <c r="B45" s="97" t="s">
        <v>326</v>
      </c>
      <c r="C45" s="37" t="s">
        <v>188</v>
      </c>
      <c r="D45" s="97"/>
      <c r="E45" s="41">
        <v>12</v>
      </c>
      <c r="F45" s="171"/>
      <c r="G45" s="171"/>
    </row>
    <row r="46" spans="1:6" s="110" customFormat="1" ht="15">
      <c r="A46" s="42"/>
      <c r="B46" s="37" t="s">
        <v>137</v>
      </c>
      <c r="C46" s="37" t="s">
        <v>58</v>
      </c>
      <c r="D46" s="97">
        <v>3.88</v>
      </c>
      <c r="E46" s="75">
        <f>D46*E45</f>
        <v>46.56</v>
      </c>
      <c r="F46" s="171"/>
    </row>
    <row r="47" spans="1:247" s="47" customFormat="1" ht="15.75">
      <c r="A47" s="166">
        <f>A45+1</f>
        <v>14</v>
      </c>
      <c r="B47" s="113" t="s">
        <v>192</v>
      </c>
      <c r="C47" s="112" t="s">
        <v>188</v>
      </c>
      <c r="D47" s="112"/>
      <c r="E47" s="111">
        <f>E45</f>
        <v>12</v>
      </c>
      <c r="F47" s="171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2"/>
      <c r="BT47" s="142"/>
      <c r="BU47" s="142"/>
      <c r="BV47" s="142"/>
      <c r="BW47" s="142"/>
      <c r="BX47" s="142"/>
      <c r="BY47" s="142"/>
      <c r="BZ47" s="142"/>
      <c r="CA47" s="142"/>
      <c r="CB47" s="142"/>
      <c r="CC47" s="142"/>
      <c r="CD47" s="142"/>
      <c r="CE47" s="142"/>
      <c r="CF47" s="142"/>
      <c r="CG47" s="142"/>
      <c r="CH47" s="142"/>
      <c r="CI47" s="142"/>
      <c r="CJ47" s="142"/>
      <c r="CK47" s="142"/>
      <c r="CL47" s="142"/>
      <c r="CM47" s="142"/>
      <c r="CN47" s="142"/>
      <c r="CO47" s="142"/>
      <c r="CP47" s="142"/>
      <c r="CQ47" s="142"/>
      <c r="CR47" s="142"/>
      <c r="CS47" s="142"/>
      <c r="CT47" s="142"/>
      <c r="CU47" s="142"/>
      <c r="CV47" s="142"/>
      <c r="CW47" s="142"/>
      <c r="CX47" s="142"/>
      <c r="CY47" s="142"/>
      <c r="CZ47" s="142"/>
      <c r="DA47" s="142"/>
      <c r="DB47" s="142"/>
      <c r="DC47" s="142"/>
      <c r="DD47" s="142"/>
      <c r="DE47" s="142"/>
      <c r="DF47" s="142"/>
      <c r="DG47" s="142"/>
      <c r="DH47" s="142"/>
      <c r="DI47" s="142"/>
      <c r="DJ47" s="142"/>
      <c r="DK47" s="142"/>
      <c r="DL47" s="142"/>
      <c r="DM47" s="142"/>
      <c r="DN47" s="142"/>
      <c r="DO47" s="142"/>
      <c r="DP47" s="142"/>
      <c r="DQ47" s="142"/>
      <c r="DR47" s="142"/>
      <c r="DS47" s="142"/>
      <c r="DT47" s="142"/>
      <c r="DU47" s="142"/>
      <c r="DV47" s="142"/>
      <c r="DW47" s="142"/>
      <c r="DX47" s="142"/>
      <c r="DY47" s="142"/>
      <c r="DZ47" s="142"/>
      <c r="EA47" s="142"/>
      <c r="EB47" s="142"/>
      <c r="EC47" s="142"/>
      <c r="ED47" s="142"/>
      <c r="EE47" s="142"/>
      <c r="EF47" s="142"/>
      <c r="EG47" s="142"/>
      <c r="EH47" s="142"/>
      <c r="EI47" s="142"/>
      <c r="EJ47" s="142"/>
      <c r="EK47" s="142"/>
      <c r="EL47" s="142"/>
      <c r="EM47" s="142"/>
      <c r="EN47" s="142"/>
      <c r="EO47" s="142"/>
      <c r="EP47" s="142"/>
      <c r="EQ47" s="142"/>
      <c r="ER47" s="142"/>
      <c r="ES47" s="142"/>
      <c r="ET47" s="142"/>
      <c r="EU47" s="142"/>
      <c r="EV47" s="142"/>
      <c r="EW47" s="142"/>
      <c r="EX47" s="142"/>
      <c r="EY47" s="142"/>
      <c r="EZ47" s="142"/>
      <c r="FA47" s="142"/>
      <c r="FB47" s="142"/>
      <c r="FC47" s="142"/>
      <c r="FD47" s="142"/>
      <c r="FE47" s="142"/>
      <c r="FF47" s="142"/>
      <c r="FG47" s="142"/>
      <c r="FH47" s="142"/>
      <c r="FI47" s="142"/>
      <c r="FJ47" s="142"/>
      <c r="FK47" s="142"/>
      <c r="FL47" s="142"/>
      <c r="FM47" s="142"/>
      <c r="FN47" s="142"/>
      <c r="FO47" s="142"/>
      <c r="FP47" s="142"/>
      <c r="FQ47" s="142"/>
      <c r="FR47" s="142"/>
      <c r="FS47" s="142"/>
      <c r="FT47" s="142"/>
      <c r="FU47" s="142"/>
      <c r="FV47" s="142"/>
      <c r="FW47" s="142"/>
      <c r="FX47" s="142"/>
      <c r="FY47" s="142"/>
      <c r="FZ47" s="142"/>
      <c r="GA47" s="142"/>
      <c r="GB47" s="142"/>
      <c r="GC47" s="142"/>
      <c r="GD47" s="142"/>
      <c r="GE47" s="142"/>
      <c r="GF47" s="142"/>
      <c r="GG47" s="142"/>
      <c r="GH47" s="142"/>
      <c r="GI47" s="142"/>
      <c r="GJ47" s="142"/>
      <c r="GK47" s="142"/>
      <c r="GL47" s="142"/>
      <c r="GM47" s="142"/>
      <c r="GN47" s="142"/>
      <c r="GO47" s="142"/>
      <c r="GP47" s="142"/>
      <c r="GQ47" s="142"/>
      <c r="GR47" s="142"/>
      <c r="GS47" s="142"/>
      <c r="GT47" s="142"/>
      <c r="GU47" s="142"/>
      <c r="GV47" s="142"/>
      <c r="GW47" s="142"/>
      <c r="GX47" s="142"/>
      <c r="GY47" s="142"/>
      <c r="GZ47" s="142"/>
      <c r="HA47" s="142"/>
      <c r="HB47" s="142"/>
      <c r="HC47" s="142"/>
      <c r="HD47" s="142"/>
      <c r="HE47" s="142"/>
      <c r="HF47" s="142"/>
      <c r="HG47" s="142"/>
      <c r="HH47" s="142"/>
      <c r="HI47" s="142"/>
      <c r="HJ47" s="142"/>
      <c r="HK47" s="142"/>
      <c r="HL47" s="142"/>
      <c r="HM47" s="142"/>
      <c r="HN47" s="142"/>
      <c r="HO47" s="142"/>
      <c r="HP47" s="142"/>
      <c r="HQ47" s="142"/>
      <c r="HR47" s="142"/>
      <c r="HS47" s="142"/>
      <c r="HT47" s="142"/>
      <c r="HU47" s="142"/>
      <c r="HV47" s="142"/>
      <c r="HW47" s="142"/>
      <c r="HX47" s="142"/>
      <c r="HY47" s="142"/>
      <c r="HZ47" s="142"/>
      <c r="IA47" s="142"/>
      <c r="IB47" s="142"/>
      <c r="IC47" s="142"/>
      <c r="ID47" s="142"/>
      <c r="IE47" s="142"/>
      <c r="IF47" s="142"/>
      <c r="IG47" s="142"/>
      <c r="IH47" s="142"/>
      <c r="II47" s="142"/>
      <c r="IJ47" s="142"/>
      <c r="IK47" s="142"/>
      <c r="IL47" s="142"/>
      <c r="IM47" s="142"/>
    </row>
    <row r="48" spans="1:247" s="47" customFormat="1" ht="15">
      <c r="A48" s="112"/>
      <c r="B48" s="113" t="s">
        <v>137</v>
      </c>
      <c r="C48" s="112" t="s">
        <v>193</v>
      </c>
      <c r="D48" s="112">
        <v>0.87</v>
      </c>
      <c r="E48" s="111">
        <f>E47*D48</f>
        <v>10.44</v>
      </c>
      <c r="F48" s="171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  <c r="BH48" s="142"/>
      <c r="BI48" s="142"/>
      <c r="BJ48" s="142"/>
      <c r="BK48" s="142"/>
      <c r="BL48" s="142"/>
      <c r="BM48" s="142"/>
      <c r="BN48" s="142"/>
      <c r="BO48" s="142"/>
      <c r="BP48" s="142"/>
      <c r="BQ48" s="142"/>
      <c r="BR48" s="142"/>
      <c r="BS48" s="142"/>
      <c r="BT48" s="142"/>
      <c r="BU48" s="142"/>
      <c r="BV48" s="142"/>
      <c r="BW48" s="142"/>
      <c r="BX48" s="142"/>
      <c r="BY48" s="142"/>
      <c r="BZ48" s="142"/>
      <c r="CA48" s="142"/>
      <c r="CB48" s="142"/>
      <c r="CC48" s="142"/>
      <c r="CD48" s="142"/>
      <c r="CE48" s="142"/>
      <c r="CF48" s="142"/>
      <c r="CG48" s="142"/>
      <c r="CH48" s="142"/>
      <c r="CI48" s="142"/>
      <c r="CJ48" s="142"/>
      <c r="CK48" s="142"/>
      <c r="CL48" s="142"/>
      <c r="CM48" s="142"/>
      <c r="CN48" s="142"/>
      <c r="CO48" s="142"/>
      <c r="CP48" s="142"/>
      <c r="CQ48" s="142"/>
      <c r="CR48" s="142"/>
      <c r="CS48" s="142"/>
      <c r="CT48" s="142"/>
      <c r="CU48" s="142"/>
      <c r="CV48" s="142"/>
      <c r="CW48" s="142"/>
      <c r="CX48" s="142"/>
      <c r="CY48" s="142"/>
      <c r="CZ48" s="142"/>
      <c r="DA48" s="142"/>
      <c r="DB48" s="142"/>
      <c r="DC48" s="142"/>
      <c r="DD48" s="142"/>
      <c r="DE48" s="142"/>
      <c r="DF48" s="142"/>
      <c r="DG48" s="142"/>
      <c r="DH48" s="142"/>
      <c r="DI48" s="142"/>
      <c r="DJ48" s="142"/>
      <c r="DK48" s="142"/>
      <c r="DL48" s="142"/>
      <c r="DM48" s="142"/>
      <c r="DN48" s="142"/>
      <c r="DO48" s="142"/>
      <c r="DP48" s="142"/>
      <c r="DQ48" s="142"/>
      <c r="DR48" s="142"/>
      <c r="DS48" s="142"/>
      <c r="DT48" s="142"/>
      <c r="DU48" s="142"/>
      <c r="DV48" s="142"/>
      <c r="DW48" s="142"/>
      <c r="DX48" s="142"/>
      <c r="DY48" s="142"/>
      <c r="DZ48" s="142"/>
      <c r="EA48" s="142"/>
      <c r="EB48" s="142"/>
      <c r="EC48" s="142"/>
      <c r="ED48" s="142"/>
      <c r="EE48" s="142"/>
      <c r="EF48" s="142"/>
      <c r="EG48" s="142"/>
      <c r="EH48" s="142"/>
      <c r="EI48" s="142"/>
      <c r="EJ48" s="142"/>
      <c r="EK48" s="142"/>
      <c r="EL48" s="142"/>
      <c r="EM48" s="142"/>
      <c r="EN48" s="142"/>
      <c r="EO48" s="142"/>
      <c r="EP48" s="142"/>
      <c r="EQ48" s="142"/>
      <c r="ER48" s="142"/>
      <c r="ES48" s="142"/>
      <c r="ET48" s="142"/>
      <c r="EU48" s="142"/>
      <c r="EV48" s="142"/>
      <c r="EW48" s="142"/>
      <c r="EX48" s="142"/>
      <c r="EY48" s="142"/>
      <c r="EZ48" s="142"/>
      <c r="FA48" s="142"/>
      <c r="FB48" s="142"/>
      <c r="FC48" s="142"/>
      <c r="FD48" s="142"/>
      <c r="FE48" s="142"/>
      <c r="FF48" s="142"/>
      <c r="FG48" s="142"/>
      <c r="FH48" s="142"/>
      <c r="FI48" s="142"/>
      <c r="FJ48" s="142"/>
      <c r="FK48" s="142"/>
      <c r="FL48" s="142"/>
      <c r="FM48" s="142"/>
      <c r="FN48" s="142"/>
      <c r="FO48" s="142"/>
      <c r="FP48" s="142"/>
      <c r="FQ48" s="142"/>
      <c r="FR48" s="142"/>
      <c r="FS48" s="142"/>
      <c r="FT48" s="142"/>
      <c r="FU48" s="142"/>
      <c r="FV48" s="142"/>
      <c r="FW48" s="142"/>
      <c r="FX48" s="142"/>
      <c r="FY48" s="142"/>
      <c r="FZ48" s="142"/>
      <c r="GA48" s="142"/>
      <c r="GB48" s="142"/>
      <c r="GC48" s="142"/>
      <c r="GD48" s="142"/>
      <c r="GE48" s="142"/>
      <c r="GF48" s="142"/>
      <c r="GG48" s="142"/>
      <c r="GH48" s="142"/>
      <c r="GI48" s="142"/>
      <c r="GJ48" s="142"/>
      <c r="GK48" s="142"/>
      <c r="GL48" s="142"/>
      <c r="GM48" s="142"/>
      <c r="GN48" s="142"/>
      <c r="GO48" s="142"/>
      <c r="GP48" s="142"/>
      <c r="GQ48" s="142"/>
      <c r="GR48" s="142"/>
      <c r="GS48" s="142"/>
      <c r="GT48" s="142"/>
      <c r="GU48" s="142"/>
      <c r="GV48" s="142"/>
      <c r="GW48" s="142"/>
      <c r="GX48" s="142"/>
      <c r="GY48" s="142"/>
      <c r="GZ48" s="142"/>
      <c r="HA48" s="142"/>
      <c r="HB48" s="142"/>
      <c r="HC48" s="142"/>
      <c r="HD48" s="142"/>
      <c r="HE48" s="142"/>
      <c r="HF48" s="142"/>
      <c r="HG48" s="142"/>
      <c r="HH48" s="142"/>
      <c r="HI48" s="142"/>
      <c r="HJ48" s="142"/>
      <c r="HK48" s="142"/>
      <c r="HL48" s="142"/>
      <c r="HM48" s="142"/>
      <c r="HN48" s="142"/>
      <c r="HO48" s="142"/>
      <c r="HP48" s="142"/>
      <c r="HQ48" s="142"/>
      <c r="HR48" s="142"/>
      <c r="HS48" s="142"/>
      <c r="HT48" s="142"/>
      <c r="HU48" s="142"/>
      <c r="HV48" s="142"/>
      <c r="HW48" s="142"/>
      <c r="HX48" s="142"/>
      <c r="HY48" s="142"/>
      <c r="HZ48" s="142"/>
      <c r="IA48" s="142"/>
      <c r="IB48" s="142"/>
      <c r="IC48" s="142"/>
      <c r="ID48" s="142"/>
      <c r="IE48" s="142"/>
      <c r="IF48" s="142"/>
      <c r="IG48" s="142"/>
      <c r="IH48" s="142"/>
      <c r="II48" s="142"/>
      <c r="IJ48" s="142"/>
      <c r="IK48" s="142"/>
      <c r="IL48" s="142"/>
      <c r="IM48" s="142"/>
    </row>
    <row r="49" spans="1:247" s="47" customFormat="1" ht="15">
      <c r="A49" s="167">
        <f>A47+1</f>
        <v>15</v>
      </c>
      <c r="B49" s="41" t="s">
        <v>237</v>
      </c>
      <c r="C49" s="168" t="s">
        <v>150</v>
      </c>
      <c r="D49" s="190"/>
      <c r="E49" s="143">
        <f>E47</f>
        <v>12</v>
      </c>
      <c r="F49" s="171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44"/>
      <c r="BP49" s="144"/>
      <c r="BQ49" s="144"/>
      <c r="BR49" s="144"/>
      <c r="BS49" s="144"/>
      <c r="BT49" s="144"/>
      <c r="BU49" s="144"/>
      <c r="BV49" s="144"/>
      <c r="BW49" s="144"/>
      <c r="BX49" s="144"/>
      <c r="BY49" s="144"/>
      <c r="BZ49" s="144"/>
      <c r="CA49" s="144"/>
      <c r="CB49" s="144"/>
      <c r="CC49" s="144"/>
      <c r="CD49" s="144"/>
      <c r="CE49" s="144"/>
      <c r="CF49" s="144"/>
      <c r="CG49" s="144"/>
      <c r="CH49" s="144"/>
      <c r="CI49" s="144"/>
      <c r="CJ49" s="144"/>
      <c r="CK49" s="144"/>
      <c r="CL49" s="144"/>
      <c r="CM49" s="144"/>
      <c r="CN49" s="144"/>
      <c r="CO49" s="144"/>
      <c r="CP49" s="144"/>
      <c r="CQ49" s="144"/>
      <c r="CR49" s="144"/>
      <c r="CS49" s="144"/>
      <c r="CT49" s="144"/>
      <c r="CU49" s="144"/>
      <c r="CV49" s="144"/>
      <c r="CW49" s="144"/>
      <c r="CX49" s="144"/>
      <c r="CY49" s="144"/>
      <c r="CZ49" s="144"/>
      <c r="DA49" s="144"/>
      <c r="DB49" s="144"/>
      <c r="DC49" s="144"/>
      <c r="DD49" s="144"/>
      <c r="DE49" s="144"/>
      <c r="DF49" s="144"/>
      <c r="DG49" s="144"/>
      <c r="DH49" s="144"/>
      <c r="DI49" s="144"/>
      <c r="DJ49" s="144"/>
      <c r="DK49" s="144"/>
      <c r="DL49" s="144"/>
      <c r="DM49" s="144"/>
      <c r="DN49" s="144"/>
      <c r="DO49" s="144"/>
      <c r="DP49" s="144"/>
      <c r="DQ49" s="144"/>
      <c r="DR49" s="144"/>
      <c r="DS49" s="144"/>
      <c r="DT49" s="144"/>
      <c r="DU49" s="144"/>
      <c r="DV49" s="144"/>
      <c r="DW49" s="144"/>
      <c r="DX49" s="144"/>
      <c r="DY49" s="144"/>
      <c r="DZ49" s="144"/>
      <c r="EA49" s="144"/>
      <c r="EB49" s="144"/>
      <c r="EC49" s="144"/>
      <c r="ED49" s="144"/>
      <c r="EE49" s="144"/>
      <c r="EF49" s="144"/>
      <c r="EG49" s="144"/>
      <c r="EH49" s="144"/>
      <c r="EI49" s="144"/>
      <c r="EJ49" s="144"/>
      <c r="EK49" s="144"/>
      <c r="EL49" s="144"/>
      <c r="EM49" s="144"/>
      <c r="EN49" s="144"/>
      <c r="EO49" s="144"/>
      <c r="EP49" s="144"/>
      <c r="EQ49" s="144"/>
      <c r="ER49" s="144"/>
      <c r="ES49" s="144"/>
      <c r="ET49" s="144"/>
      <c r="EU49" s="144"/>
      <c r="EV49" s="144"/>
      <c r="EW49" s="144"/>
      <c r="EX49" s="144"/>
      <c r="EY49" s="144"/>
      <c r="EZ49" s="144"/>
      <c r="FA49" s="144"/>
      <c r="FB49" s="144"/>
      <c r="FC49" s="144"/>
      <c r="FD49" s="144"/>
      <c r="FE49" s="144"/>
      <c r="FF49" s="144"/>
      <c r="FG49" s="144"/>
      <c r="FH49" s="144"/>
      <c r="FI49" s="144"/>
      <c r="FJ49" s="144"/>
      <c r="FK49" s="144"/>
      <c r="FL49" s="144"/>
      <c r="FM49" s="144"/>
      <c r="FN49" s="144"/>
      <c r="FO49" s="144"/>
      <c r="FP49" s="144"/>
      <c r="FQ49" s="144"/>
      <c r="FR49" s="144"/>
      <c r="FS49" s="144"/>
      <c r="FT49" s="144"/>
      <c r="FU49" s="144"/>
      <c r="FV49" s="144"/>
      <c r="FW49" s="144"/>
      <c r="FX49" s="144"/>
      <c r="FY49" s="144"/>
      <c r="FZ49" s="144"/>
      <c r="GA49" s="144"/>
      <c r="GB49" s="144"/>
      <c r="GC49" s="144"/>
      <c r="GD49" s="144"/>
      <c r="GE49" s="144"/>
      <c r="GF49" s="144"/>
      <c r="GG49" s="144"/>
      <c r="GH49" s="144"/>
      <c r="GI49" s="144"/>
      <c r="GJ49" s="144"/>
      <c r="GK49" s="144"/>
      <c r="GL49" s="144"/>
      <c r="GM49" s="144"/>
      <c r="GN49" s="144"/>
      <c r="GO49" s="144"/>
      <c r="GP49" s="144"/>
      <c r="GQ49" s="144"/>
      <c r="GR49" s="144"/>
      <c r="GS49" s="144"/>
      <c r="GT49" s="144"/>
      <c r="GU49" s="144"/>
      <c r="GV49" s="144"/>
      <c r="GW49" s="144"/>
      <c r="GX49" s="144"/>
      <c r="GY49" s="144"/>
      <c r="GZ49" s="144"/>
      <c r="HA49" s="144"/>
      <c r="HB49" s="144"/>
      <c r="HC49" s="144"/>
      <c r="HD49" s="144"/>
      <c r="HE49" s="144"/>
      <c r="HF49" s="144"/>
      <c r="HG49" s="144"/>
      <c r="HH49" s="144"/>
      <c r="HI49" s="144"/>
      <c r="HJ49" s="144"/>
      <c r="HK49" s="144"/>
      <c r="HL49" s="144"/>
      <c r="HM49" s="144"/>
      <c r="HN49" s="144"/>
      <c r="HO49" s="144"/>
      <c r="HP49" s="144"/>
      <c r="HQ49" s="144"/>
      <c r="HR49" s="144"/>
      <c r="HS49" s="144"/>
      <c r="HT49" s="144"/>
      <c r="HU49" s="144"/>
      <c r="HV49" s="144"/>
      <c r="HW49" s="144"/>
      <c r="HX49" s="144"/>
      <c r="HY49" s="144"/>
      <c r="HZ49" s="144"/>
      <c r="IA49" s="144"/>
      <c r="IB49" s="144"/>
      <c r="IC49" s="144"/>
      <c r="ID49" s="144"/>
      <c r="IE49" s="144"/>
      <c r="IF49" s="144"/>
      <c r="IG49" s="144"/>
      <c r="IH49" s="144"/>
      <c r="II49" s="144"/>
      <c r="IJ49" s="144"/>
      <c r="IK49" s="144"/>
      <c r="IL49" s="144"/>
      <c r="IM49" s="144"/>
    </row>
    <row r="50" spans="1:6" s="110" customFormat="1" ht="45">
      <c r="A50" s="78">
        <f>A49+1</f>
        <v>16</v>
      </c>
      <c r="B50" s="97" t="s">
        <v>327</v>
      </c>
      <c r="C50" s="37" t="s">
        <v>188</v>
      </c>
      <c r="D50" s="97"/>
      <c r="E50" s="41">
        <v>2.3</v>
      </c>
      <c r="F50" s="171"/>
    </row>
    <row r="51" spans="1:6" s="110" customFormat="1" ht="15">
      <c r="A51" s="42"/>
      <c r="B51" s="37" t="s">
        <v>137</v>
      </c>
      <c r="C51" s="37" t="s">
        <v>58</v>
      </c>
      <c r="D51" s="97">
        <f>860/100</f>
        <v>8.6</v>
      </c>
      <c r="E51" s="75">
        <f>E50*D51</f>
        <v>19.779999999999998</v>
      </c>
      <c r="F51" s="171"/>
    </row>
    <row r="52" spans="1:6" s="110" customFormat="1" ht="15">
      <c r="A52" s="97"/>
      <c r="B52" s="97" t="s">
        <v>315</v>
      </c>
      <c r="C52" s="145" t="s">
        <v>152</v>
      </c>
      <c r="D52" s="97">
        <f>670/100</f>
        <v>6.7</v>
      </c>
      <c r="E52" s="41">
        <f>E50*D52</f>
        <v>15.409999999999998</v>
      </c>
      <c r="F52" s="171"/>
    </row>
    <row r="53" spans="1:247" s="47" customFormat="1" ht="30">
      <c r="A53" s="166">
        <f>A50+1</f>
        <v>17</v>
      </c>
      <c r="B53" s="113" t="s">
        <v>316</v>
      </c>
      <c r="C53" s="112" t="s">
        <v>188</v>
      </c>
      <c r="D53" s="112"/>
      <c r="E53" s="111">
        <f>E50</f>
        <v>2.3</v>
      </c>
      <c r="F53" s="171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  <c r="BH53" s="142"/>
      <c r="BI53" s="142"/>
      <c r="BJ53" s="142"/>
      <c r="BK53" s="142"/>
      <c r="BL53" s="142"/>
      <c r="BM53" s="142"/>
      <c r="BN53" s="142"/>
      <c r="BO53" s="142"/>
      <c r="BP53" s="142"/>
      <c r="BQ53" s="142"/>
      <c r="BR53" s="142"/>
      <c r="BS53" s="142"/>
      <c r="BT53" s="142"/>
      <c r="BU53" s="142"/>
      <c r="BV53" s="142"/>
      <c r="BW53" s="142"/>
      <c r="BX53" s="142"/>
      <c r="BY53" s="142"/>
      <c r="BZ53" s="142"/>
      <c r="CA53" s="142"/>
      <c r="CB53" s="142"/>
      <c r="CC53" s="142"/>
      <c r="CD53" s="142"/>
      <c r="CE53" s="142"/>
      <c r="CF53" s="142"/>
      <c r="CG53" s="142"/>
      <c r="CH53" s="142"/>
      <c r="CI53" s="142"/>
      <c r="CJ53" s="142"/>
      <c r="CK53" s="142"/>
      <c r="CL53" s="142"/>
      <c r="CM53" s="142"/>
      <c r="CN53" s="142"/>
      <c r="CO53" s="142"/>
      <c r="CP53" s="142"/>
      <c r="CQ53" s="142"/>
      <c r="CR53" s="142"/>
      <c r="CS53" s="142"/>
      <c r="CT53" s="142"/>
      <c r="CU53" s="142"/>
      <c r="CV53" s="142"/>
      <c r="CW53" s="142"/>
      <c r="CX53" s="142"/>
      <c r="CY53" s="142"/>
      <c r="CZ53" s="142"/>
      <c r="DA53" s="142"/>
      <c r="DB53" s="142"/>
      <c r="DC53" s="142"/>
      <c r="DD53" s="142"/>
      <c r="DE53" s="142"/>
      <c r="DF53" s="142"/>
      <c r="DG53" s="142"/>
      <c r="DH53" s="142"/>
      <c r="DI53" s="142"/>
      <c r="DJ53" s="142"/>
      <c r="DK53" s="142"/>
      <c r="DL53" s="142"/>
      <c r="DM53" s="142"/>
      <c r="DN53" s="142"/>
      <c r="DO53" s="142"/>
      <c r="DP53" s="142"/>
      <c r="DQ53" s="142"/>
      <c r="DR53" s="142"/>
      <c r="DS53" s="142"/>
      <c r="DT53" s="142"/>
      <c r="DU53" s="142"/>
      <c r="DV53" s="142"/>
      <c r="DW53" s="142"/>
      <c r="DX53" s="142"/>
      <c r="DY53" s="142"/>
      <c r="DZ53" s="142"/>
      <c r="EA53" s="142"/>
      <c r="EB53" s="142"/>
      <c r="EC53" s="142"/>
      <c r="ED53" s="142"/>
      <c r="EE53" s="142"/>
      <c r="EF53" s="142"/>
      <c r="EG53" s="142"/>
      <c r="EH53" s="142"/>
      <c r="EI53" s="142"/>
      <c r="EJ53" s="142"/>
      <c r="EK53" s="142"/>
      <c r="EL53" s="142"/>
      <c r="EM53" s="142"/>
      <c r="EN53" s="142"/>
      <c r="EO53" s="142"/>
      <c r="EP53" s="142"/>
      <c r="EQ53" s="142"/>
      <c r="ER53" s="142"/>
      <c r="ES53" s="142"/>
      <c r="ET53" s="142"/>
      <c r="EU53" s="142"/>
      <c r="EV53" s="142"/>
      <c r="EW53" s="142"/>
      <c r="EX53" s="142"/>
      <c r="EY53" s="142"/>
      <c r="EZ53" s="142"/>
      <c r="FA53" s="142"/>
      <c r="FB53" s="142"/>
      <c r="FC53" s="142"/>
      <c r="FD53" s="142"/>
      <c r="FE53" s="142"/>
      <c r="FF53" s="142"/>
      <c r="FG53" s="142"/>
      <c r="FH53" s="142"/>
      <c r="FI53" s="142"/>
      <c r="FJ53" s="142"/>
      <c r="FK53" s="142"/>
      <c r="FL53" s="142"/>
      <c r="FM53" s="142"/>
      <c r="FN53" s="142"/>
      <c r="FO53" s="142"/>
      <c r="FP53" s="142"/>
      <c r="FQ53" s="142"/>
      <c r="FR53" s="142"/>
      <c r="FS53" s="142"/>
      <c r="FT53" s="142"/>
      <c r="FU53" s="142"/>
      <c r="FV53" s="142"/>
      <c r="FW53" s="142"/>
      <c r="FX53" s="142"/>
      <c r="FY53" s="142"/>
      <c r="FZ53" s="142"/>
      <c r="GA53" s="142"/>
      <c r="GB53" s="142"/>
      <c r="GC53" s="142"/>
      <c r="GD53" s="142"/>
      <c r="GE53" s="142"/>
      <c r="GF53" s="142"/>
      <c r="GG53" s="142"/>
      <c r="GH53" s="142"/>
      <c r="GI53" s="142"/>
      <c r="GJ53" s="142"/>
      <c r="GK53" s="142"/>
      <c r="GL53" s="142"/>
      <c r="GM53" s="142"/>
      <c r="GN53" s="142"/>
      <c r="GO53" s="142"/>
      <c r="GP53" s="142"/>
      <c r="GQ53" s="142"/>
      <c r="GR53" s="142"/>
      <c r="GS53" s="142"/>
      <c r="GT53" s="142"/>
      <c r="GU53" s="142"/>
      <c r="GV53" s="142"/>
      <c r="GW53" s="142"/>
      <c r="GX53" s="142"/>
      <c r="GY53" s="142"/>
      <c r="GZ53" s="142"/>
      <c r="HA53" s="142"/>
      <c r="HB53" s="142"/>
      <c r="HC53" s="142"/>
      <c r="HD53" s="142"/>
      <c r="HE53" s="142"/>
      <c r="HF53" s="142"/>
      <c r="HG53" s="142"/>
      <c r="HH53" s="142"/>
      <c r="HI53" s="142"/>
      <c r="HJ53" s="142"/>
      <c r="HK53" s="142"/>
      <c r="HL53" s="142"/>
      <c r="HM53" s="142"/>
      <c r="HN53" s="142"/>
      <c r="HO53" s="142"/>
      <c r="HP53" s="142"/>
      <c r="HQ53" s="142"/>
      <c r="HR53" s="142"/>
      <c r="HS53" s="142"/>
      <c r="HT53" s="142"/>
      <c r="HU53" s="142"/>
      <c r="HV53" s="142"/>
      <c r="HW53" s="142"/>
      <c r="HX53" s="142"/>
      <c r="HY53" s="142"/>
      <c r="HZ53" s="142"/>
      <c r="IA53" s="142"/>
      <c r="IB53" s="142"/>
      <c r="IC53" s="142"/>
      <c r="ID53" s="142"/>
      <c r="IE53" s="142"/>
      <c r="IF53" s="142"/>
      <c r="IG53" s="142"/>
      <c r="IH53" s="142"/>
      <c r="II53" s="142"/>
      <c r="IJ53" s="142"/>
      <c r="IK53" s="142"/>
      <c r="IL53" s="142"/>
      <c r="IM53" s="142"/>
    </row>
    <row r="54" spans="1:247" s="47" customFormat="1" ht="15">
      <c r="A54" s="112"/>
      <c r="B54" s="113" t="s">
        <v>137</v>
      </c>
      <c r="C54" s="112" t="s">
        <v>193</v>
      </c>
      <c r="D54" s="112">
        <v>0.87</v>
      </c>
      <c r="E54" s="111">
        <f>E53*D54</f>
        <v>2.001</v>
      </c>
      <c r="F54" s="171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  <c r="BA54" s="142"/>
      <c r="BB54" s="142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  <c r="BO54" s="142"/>
      <c r="BP54" s="142"/>
      <c r="BQ54" s="142"/>
      <c r="BR54" s="142"/>
      <c r="BS54" s="142"/>
      <c r="BT54" s="142"/>
      <c r="BU54" s="142"/>
      <c r="BV54" s="142"/>
      <c r="BW54" s="142"/>
      <c r="BX54" s="142"/>
      <c r="BY54" s="142"/>
      <c r="BZ54" s="142"/>
      <c r="CA54" s="142"/>
      <c r="CB54" s="142"/>
      <c r="CC54" s="142"/>
      <c r="CD54" s="142"/>
      <c r="CE54" s="142"/>
      <c r="CF54" s="142"/>
      <c r="CG54" s="142"/>
      <c r="CH54" s="142"/>
      <c r="CI54" s="142"/>
      <c r="CJ54" s="142"/>
      <c r="CK54" s="142"/>
      <c r="CL54" s="142"/>
      <c r="CM54" s="142"/>
      <c r="CN54" s="142"/>
      <c r="CO54" s="142"/>
      <c r="CP54" s="142"/>
      <c r="CQ54" s="142"/>
      <c r="CR54" s="142"/>
      <c r="CS54" s="142"/>
      <c r="CT54" s="142"/>
      <c r="CU54" s="142"/>
      <c r="CV54" s="142"/>
      <c r="CW54" s="142"/>
      <c r="CX54" s="142"/>
      <c r="CY54" s="142"/>
      <c r="CZ54" s="142"/>
      <c r="DA54" s="142"/>
      <c r="DB54" s="142"/>
      <c r="DC54" s="142"/>
      <c r="DD54" s="142"/>
      <c r="DE54" s="142"/>
      <c r="DF54" s="142"/>
      <c r="DG54" s="142"/>
      <c r="DH54" s="142"/>
      <c r="DI54" s="142"/>
      <c r="DJ54" s="142"/>
      <c r="DK54" s="142"/>
      <c r="DL54" s="142"/>
      <c r="DM54" s="142"/>
      <c r="DN54" s="142"/>
      <c r="DO54" s="142"/>
      <c r="DP54" s="142"/>
      <c r="DQ54" s="142"/>
      <c r="DR54" s="142"/>
      <c r="DS54" s="142"/>
      <c r="DT54" s="142"/>
      <c r="DU54" s="142"/>
      <c r="DV54" s="142"/>
      <c r="DW54" s="142"/>
      <c r="DX54" s="142"/>
      <c r="DY54" s="142"/>
      <c r="DZ54" s="142"/>
      <c r="EA54" s="142"/>
      <c r="EB54" s="142"/>
      <c r="EC54" s="142"/>
      <c r="ED54" s="142"/>
      <c r="EE54" s="142"/>
      <c r="EF54" s="142"/>
      <c r="EG54" s="142"/>
      <c r="EH54" s="142"/>
      <c r="EI54" s="142"/>
      <c r="EJ54" s="142"/>
      <c r="EK54" s="142"/>
      <c r="EL54" s="142"/>
      <c r="EM54" s="142"/>
      <c r="EN54" s="142"/>
      <c r="EO54" s="142"/>
      <c r="EP54" s="142"/>
      <c r="EQ54" s="142"/>
      <c r="ER54" s="142"/>
      <c r="ES54" s="142"/>
      <c r="ET54" s="142"/>
      <c r="EU54" s="142"/>
      <c r="EV54" s="142"/>
      <c r="EW54" s="142"/>
      <c r="EX54" s="142"/>
      <c r="EY54" s="142"/>
      <c r="EZ54" s="142"/>
      <c r="FA54" s="142"/>
      <c r="FB54" s="142"/>
      <c r="FC54" s="142"/>
      <c r="FD54" s="142"/>
      <c r="FE54" s="142"/>
      <c r="FF54" s="142"/>
      <c r="FG54" s="142"/>
      <c r="FH54" s="142"/>
      <c r="FI54" s="142"/>
      <c r="FJ54" s="142"/>
      <c r="FK54" s="142"/>
      <c r="FL54" s="142"/>
      <c r="FM54" s="142"/>
      <c r="FN54" s="142"/>
      <c r="FO54" s="142"/>
      <c r="FP54" s="142"/>
      <c r="FQ54" s="142"/>
      <c r="FR54" s="142"/>
      <c r="FS54" s="142"/>
      <c r="FT54" s="142"/>
      <c r="FU54" s="142"/>
      <c r="FV54" s="142"/>
      <c r="FW54" s="142"/>
      <c r="FX54" s="142"/>
      <c r="FY54" s="142"/>
      <c r="FZ54" s="142"/>
      <c r="GA54" s="142"/>
      <c r="GB54" s="142"/>
      <c r="GC54" s="142"/>
      <c r="GD54" s="142"/>
      <c r="GE54" s="142"/>
      <c r="GF54" s="142"/>
      <c r="GG54" s="142"/>
      <c r="GH54" s="142"/>
      <c r="GI54" s="142"/>
      <c r="GJ54" s="142"/>
      <c r="GK54" s="142"/>
      <c r="GL54" s="142"/>
      <c r="GM54" s="142"/>
      <c r="GN54" s="142"/>
      <c r="GO54" s="142"/>
      <c r="GP54" s="142"/>
      <c r="GQ54" s="142"/>
      <c r="GR54" s="142"/>
      <c r="GS54" s="142"/>
      <c r="GT54" s="142"/>
      <c r="GU54" s="142"/>
      <c r="GV54" s="142"/>
      <c r="GW54" s="142"/>
      <c r="GX54" s="142"/>
      <c r="GY54" s="142"/>
      <c r="GZ54" s="142"/>
      <c r="HA54" s="142"/>
      <c r="HB54" s="142"/>
      <c r="HC54" s="142"/>
      <c r="HD54" s="142"/>
      <c r="HE54" s="142"/>
      <c r="HF54" s="142"/>
      <c r="HG54" s="142"/>
      <c r="HH54" s="142"/>
      <c r="HI54" s="142"/>
      <c r="HJ54" s="142"/>
      <c r="HK54" s="142"/>
      <c r="HL54" s="142"/>
      <c r="HM54" s="142"/>
      <c r="HN54" s="142"/>
      <c r="HO54" s="142"/>
      <c r="HP54" s="142"/>
      <c r="HQ54" s="142"/>
      <c r="HR54" s="142"/>
      <c r="HS54" s="142"/>
      <c r="HT54" s="142"/>
      <c r="HU54" s="142"/>
      <c r="HV54" s="142"/>
      <c r="HW54" s="142"/>
      <c r="HX54" s="142"/>
      <c r="HY54" s="142"/>
      <c r="HZ54" s="142"/>
      <c r="IA54" s="142"/>
      <c r="IB54" s="142"/>
      <c r="IC54" s="142"/>
      <c r="ID54" s="142"/>
      <c r="IE54" s="142"/>
      <c r="IF54" s="142"/>
      <c r="IG54" s="142"/>
      <c r="IH54" s="142"/>
      <c r="II54" s="142"/>
      <c r="IJ54" s="142"/>
      <c r="IK54" s="142"/>
      <c r="IL54" s="142"/>
      <c r="IM54" s="142"/>
    </row>
    <row r="55" spans="1:247" s="47" customFormat="1" ht="15">
      <c r="A55" s="167">
        <f>A53+1</f>
        <v>18</v>
      </c>
      <c r="B55" s="41" t="s">
        <v>320</v>
      </c>
      <c r="C55" s="168" t="s">
        <v>150</v>
      </c>
      <c r="D55" s="190"/>
      <c r="E55" s="143">
        <f>E53*2</f>
        <v>4.6</v>
      </c>
      <c r="F55" s="171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  <c r="BI55" s="144"/>
      <c r="BJ55" s="144"/>
      <c r="BK55" s="144"/>
      <c r="BL55" s="144"/>
      <c r="BM55" s="144"/>
      <c r="BN55" s="144"/>
      <c r="BO55" s="144"/>
      <c r="BP55" s="144"/>
      <c r="BQ55" s="144"/>
      <c r="BR55" s="144"/>
      <c r="BS55" s="144"/>
      <c r="BT55" s="144"/>
      <c r="BU55" s="144"/>
      <c r="BV55" s="144"/>
      <c r="BW55" s="144"/>
      <c r="BX55" s="144"/>
      <c r="BY55" s="144"/>
      <c r="BZ55" s="144"/>
      <c r="CA55" s="144"/>
      <c r="CB55" s="144"/>
      <c r="CC55" s="144"/>
      <c r="CD55" s="144"/>
      <c r="CE55" s="144"/>
      <c r="CF55" s="144"/>
      <c r="CG55" s="144"/>
      <c r="CH55" s="144"/>
      <c r="CI55" s="144"/>
      <c r="CJ55" s="144"/>
      <c r="CK55" s="144"/>
      <c r="CL55" s="144"/>
      <c r="CM55" s="144"/>
      <c r="CN55" s="144"/>
      <c r="CO55" s="144"/>
      <c r="CP55" s="144"/>
      <c r="CQ55" s="144"/>
      <c r="CR55" s="144"/>
      <c r="CS55" s="144"/>
      <c r="CT55" s="144"/>
      <c r="CU55" s="144"/>
      <c r="CV55" s="144"/>
      <c r="CW55" s="144"/>
      <c r="CX55" s="144"/>
      <c r="CY55" s="144"/>
      <c r="CZ55" s="144"/>
      <c r="DA55" s="144"/>
      <c r="DB55" s="144"/>
      <c r="DC55" s="144"/>
      <c r="DD55" s="144"/>
      <c r="DE55" s="144"/>
      <c r="DF55" s="144"/>
      <c r="DG55" s="144"/>
      <c r="DH55" s="144"/>
      <c r="DI55" s="144"/>
      <c r="DJ55" s="144"/>
      <c r="DK55" s="144"/>
      <c r="DL55" s="144"/>
      <c r="DM55" s="144"/>
      <c r="DN55" s="144"/>
      <c r="DO55" s="144"/>
      <c r="DP55" s="144"/>
      <c r="DQ55" s="144"/>
      <c r="DR55" s="144"/>
      <c r="DS55" s="144"/>
      <c r="DT55" s="144"/>
      <c r="DU55" s="144"/>
      <c r="DV55" s="144"/>
      <c r="DW55" s="144"/>
      <c r="DX55" s="144"/>
      <c r="DY55" s="144"/>
      <c r="DZ55" s="144"/>
      <c r="EA55" s="144"/>
      <c r="EB55" s="144"/>
      <c r="EC55" s="144"/>
      <c r="ED55" s="144"/>
      <c r="EE55" s="144"/>
      <c r="EF55" s="144"/>
      <c r="EG55" s="144"/>
      <c r="EH55" s="144"/>
      <c r="EI55" s="144"/>
      <c r="EJ55" s="144"/>
      <c r="EK55" s="144"/>
      <c r="EL55" s="144"/>
      <c r="EM55" s="144"/>
      <c r="EN55" s="144"/>
      <c r="EO55" s="144"/>
      <c r="EP55" s="144"/>
      <c r="EQ55" s="144"/>
      <c r="ER55" s="144"/>
      <c r="ES55" s="144"/>
      <c r="ET55" s="144"/>
      <c r="EU55" s="144"/>
      <c r="EV55" s="144"/>
      <c r="EW55" s="144"/>
      <c r="EX55" s="144"/>
      <c r="EY55" s="144"/>
      <c r="EZ55" s="144"/>
      <c r="FA55" s="144"/>
      <c r="FB55" s="144"/>
      <c r="FC55" s="144"/>
      <c r="FD55" s="144"/>
      <c r="FE55" s="144"/>
      <c r="FF55" s="144"/>
      <c r="FG55" s="144"/>
      <c r="FH55" s="144"/>
      <c r="FI55" s="144"/>
      <c r="FJ55" s="144"/>
      <c r="FK55" s="144"/>
      <c r="FL55" s="144"/>
      <c r="FM55" s="144"/>
      <c r="FN55" s="144"/>
      <c r="FO55" s="144"/>
      <c r="FP55" s="144"/>
      <c r="FQ55" s="144"/>
      <c r="FR55" s="144"/>
      <c r="FS55" s="144"/>
      <c r="FT55" s="144"/>
      <c r="FU55" s="144"/>
      <c r="FV55" s="144"/>
      <c r="FW55" s="144"/>
      <c r="FX55" s="144"/>
      <c r="FY55" s="144"/>
      <c r="FZ55" s="144"/>
      <c r="GA55" s="144"/>
      <c r="GB55" s="144"/>
      <c r="GC55" s="144"/>
      <c r="GD55" s="144"/>
      <c r="GE55" s="144"/>
      <c r="GF55" s="144"/>
      <c r="GG55" s="144"/>
      <c r="GH55" s="144"/>
      <c r="GI55" s="144"/>
      <c r="GJ55" s="144"/>
      <c r="GK55" s="144"/>
      <c r="GL55" s="144"/>
      <c r="GM55" s="144"/>
      <c r="GN55" s="144"/>
      <c r="GO55" s="144"/>
      <c r="GP55" s="144"/>
      <c r="GQ55" s="144"/>
      <c r="GR55" s="144"/>
      <c r="GS55" s="144"/>
      <c r="GT55" s="144"/>
      <c r="GU55" s="144"/>
      <c r="GV55" s="144"/>
      <c r="GW55" s="144"/>
      <c r="GX55" s="144"/>
      <c r="GY55" s="144"/>
      <c r="GZ55" s="144"/>
      <c r="HA55" s="144"/>
      <c r="HB55" s="144"/>
      <c r="HC55" s="144"/>
      <c r="HD55" s="144"/>
      <c r="HE55" s="144"/>
      <c r="HF55" s="144"/>
      <c r="HG55" s="144"/>
      <c r="HH55" s="144"/>
      <c r="HI55" s="144"/>
      <c r="HJ55" s="144"/>
      <c r="HK55" s="144"/>
      <c r="HL55" s="144"/>
      <c r="HM55" s="144"/>
      <c r="HN55" s="144"/>
      <c r="HO55" s="144"/>
      <c r="HP55" s="144"/>
      <c r="HQ55" s="144"/>
      <c r="HR55" s="144"/>
      <c r="HS55" s="144"/>
      <c r="HT55" s="144"/>
      <c r="HU55" s="144"/>
      <c r="HV55" s="144"/>
      <c r="HW55" s="144"/>
      <c r="HX55" s="144"/>
      <c r="HY55" s="144"/>
      <c r="HZ55" s="144"/>
      <c r="IA55" s="144"/>
      <c r="IB55" s="144"/>
      <c r="IC55" s="144"/>
      <c r="ID55" s="144"/>
      <c r="IE55" s="144"/>
      <c r="IF55" s="144"/>
      <c r="IG55" s="144"/>
      <c r="IH55" s="144"/>
      <c r="II55" s="144"/>
      <c r="IJ55" s="144"/>
      <c r="IK55" s="144"/>
      <c r="IL55" s="144"/>
      <c r="IM55" s="144"/>
    </row>
    <row r="56" spans="1:247" s="47" customFormat="1" ht="30">
      <c r="A56" s="115">
        <f>A55+1</f>
        <v>19</v>
      </c>
      <c r="B56" s="158" t="s">
        <v>328</v>
      </c>
      <c r="C56" s="112" t="s">
        <v>188</v>
      </c>
      <c r="D56" s="114"/>
      <c r="E56" s="79">
        <v>1.9</v>
      </c>
      <c r="F56" s="171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4"/>
      <c r="CL56" s="144"/>
      <c r="CM56" s="144"/>
      <c r="CN56" s="144"/>
      <c r="CO56" s="144"/>
      <c r="CP56" s="144"/>
      <c r="CQ56" s="144"/>
      <c r="CR56" s="144"/>
      <c r="CS56" s="144"/>
      <c r="CT56" s="144"/>
      <c r="CU56" s="144"/>
      <c r="CV56" s="144"/>
      <c r="CW56" s="144"/>
      <c r="CX56" s="144"/>
      <c r="CY56" s="144"/>
      <c r="CZ56" s="144"/>
      <c r="DA56" s="144"/>
      <c r="DB56" s="144"/>
      <c r="DC56" s="144"/>
      <c r="DD56" s="144"/>
      <c r="DE56" s="144"/>
      <c r="DF56" s="144"/>
      <c r="DG56" s="144"/>
      <c r="DH56" s="144"/>
      <c r="DI56" s="144"/>
      <c r="DJ56" s="144"/>
      <c r="DK56" s="144"/>
      <c r="DL56" s="144"/>
      <c r="DM56" s="144"/>
      <c r="DN56" s="144"/>
      <c r="DO56" s="144"/>
      <c r="DP56" s="144"/>
      <c r="DQ56" s="144"/>
      <c r="DR56" s="144"/>
      <c r="DS56" s="144"/>
      <c r="DT56" s="144"/>
      <c r="DU56" s="144"/>
      <c r="DV56" s="144"/>
      <c r="DW56" s="144"/>
      <c r="DX56" s="144"/>
      <c r="DY56" s="144"/>
      <c r="DZ56" s="144"/>
      <c r="EA56" s="144"/>
      <c r="EB56" s="144"/>
      <c r="EC56" s="144"/>
      <c r="ED56" s="144"/>
      <c r="EE56" s="144"/>
      <c r="EF56" s="144"/>
      <c r="EG56" s="144"/>
      <c r="EH56" s="144"/>
      <c r="EI56" s="144"/>
      <c r="EJ56" s="144"/>
      <c r="EK56" s="144"/>
      <c r="EL56" s="144"/>
      <c r="EM56" s="144"/>
      <c r="EN56" s="144"/>
      <c r="EO56" s="144"/>
      <c r="EP56" s="144"/>
      <c r="EQ56" s="144"/>
      <c r="ER56" s="144"/>
      <c r="ES56" s="144"/>
      <c r="ET56" s="144"/>
      <c r="EU56" s="144"/>
      <c r="EV56" s="144"/>
      <c r="EW56" s="144"/>
      <c r="EX56" s="144"/>
      <c r="EY56" s="144"/>
      <c r="EZ56" s="144"/>
      <c r="FA56" s="144"/>
      <c r="FB56" s="144"/>
      <c r="FC56" s="144"/>
      <c r="FD56" s="144"/>
      <c r="FE56" s="144"/>
      <c r="FF56" s="144"/>
      <c r="FG56" s="144"/>
      <c r="FH56" s="144"/>
      <c r="FI56" s="144"/>
      <c r="FJ56" s="144"/>
      <c r="FK56" s="144"/>
      <c r="FL56" s="144"/>
      <c r="FM56" s="144"/>
      <c r="FN56" s="144"/>
      <c r="FO56" s="144"/>
      <c r="FP56" s="144"/>
      <c r="FQ56" s="144"/>
      <c r="FR56" s="144"/>
      <c r="FS56" s="144"/>
      <c r="FT56" s="144"/>
      <c r="FU56" s="144"/>
      <c r="FV56" s="144"/>
      <c r="FW56" s="144"/>
      <c r="FX56" s="144"/>
      <c r="FY56" s="144"/>
      <c r="FZ56" s="144"/>
      <c r="GA56" s="144"/>
      <c r="GB56" s="144"/>
      <c r="GC56" s="144"/>
      <c r="GD56" s="144"/>
      <c r="GE56" s="144"/>
      <c r="GF56" s="144"/>
      <c r="GG56" s="144"/>
      <c r="GH56" s="144"/>
      <c r="GI56" s="144"/>
      <c r="GJ56" s="144"/>
      <c r="GK56" s="144"/>
      <c r="GL56" s="144"/>
      <c r="GM56" s="144"/>
      <c r="GN56" s="144"/>
      <c r="GO56" s="144"/>
      <c r="GP56" s="144"/>
      <c r="GQ56" s="144"/>
      <c r="GR56" s="144"/>
      <c r="GS56" s="144"/>
      <c r="GT56" s="144"/>
      <c r="GU56" s="144"/>
      <c r="GV56" s="144"/>
      <c r="GW56" s="144"/>
      <c r="GX56" s="144"/>
      <c r="GY56" s="144"/>
      <c r="GZ56" s="144"/>
      <c r="HA56" s="144"/>
      <c r="HB56" s="144"/>
      <c r="HC56" s="144"/>
      <c r="HD56" s="144"/>
      <c r="HE56" s="144"/>
      <c r="HF56" s="144"/>
      <c r="HG56" s="144"/>
      <c r="HH56" s="144"/>
      <c r="HI56" s="144"/>
      <c r="HJ56" s="144"/>
      <c r="HK56" s="144"/>
      <c r="HL56" s="144"/>
      <c r="HM56" s="144"/>
      <c r="HN56" s="144"/>
      <c r="HO56" s="144"/>
      <c r="HP56" s="144"/>
      <c r="HQ56" s="144"/>
      <c r="HR56" s="144"/>
      <c r="HS56" s="144"/>
      <c r="HT56" s="144"/>
      <c r="HU56" s="144"/>
      <c r="HV56" s="144"/>
      <c r="HW56" s="144"/>
      <c r="HX56" s="144"/>
      <c r="HY56" s="144"/>
      <c r="HZ56" s="144"/>
      <c r="IA56" s="144"/>
      <c r="IB56" s="144"/>
      <c r="IC56" s="144"/>
      <c r="ID56" s="144"/>
      <c r="IE56" s="144"/>
      <c r="IF56" s="144"/>
      <c r="IG56" s="144"/>
      <c r="IH56" s="144"/>
      <c r="II56" s="144"/>
      <c r="IJ56" s="144"/>
      <c r="IK56" s="144"/>
      <c r="IL56" s="144"/>
      <c r="IM56" s="144"/>
    </row>
    <row r="57" spans="1:247" s="47" customFormat="1" ht="15">
      <c r="A57" s="115"/>
      <c r="B57" s="79" t="s">
        <v>137</v>
      </c>
      <c r="C57" s="114" t="s">
        <v>193</v>
      </c>
      <c r="D57" s="114">
        <v>0.89</v>
      </c>
      <c r="E57" s="79">
        <f>E56*D57</f>
        <v>1.6909999999999998</v>
      </c>
      <c r="F57" s="171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44"/>
      <c r="BJ57" s="144"/>
      <c r="BK57" s="144"/>
      <c r="BL57" s="144"/>
      <c r="BM57" s="144"/>
      <c r="BN57" s="144"/>
      <c r="BO57" s="144"/>
      <c r="BP57" s="144"/>
      <c r="BQ57" s="144"/>
      <c r="BR57" s="144"/>
      <c r="BS57" s="144"/>
      <c r="BT57" s="144"/>
      <c r="BU57" s="144"/>
      <c r="BV57" s="144"/>
      <c r="BW57" s="144"/>
      <c r="BX57" s="144"/>
      <c r="BY57" s="144"/>
      <c r="BZ57" s="144"/>
      <c r="CA57" s="144"/>
      <c r="CB57" s="144"/>
      <c r="CC57" s="144"/>
      <c r="CD57" s="144"/>
      <c r="CE57" s="144"/>
      <c r="CF57" s="144"/>
      <c r="CG57" s="144"/>
      <c r="CH57" s="144"/>
      <c r="CI57" s="144"/>
      <c r="CJ57" s="144"/>
      <c r="CK57" s="144"/>
      <c r="CL57" s="144"/>
      <c r="CM57" s="144"/>
      <c r="CN57" s="144"/>
      <c r="CO57" s="144"/>
      <c r="CP57" s="144"/>
      <c r="CQ57" s="144"/>
      <c r="CR57" s="144"/>
      <c r="CS57" s="144"/>
      <c r="CT57" s="144"/>
      <c r="CU57" s="144"/>
      <c r="CV57" s="144"/>
      <c r="CW57" s="144"/>
      <c r="CX57" s="144"/>
      <c r="CY57" s="144"/>
      <c r="CZ57" s="144"/>
      <c r="DA57" s="144"/>
      <c r="DB57" s="144"/>
      <c r="DC57" s="144"/>
      <c r="DD57" s="144"/>
      <c r="DE57" s="144"/>
      <c r="DF57" s="144"/>
      <c r="DG57" s="144"/>
      <c r="DH57" s="144"/>
      <c r="DI57" s="144"/>
      <c r="DJ57" s="144"/>
      <c r="DK57" s="144"/>
      <c r="DL57" s="144"/>
      <c r="DM57" s="144"/>
      <c r="DN57" s="144"/>
      <c r="DO57" s="144"/>
      <c r="DP57" s="144"/>
      <c r="DQ57" s="144"/>
      <c r="DR57" s="144"/>
      <c r="DS57" s="144"/>
      <c r="DT57" s="144"/>
      <c r="DU57" s="144"/>
      <c r="DV57" s="144"/>
      <c r="DW57" s="144"/>
      <c r="DX57" s="144"/>
      <c r="DY57" s="144"/>
      <c r="DZ57" s="144"/>
      <c r="EA57" s="144"/>
      <c r="EB57" s="144"/>
      <c r="EC57" s="144"/>
      <c r="ED57" s="144"/>
      <c r="EE57" s="144"/>
      <c r="EF57" s="144"/>
      <c r="EG57" s="144"/>
      <c r="EH57" s="144"/>
      <c r="EI57" s="144"/>
      <c r="EJ57" s="144"/>
      <c r="EK57" s="144"/>
      <c r="EL57" s="144"/>
      <c r="EM57" s="144"/>
      <c r="EN57" s="144"/>
      <c r="EO57" s="144"/>
      <c r="EP57" s="144"/>
      <c r="EQ57" s="144"/>
      <c r="ER57" s="144"/>
      <c r="ES57" s="144"/>
      <c r="ET57" s="144"/>
      <c r="EU57" s="144"/>
      <c r="EV57" s="144"/>
      <c r="EW57" s="144"/>
      <c r="EX57" s="144"/>
      <c r="EY57" s="144"/>
      <c r="EZ57" s="144"/>
      <c r="FA57" s="144"/>
      <c r="FB57" s="144"/>
      <c r="FC57" s="144"/>
      <c r="FD57" s="144"/>
      <c r="FE57" s="144"/>
      <c r="FF57" s="144"/>
      <c r="FG57" s="144"/>
      <c r="FH57" s="144"/>
      <c r="FI57" s="144"/>
      <c r="FJ57" s="144"/>
      <c r="FK57" s="144"/>
      <c r="FL57" s="144"/>
      <c r="FM57" s="144"/>
      <c r="FN57" s="144"/>
      <c r="FO57" s="144"/>
      <c r="FP57" s="144"/>
      <c r="FQ57" s="144"/>
      <c r="FR57" s="144"/>
      <c r="FS57" s="144"/>
      <c r="FT57" s="144"/>
      <c r="FU57" s="144"/>
      <c r="FV57" s="144"/>
      <c r="FW57" s="144"/>
      <c r="FX57" s="144"/>
      <c r="FY57" s="144"/>
      <c r="FZ57" s="144"/>
      <c r="GA57" s="144"/>
      <c r="GB57" s="144"/>
      <c r="GC57" s="144"/>
      <c r="GD57" s="144"/>
      <c r="GE57" s="144"/>
      <c r="GF57" s="144"/>
      <c r="GG57" s="144"/>
      <c r="GH57" s="144"/>
      <c r="GI57" s="144"/>
      <c r="GJ57" s="144"/>
      <c r="GK57" s="144"/>
      <c r="GL57" s="144"/>
      <c r="GM57" s="144"/>
      <c r="GN57" s="144"/>
      <c r="GO57" s="144"/>
      <c r="GP57" s="144"/>
      <c r="GQ57" s="144"/>
      <c r="GR57" s="144"/>
      <c r="GS57" s="144"/>
      <c r="GT57" s="144"/>
      <c r="GU57" s="144"/>
      <c r="GV57" s="144"/>
      <c r="GW57" s="144"/>
      <c r="GX57" s="144"/>
      <c r="GY57" s="144"/>
      <c r="GZ57" s="144"/>
      <c r="HA57" s="144"/>
      <c r="HB57" s="144"/>
      <c r="HC57" s="144"/>
      <c r="HD57" s="144"/>
      <c r="HE57" s="144"/>
      <c r="HF57" s="144"/>
      <c r="HG57" s="144"/>
      <c r="HH57" s="144"/>
      <c r="HI57" s="144"/>
      <c r="HJ57" s="144"/>
      <c r="HK57" s="144"/>
      <c r="HL57" s="144"/>
      <c r="HM57" s="144"/>
      <c r="HN57" s="144"/>
      <c r="HO57" s="144"/>
      <c r="HP57" s="144"/>
      <c r="HQ57" s="144"/>
      <c r="HR57" s="144"/>
      <c r="HS57" s="144"/>
      <c r="HT57" s="144"/>
      <c r="HU57" s="144"/>
      <c r="HV57" s="144"/>
      <c r="HW57" s="144"/>
      <c r="HX57" s="144"/>
      <c r="HY57" s="144"/>
      <c r="HZ57" s="144"/>
      <c r="IA57" s="144"/>
      <c r="IB57" s="144"/>
      <c r="IC57" s="144"/>
      <c r="ID57" s="144"/>
      <c r="IE57" s="144"/>
      <c r="IF57" s="144"/>
      <c r="IG57" s="144"/>
      <c r="IH57" s="144"/>
      <c r="II57" s="144"/>
      <c r="IJ57" s="144"/>
      <c r="IK57" s="144"/>
      <c r="IL57" s="144"/>
      <c r="IM57" s="144"/>
    </row>
    <row r="58" spans="1:247" s="47" customFormat="1" ht="15">
      <c r="A58" s="115"/>
      <c r="B58" s="79" t="s">
        <v>142</v>
      </c>
      <c r="C58" s="114" t="s">
        <v>51</v>
      </c>
      <c r="D58" s="114">
        <v>0.37</v>
      </c>
      <c r="E58" s="79">
        <f>E56*D58</f>
        <v>0.703</v>
      </c>
      <c r="F58" s="171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44"/>
      <c r="BD58" s="144"/>
      <c r="BE58" s="144"/>
      <c r="BF58" s="144"/>
      <c r="BG58" s="144"/>
      <c r="BH58" s="144"/>
      <c r="BI58" s="144"/>
      <c r="BJ58" s="144"/>
      <c r="BK58" s="144"/>
      <c r="BL58" s="144"/>
      <c r="BM58" s="144"/>
      <c r="BN58" s="144"/>
      <c r="BO58" s="144"/>
      <c r="BP58" s="144"/>
      <c r="BQ58" s="144"/>
      <c r="BR58" s="144"/>
      <c r="BS58" s="144"/>
      <c r="BT58" s="144"/>
      <c r="BU58" s="144"/>
      <c r="BV58" s="144"/>
      <c r="BW58" s="144"/>
      <c r="BX58" s="144"/>
      <c r="BY58" s="144"/>
      <c r="BZ58" s="144"/>
      <c r="CA58" s="144"/>
      <c r="CB58" s="144"/>
      <c r="CC58" s="144"/>
      <c r="CD58" s="144"/>
      <c r="CE58" s="144"/>
      <c r="CF58" s="144"/>
      <c r="CG58" s="144"/>
      <c r="CH58" s="144"/>
      <c r="CI58" s="144"/>
      <c r="CJ58" s="144"/>
      <c r="CK58" s="144"/>
      <c r="CL58" s="144"/>
      <c r="CM58" s="144"/>
      <c r="CN58" s="144"/>
      <c r="CO58" s="144"/>
      <c r="CP58" s="144"/>
      <c r="CQ58" s="144"/>
      <c r="CR58" s="144"/>
      <c r="CS58" s="144"/>
      <c r="CT58" s="144"/>
      <c r="CU58" s="144"/>
      <c r="CV58" s="144"/>
      <c r="CW58" s="144"/>
      <c r="CX58" s="144"/>
      <c r="CY58" s="144"/>
      <c r="CZ58" s="144"/>
      <c r="DA58" s="144"/>
      <c r="DB58" s="144"/>
      <c r="DC58" s="144"/>
      <c r="DD58" s="144"/>
      <c r="DE58" s="144"/>
      <c r="DF58" s="144"/>
      <c r="DG58" s="144"/>
      <c r="DH58" s="144"/>
      <c r="DI58" s="144"/>
      <c r="DJ58" s="144"/>
      <c r="DK58" s="144"/>
      <c r="DL58" s="144"/>
      <c r="DM58" s="144"/>
      <c r="DN58" s="144"/>
      <c r="DO58" s="144"/>
      <c r="DP58" s="144"/>
      <c r="DQ58" s="144"/>
      <c r="DR58" s="144"/>
      <c r="DS58" s="144"/>
      <c r="DT58" s="144"/>
      <c r="DU58" s="144"/>
      <c r="DV58" s="144"/>
      <c r="DW58" s="144"/>
      <c r="DX58" s="144"/>
      <c r="DY58" s="144"/>
      <c r="DZ58" s="144"/>
      <c r="EA58" s="144"/>
      <c r="EB58" s="144"/>
      <c r="EC58" s="144"/>
      <c r="ED58" s="144"/>
      <c r="EE58" s="144"/>
      <c r="EF58" s="144"/>
      <c r="EG58" s="144"/>
      <c r="EH58" s="144"/>
      <c r="EI58" s="144"/>
      <c r="EJ58" s="144"/>
      <c r="EK58" s="144"/>
      <c r="EL58" s="144"/>
      <c r="EM58" s="144"/>
      <c r="EN58" s="144"/>
      <c r="EO58" s="144"/>
      <c r="EP58" s="144"/>
      <c r="EQ58" s="144"/>
      <c r="ER58" s="144"/>
      <c r="ES58" s="144"/>
      <c r="ET58" s="144"/>
      <c r="EU58" s="144"/>
      <c r="EV58" s="144"/>
      <c r="EW58" s="144"/>
      <c r="EX58" s="144"/>
      <c r="EY58" s="144"/>
      <c r="EZ58" s="144"/>
      <c r="FA58" s="144"/>
      <c r="FB58" s="144"/>
      <c r="FC58" s="144"/>
      <c r="FD58" s="144"/>
      <c r="FE58" s="144"/>
      <c r="FF58" s="144"/>
      <c r="FG58" s="144"/>
      <c r="FH58" s="144"/>
      <c r="FI58" s="144"/>
      <c r="FJ58" s="144"/>
      <c r="FK58" s="144"/>
      <c r="FL58" s="144"/>
      <c r="FM58" s="144"/>
      <c r="FN58" s="144"/>
      <c r="FO58" s="144"/>
      <c r="FP58" s="144"/>
      <c r="FQ58" s="144"/>
      <c r="FR58" s="144"/>
      <c r="FS58" s="144"/>
      <c r="FT58" s="144"/>
      <c r="FU58" s="144"/>
      <c r="FV58" s="144"/>
      <c r="FW58" s="144"/>
      <c r="FX58" s="144"/>
      <c r="FY58" s="144"/>
      <c r="FZ58" s="144"/>
      <c r="GA58" s="144"/>
      <c r="GB58" s="144"/>
      <c r="GC58" s="144"/>
      <c r="GD58" s="144"/>
      <c r="GE58" s="144"/>
      <c r="GF58" s="144"/>
      <c r="GG58" s="144"/>
      <c r="GH58" s="144"/>
      <c r="GI58" s="144"/>
      <c r="GJ58" s="144"/>
      <c r="GK58" s="144"/>
      <c r="GL58" s="144"/>
      <c r="GM58" s="144"/>
      <c r="GN58" s="144"/>
      <c r="GO58" s="144"/>
      <c r="GP58" s="144"/>
      <c r="GQ58" s="144"/>
      <c r="GR58" s="144"/>
      <c r="GS58" s="144"/>
      <c r="GT58" s="144"/>
      <c r="GU58" s="144"/>
      <c r="GV58" s="144"/>
      <c r="GW58" s="144"/>
      <c r="GX58" s="144"/>
      <c r="GY58" s="144"/>
      <c r="GZ58" s="144"/>
      <c r="HA58" s="144"/>
      <c r="HB58" s="144"/>
      <c r="HC58" s="144"/>
      <c r="HD58" s="144"/>
      <c r="HE58" s="144"/>
      <c r="HF58" s="144"/>
      <c r="HG58" s="144"/>
      <c r="HH58" s="144"/>
      <c r="HI58" s="144"/>
      <c r="HJ58" s="144"/>
      <c r="HK58" s="144"/>
      <c r="HL58" s="144"/>
      <c r="HM58" s="144"/>
      <c r="HN58" s="144"/>
      <c r="HO58" s="144"/>
      <c r="HP58" s="144"/>
      <c r="HQ58" s="144"/>
      <c r="HR58" s="144"/>
      <c r="HS58" s="144"/>
      <c r="HT58" s="144"/>
      <c r="HU58" s="144"/>
      <c r="HV58" s="144"/>
      <c r="HW58" s="144"/>
      <c r="HX58" s="144"/>
      <c r="HY58" s="144"/>
      <c r="HZ58" s="144"/>
      <c r="IA58" s="144"/>
      <c r="IB58" s="144"/>
      <c r="IC58" s="144"/>
      <c r="ID58" s="144"/>
      <c r="IE58" s="144"/>
      <c r="IF58" s="144"/>
      <c r="IG58" s="144"/>
      <c r="IH58" s="144"/>
      <c r="II58" s="144"/>
      <c r="IJ58" s="144"/>
      <c r="IK58" s="144"/>
      <c r="IL58" s="144"/>
      <c r="IM58" s="144"/>
    </row>
    <row r="59" spans="1:247" s="47" customFormat="1" ht="15.75">
      <c r="A59" s="115"/>
      <c r="B59" s="80" t="s">
        <v>219</v>
      </c>
      <c r="C59" s="79" t="s">
        <v>188</v>
      </c>
      <c r="D59" s="79">
        <v>1.15</v>
      </c>
      <c r="E59" s="79">
        <f>E56*D59</f>
        <v>2.1849999999999996</v>
      </c>
      <c r="F59" s="171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  <c r="BQ59" s="144"/>
      <c r="BR59" s="144"/>
      <c r="BS59" s="144"/>
      <c r="BT59" s="144"/>
      <c r="BU59" s="144"/>
      <c r="BV59" s="144"/>
      <c r="BW59" s="144"/>
      <c r="BX59" s="144"/>
      <c r="BY59" s="144"/>
      <c r="BZ59" s="144"/>
      <c r="CA59" s="144"/>
      <c r="CB59" s="144"/>
      <c r="CC59" s="144"/>
      <c r="CD59" s="144"/>
      <c r="CE59" s="144"/>
      <c r="CF59" s="144"/>
      <c r="CG59" s="144"/>
      <c r="CH59" s="144"/>
      <c r="CI59" s="144"/>
      <c r="CJ59" s="144"/>
      <c r="CK59" s="144"/>
      <c r="CL59" s="144"/>
      <c r="CM59" s="144"/>
      <c r="CN59" s="144"/>
      <c r="CO59" s="144"/>
      <c r="CP59" s="144"/>
      <c r="CQ59" s="144"/>
      <c r="CR59" s="144"/>
      <c r="CS59" s="144"/>
      <c r="CT59" s="144"/>
      <c r="CU59" s="144"/>
      <c r="CV59" s="144"/>
      <c r="CW59" s="144"/>
      <c r="CX59" s="144"/>
      <c r="CY59" s="144"/>
      <c r="CZ59" s="144"/>
      <c r="DA59" s="144"/>
      <c r="DB59" s="144"/>
      <c r="DC59" s="144"/>
      <c r="DD59" s="144"/>
      <c r="DE59" s="144"/>
      <c r="DF59" s="144"/>
      <c r="DG59" s="144"/>
      <c r="DH59" s="144"/>
      <c r="DI59" s="144"/>
      <c r="DJ59" s="144"/>
      <c r="DK59" s="144"/>
      <c r="DL59" s="144"/>
      <c r="DM59" s="144"/>
      <c r="DN59" s="144"/>
      <c r="DO59" s="144"/>
      <c r="DP59" s="144"/>
      <c r="DQ59" s="144"/>
      <c r="DR59" s="144"/>
      <c r="DS59" s="144"/>
      <c r="DT59" s="144"/>
      <c r="DU59" s="144"/>
      <c r="DV59" s="144"/>
      <c r="DW59" s="144"/>
      <c r="DX59" s="144"/>
      <c r="DY59" s="144"/>
      <c r="DZ59" s="144"/>
      <c r="EA59" s="144"/>
      <c r="EB59" s="144"/>
      <c r="EC59" s="144"/>
      <c r="ED59" s="144"/>
      <c r="EE59" s="144"/>
      <c r="EF59" s="144"/>
      <c r="EG59" s="144"/>
      <c r="EH59" s="144"/>
      <c r="EI59" s="144"/>
      <c r="EJ59" s="144"/>
      <c r="EK59" s="144"/>
      <c r="EL59" s="144"/>
      <c r="EM59" s="144"/>
      <c r="EN59" s="144"/>
      <c r="EO59" s="144"/>
      <c r="EP59" s="144"/>
      <c r="EQ59" s="144"/>
      <c r="ER59" s="144"/>
      <c r="ES59" s="144"/>
      <c r="ET59" s="144"/>
      <c r="EU59" s="144"/>
      <c r="EV59" s="144"/>
      <c r="EW59" s="144"/>
      <c r="EX59" s="144"/>
      <c r="EY59" s="144"/>
      <c r="EZ59" s="144"/>
      <c r="FA59" s="144"/>
      <c r="FB59" s="144"/>
      <c r="FC59" s="144"/>
      <c r="FD59" s="144"/>
      <c r="FE59" s="144"/>
      <c r="FF59" s="144"/>
      <c r="FG59" s="144"/>
      <c r="FH59" s="144"/>
      <c r="FI59" s="144"/>
      <c r="FJ59" s="144"/>
      <c r="FK59" s="144"/>
      <c r="FL59" s="144"/>
      <c r="FM59" s="144"/>
      <c r="FN59" s="144"/>
      <c r="FO59" s="144"/>
      <c r="FP59" s="144"/>
      <c r="FQ59" s="144"/>
      <c r="FR59" s="144"/>
      <c r="FS59" s="144"/>
      <c r="FT59" s="144"/>
      <c r="FU59" s="144"/>
      <c r="FV59" s="144"/>
      <c r="FW59" s="144"/>
      <c r="FX59" s="144"/>
      <c r="FY59" s="144"/>
      <c r="FZ59" s="144"/>
      <c r="GA59" s="144"/>
      <c r="GB59" s="144"/>
      <c r="GC59" s="144"/>
      <c r="GD59" s="144"/>
      <c r="GE59" s="144"/>
      <c r="GF59" s="144"/>
      <c r="GG59" s="144"/>
      <c r="GH59" s="144"/>
      <c r="GI59" s="144"/>
      <c r="GJ59" s="144"/>
      <c r="GK59" s="144"/>
      <c r="GL59" s="144"/>
      <c r="GM59" s="144"/>
      <c r="GN59" s="144"/>
      <c r="GO59" s="144"/>
      <c r="GP59" s="144"/>
      <c r="GQ59" s="144"/>
      <c r="GR59" s="144"/>
      <c r="GS59" s="144"/>
      <c r="GT59" s="144"/>
      <c r="GU59" s="144"/>
      <c r="GV59" s="144"/>
      <c r="GW59" s="144"/>
      <c r="GX59" s="144"/>
      <c r="GY59" s="144"/>
      <c r="GZ59" s="144"/>
      <c r="HA59" s="144"/>
      <c r="HB59" s="144"/>
      <c r="HC59" s="144"/>
      <c r="HD59" s="144"/>
      <c r="HE59" s="144"/>
      <c r="HF59" s="144"/>
      <c r="HG59" s="144"/>
      <c r="HH59" s="144"/>
      <c r="HI59" s="144"/>
      <c r="HJ59" s="144"/>
      <c r="HK59" s="144"/>
      <c r="HL59" s="144"/>
      <c r="HM59" s="144"/>
      <c r="HN59" s="144"/>
      <c r="HO59" s="144"/>
      <c r="HP59" s="144"/>
      <c r="HQ59" s="144"/>
      <c r="HR59" s="144"/>
      <c r="HS59" s="144"/>
      <c r="HT59" s="144"/>
      <c r="HU59" s="144"/>
      <c r="HV59" s="144"/>
      <c r="HW59" s="144"/>
      <c r="HX59" s="144"/>
      <c r="HY59" s="144"/>
      <c r="HZ59" s="144"/>
      <c r="IA59" s="144"/>
      <c r="IB59" s="144"/>
      <c r="IC59" s="144"/>
      <c r="ID59" s="144"/>
      <c r="IE59" s="144"/>
      <c r="IF59" s="144"/>
      <c r="IG59" s="144"/>
      <c r="IH59" s="144"/>
      <c r="II59" s="144"/>
      <c r="IJ59" s="144"/>
      <c r="IK59" s="144"/>
      <c r="IL59" s="144"/>
      <c r="IM59" s="144"/>
    </row>
    <row r="60" spans="1:247" s="47" customFormat="1" ht="15">
      <c r="A60" s="115"/>
      <c r="B60" s="79" t="s">
        <v>166</v>
      </c>
      <c r="C60" s="114" t="s">
        <v>51</v>
      </c>
      <c r="D60" s="79">
        <v>0.02</v>
      </c>
      <c r="E60" s="79">
        <f>E56*D60</f>
        <v>0.038</v>
      </c>
      <c r="F60" s="171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4"/>
      <c r="BT60" s="144"/>
      <c r="BU60" s="144"/>
      <c r="BV60" s="144"/>
      <c r="BW60" s="144"/>
      <c r="BX60" s="144"/>
      <c r="BY60" s="144"/>
      <c r="BZ60" s="144"/>
      <c r="CA60" s="144"/>
      <c r="CB60" s="144"/>
      <c r="CC60" s="144"/>
      <c r="CD60" s="144"/>
      <c r="CE60" s="144"/>
      <c r="CF60" s="144"/>
      <c r="CG60" s="144"/>
      <c r="CH60" s="144"/>
      <c r="CI60" s="144"/>
      <c r="CJ60" s="144"/>
      <c r="CK60" s="144"/>
      <c r="CL60" s="144"/>
      <c r="CM60" s="144"/>
      <c r="CN60" s="144"/>
      <c r="CO60" s="144"/>
      <c r="CP60" s="144"/>
      <c r="CQ60" s="144"/>
      <c r="CR60" s="144"/>
      <c r="CS60" s="144"/>
      <c r="CT60" s="144"/>
      <c r="CU60" s="144"/>
      <c r="CV60" s="144"/>
      <c r="CW60" s="144"/>
      <c r="CX60" s="144"/>
      <c r="CY60" s="144"/>
      <c r="CZ60" s="144"/>
      <c r="DA60" s="144"/>
      <c r="DB60" s="144"/>
      <c r="DC60" s="144"/>
      <c r="DD60" s="144"/>
      <c r="DE60" s="144"/>
      <c r="DF60" s="144"/>
      <c r="DG60" s="144"/>
      <c r="DH60" s="144"/>
      <c r="DI60" s="144"/>
      <c r="DJ60" s="144"/>
      <c r="DK60" s="144"/>
      <c r="DL60" s="144"/>
      <c r="DM60" s="144"/>
      <c r="DN60" s="144"/>
      <c r="DO60" s="144"/>
      <c r="DP60" s="144"/>
      <c r="DQ60" s="144"/>
      <c r="DR60" s="144"/>
      <c r="DS60" s="144"/>
      <c r="DT60" s="144"/>
      <c r="DU60" s="144"/>
      <c r="DV60" s="144"/>
      <c r="DW60" s="144"/>
      <c r="DX60" s="144"/>
      <c r="DY60" s="144"/>
      <c r="DZ60" s="144"/>
      <c r="EA60" s="144"/>
      <c r="EB60" s="144"/>
      <c r="EC60" s="144"/>
      <c r="ED60" s="144"/>
      <c r="EE60" s="144"/>
      <c r="EF60" s="144"/>
      <c r="EG60" s="144"/>
      <c r="EH60" s="144"/>
      <c r="EI60" s="144"/>
      <c r="EJ60" s="144"/>
      <c r="EK60" s="144"/>
      <c r="EL60" s="144"/>
      <c r="EM60" s="144"/>
      <c r="EN60" s="144"/>
      <c r="EO60" s="144"/>
      <c r="EP60" s="144"/>
      <c r="EQ60" s="144"/>
      <c r="ER60" s="144"/>
      <c r="ES60" s="144"/>
      <c r="ET60" s="144"/>
      <c r="EU60" s="144"/>
      <c r="EV60" s="144"/>
      <c r="EW60" s="144"/>
      <c r="EX60" s="144"/>
      <c r="EY60" s="144"/>
      <c r="EZ60" s="144"/>
      <c r="FA60" s="144"/>
      <c r="FB60" s="144"/>
      <c r="FC60" s="144"/>
      <c r="FD60" s="144"/>
      <c r="FE60" s="144"/>
      <c r="FF60" s="144"/>
      <c r="FG60" s="144"/>
      <c r="FH60" s="144"/>
      <c r="FI60" s="144"/>
      <c r="FJ60" s="144"/>
      <c r="FK60" s="144"/>
      <c r="FL60" s="144"/>
      <c r="FM60" s="144"/>
      <c r="FN60" s="144"/>
      <c r="FO60" s="144"/>
      <c r="FP60" s="144"/>
      <c r="FQ60" s="144"/>
      <c r="FR60" s="144"/>
      <c r="FS60" s="144"/>
      <c r="FT60" s="144"/>
      <c r="FU60" s="144"/>
      <c r="FV60" s="144"/>
      <c r="FW60" s="144"/>
      <c r="FX60" s="144"/>
      <c r="FY60" s="144"/>
      <c r="FZ60" s="144"/>
      <c r="GA60" s="144"/>
      <c r="GB60" s="144"/>
      <c r="GC60" s="144"/>
      <c r="GD60" s="144"/>
      <c r="GE60" s="144"/>
      <c r="GF60" s="144"/>
      <c r="GG60" s="144"/>
      <c r="GH60" s="144"/>
      <c r="GI60" s="144"/>
      <c r="GJ60" s="144"/>
      <c r="GK60" s="144"/>
      <c r="GL60" s="144"/>
      <c r="GM60" s="144"/>
      <c r="GN60" s="144"/>
      <c r="GO60" s="144"/>
      <c r="GP60" s="144"/>
      <c r="GQ60" s="144"/>
      <c r="GR60" s="144"/>
      <c r="GS60" s="144"/>
      <c r="GT60" s="144"/>
      <c r="GU60" s="144"/>
      <c r="GV60" s="144"/>
      <c r="GW60" s="144"/>
      <c r="GX60" s="144"/>
      <c r="GY60" s="144"/>
      <c r="GZ60" s="144"/>
      <c r="HA60" s="144"/>
      <c r="HB60" s="144"/>
      <c r="HC60" s="144"/>
      <c r="HD60" s="144"/>
      <c r="HE60" s="144"/>
      <c r="HF60" s="144"/>
      <c r="HG60" s="144"/>
      <c r="HH60" s="144"/>
      <c r="HI60" s="144"/>
      <c r="HJ60" s="144"/>
      <c r="HK60" s="144"/>
      <c r="HL60" s="144"/>
      <c r="HM60" s="144"/>
      <c r="HN60" s="144"/>
      <c r="HO60" s="144"/>
      <c r="HP60" s="144"/>
      <c r="HQ60" s="144"/>
      <c r="HR60" s="144"/>
      <c r="HS60" s="144"/>
      <c r="HT60" s="144"/>
      <c r="HU60" s="144"/>
      <c r="HV60" s="144"/>
      <c r="HW60" s="144"/>
      <c r="HX60" s="144"/>
      <c r="HY60" s="144"/>
      <c r="HZ60" s="144"/>
      <c r="IA60" s="144"/>
      <c r="IB60" s="144"/>
      <c r="IC60" s="144"/>
      <c r="ID60" s="144"/>
      <c r="IE60" s="144"/>
      <c r="IF60" s="144"/>
      <c r="IG60" s="144"/>
      <c r="IH60" s="144"/>
      <c r="II60" s="144"/>
      <c r="IJ60" s="144"/>
      <c r="IK60" s="144"/>
      <c r="IL60" s="144"/>
      <c r="IM60" s="144"/>
    </row>
    <row r="61" spans="1:6" s="110" customFormat="1" ht="30">
      <c r="A61" s="115">
        <f>A56+1</f>
        <v>20</v>
      </c>
      <c r="B61" s="97" t="s">
        <v>334</v>
      </c>
      <c r="C61" s="37" t="s">
        <v>188</v>
      </c>
      <c r="D61" s="97"/>
      <c r="E61" s="41">
        <f>E56</f>
        <v>1.9</v>
      </c>
      <c r="F61" s="171"/>
    </row>
    <row r="62" spans="1:6" s="110" customFormat="1" ht="15">
      <c r="A62" s="42"/>
      <c r="B62" s="37" t="s">
        <v>317</v>
      </c>
      <c r="C62" s="37" t="s">
        <v>152</v>
      </c>
      <c r="D62" s="97">
        <f>12.9/1000</f>
        <v>0.0129</v>
      </c>
      <c r="E62" s="75">
        <f>D62*E61</f>
        <v>0.02451</v>
      </c>
      <c r="F62" s="171"/>
    </row>
    <row r="63" spans="1:6" s="110" customFormat="1" ht="30">
      <c r="A63" s="169">
        <f>A61+1</f>
        <v>21</v>
      </c>
      <c r="B63" s="37" t="s">
        <v>321</v>
      </c>
      <c r="C63" s="97" t="s">
        <v>188</v>
      </c>
      <c r="D63" s="97"/>
      <c r="E63" s="41">
        <v>1.2</v>
      </c>
      <c r="F63" s="171"/>
    </row>
    <row r="64" spans="1:6" s="110" customFormat="1" ht="15">
      <c r="A64" s="116"/>
      <c r="B64" s="37" t="s">
        <v>149</v>
      </c>
      <c r="C64" s="37" t="s">
        <v>58</v>
      </c>
      <c r="D64" s="97">
        <v>1.37</v>
      </c>
      <c r="E64" s="42">
        <f>D64*E63</f>
        <v>1.6440000000000001</v>
      </c>
      <c r="F64" s="171"/>
    </row>
    <row r="65" spans="1:6" s="110" customFormat="1" ht="15">
      <c r="A65" s="116"/>
      <c r="B65" s="37" t="s">
        <v>56</v>
      </c>
      <c r="C65" s="41" t="s">
        <v>51</v>
      </c>
      <c r="D65" s="97">
        <v>0.283</v>
      </c>
      <c r="E65" s="42">
        <f>D65*E63</f>
        <v>0.33959999999999996</v>
      </c>
      <c r="F65" s="171"/>
    </row>
    <row r="66" spans="1:6" s="110" customFormat="1" ht="15.75">
      <c r="A66" s="116"/>
      <c r="B66" s="37" t="s">
        <v>308</v>
      </c>
      <c r="C66" s="37" t="s">
        <v>188</v>
      </c>
      <c r="D66" s="97">
        <v>1.02</v>
      </c>
      <c r="E66" s="42">
        <f>D66*E63</f>
        <v>1.224</v>
      </c>
      <c r="F66" s="171"/>
    </row>
    <row r="67" spans="1:6" s="110" customFormat="1" ht="15">
      <c r="A67" s="116"/>
      <c r="B67" s="37" t="s">
        <v>57</v>
      </c>
      <c r="C67" s="37" t="s">
        <v>51</v>
      </c>
      <c r="D67" s="97">
        <v>0.62</v>
      </c>
      <c r="E67" s="42">
        <f>D67*E63</f>
        <v>0.744</v>
      </c>
      <c r="F67" s="171"/>
    </row>
    <row r="68" spans="1:7" s="110" customFormat="1" ht="30">
      <c r="A68" s="169">
        <f>A63+1</f>
        <v>22</v>
      </c>
      <c r="B68" s="37" t="s">
        <v>329</v>
      </c>
      <c r="C68" s="41" t="s">
        <v>188</v>
      </c>
      <c r="D68" s="76"/>
      <c r="E68" s="41">
        <v>4.75</v>
      </c>
      <c r="F68" s="171"/>
      <c r="G68" s="171"/>
    </row>
    <row r="69" spans="1:6" s="110" customFormat="1" ht="15">
      <c r="A69" s="42"/>
      <c r="B69" s="37" t="s">
        <v>149</v>
      </c>
      <c r="C69" s="37" t="s">
        <v>58</v>
      </c>
      <c r="D69" s="97">
        <f>1470/100</f>
        <v>14.7</v>
      </c>
      <c r="E69" s="97">
        <f>E68*D69</f>
        <v>69.825</v>
      </c>
      <c r="F69" s="171"/>
    </row>
    <row r="70" spans="1:6" s="110" customFormat="1" ht="15">
      <c r="A70" s="42"/>
      <c r="B70" s="37" t="s">
        <v>56</v>
      </c>
      <c r="C70" s="41" t="s">
        <v>51</v>
      </c>
      <c r="D70" s="97">
        <f>121/100</f>
        <v>1.21</v>
      </c>
      <c r="E70" s="41">
        <f>E68*D70</f>
        <v>5.7475</v>
      </c>
      <c r="F70" s="171"/>
    </row>
    <row r="71" spans="1:6" s="110" customFormat="1" ht="15.75">
      <c r="A71" s="42"/>
      <c r="B71" s="97" t="s">
        <v>227</v>
      </c>
      <c r="C71" s="41" t="s">
        <v>188</v>
      </c>
      <c r="D71" s="103">
        <f>100/100</f>
        <v>1</v>
      </c>
      <c r="E71" s="41">
        <f>D71*E68</f>
        <v>4.75</v>
      </c>
      <c r="F71" s="171"/>
    </row>
    <row r="72" spans="1:6" s="110" customFormat="1" ht="15.75">
      <c r="A72" s="42"/>
      <c r="B72" s="37" t="s">
        <v>330</v>
      </c>
      <c r="C72" s="37" t="s">
        <v>174</v>
      </c>
      <c r="D72" s="97">
        <f>246/100</f>
        <v>2.46</v>
      </c>
      <c r="E72" s="41">
        <f>D72*E68</f>
        <v>11.685</v>
      </c>
      <c r="F72" s="171"/>
    </row>
    <row r="73" spans="1:6" s="110" customFormat="1" ht="15.75">
      <c r="A73" s="42"/>
      <c r="B73" s="97" t="s">
        <v>229</v>
      </c>
      <c r="C73" s="41" t="s">
        <v>188</v>
      </c>
      <c r="D73" s="75">
        <f>16/100</f>
        <v>0.16</v>
      </c>
      <c r="E73" s="41">
        <f>D73*E68</f>
        <v>0.76</v>
      </c>
      <c r="F73" s="171"/>
    </row>
    <row r="74" spans="1:6" s="110" customFormat="1" ht="15.75">
      <c r="A74" s="42"/>
      <c r="B74" s="97" t="s">
        <v>230</v>
      </c>
      <c r="C74" s="41" t="s">
        <v>188</v>
      </c>
      <c r="D74" s="75">
        <f>0.7/100</f>
        <v>0.006999999999999999</v>
      </c>
      <c r="E74" s="41">
        <f>D74*E68</f>
        <v>0.033249999999999995</v>
      </c>
      <c r="F74" s="171"/>
    </row>
    <row r="75" spans="1:6" s="110" customFormat="1" ht="15">
      <c r="A75" s="42"/>
      <c r="B75" s="37" t="s">
        <v>231</v>
      </c>
      <c r="C75" s="37" t="s">
        <v>156</v>
      </c>
      <c r="D75" s="74">
        <f>0.33/100</f>
        <v>0.0033</v>
      </c>
      <c r="E75" s="75">
        <f>D75*E68</f>
        <v>0.015675</v>
      </c>
      <c r="F75" s="171"/>
    </row>
    <row r="76" spans="1:6" s="110" customFormat="1" ht="15">
      <c r="A76" s="42"/>
      <c r="B76" s="37" t="s">
        <v>57</v>
      </c>
      <c r="C76" s="37" t="s">
        <v>51</v>
      </c>
      <c r="D76" s="41">
        <f>90/100</f>
        <v>0.9</v>
      </c>
      <c r="E76" s="41">
        <f>D76*E68</f>
        <v>4.275</v>
      </c>
      <c r="F76" s="171"/>
    </row>
    <row r="77" spans="1:6" s="110" customFormat="1" ht="15">
      <c r="A77" s="169">
        <f>A68+1</f>
        <v>23</v>
      </c>
      <c r="B77" s="97" t="s">
        <v>333</v>
      </c>
      <c r="C77" s="97" t="s">
        <v>191</v>
      </c>
      <c r="D77" s="76" t="s">
        <v>140</v>
      </c>
      <c r="E77" s="172">
        <f>SUM(E78:E81)</f>
        <v>0.546</v>
      </c>
      <c r="F77" s="171"/>
    </row>
    <row r="78" spans="1:6" s="110" customFormat="1" ht="15">
      <c r="A78" s="42"/>
      <c r="B78" s="97" t="s">
        <v>232</v>
      </c>
      <c r="C78" s="97" t="s">
        <v>191</v>
      </c>
      <c r="D78" s="76" t="s">
        <v>140</v>
      </c>
      <c r="E78" s="75">
        <f>133/1000</f>
        <v>0.133</v>
      </c>
      <c r="F78" s="171"/>
    </row>
    <row r="79" spans="1:6" s="110" customFormat="1" ht="15">
      <c r="A79" s="42"/>
      <c r="B79" s="97" t="s">
        <v>236</v>
      </c>
      <c r="C79" s="97" t="s">
        <v>191</v>
      </c>
      <c r="D79" s="76" t="s">
        <v>140</v>
      </c>
      <c r="E79" s="75">
        <f>37/1000</f>
        <v>0.037</v>
      </c>
      <c r="F79" s="171"/>
    </row>
    <row r="80" spans="1:6" s="110" customFormat="1" ht="15">
      <c r="A80" s="42"/>
      <c r="B80" s="97" t="s">
        <v>310</v>
      </c>
      <c r="C80" s="97" t="s">
        <v>191</v>
      </c>
      <c r="D80" s="76" t="s">
        <v>140</v>
      </c>
      <c r="E80" s="74">
        <f>166/1000</f>
        <v>0.166</v>
      </c>
      <c r="F80" s="171"/>
    </row>
    <row r="81" spans="1:6" s="110" customFormat="1" ht="15">
      <c r="A81" s="42"/>
      <c r="B81" s="97" t="s">
        <v>313</v>
      </c>
      <c r="C81" s="97" t="s">
        <v>191</v>
      </c>
      <c r="D81" s="76" t="s">
        <v>140</v>
      </c>
      <c r="E81" s="74">
        <f>210/1000</f>
        <v>0.21</v>
      </c>
      <c r="F81" s="171"/>
    </row>
    <row r="82" spans="1:6" s="117" customFormat="1" ht="30">
      <c r="A82" s="173">
        <f>A77+1</f>
        <v>24</v>
      </c>
      <c r="B82" s="97" t="s">
        <v>290</v>
      </c>
      <c r="C82" s="48" t="s">
        <v>188</v>
      </c>
      <c r="D82" s="48"/>
      <c r="E82" s="49">
        <v>75</v>
      </c>
      <c r="F82" s="171"/>
    </row>
    <row r="83" spans="1:6" s="117" customFormat="1" ht="15">
      <c r="A83" s="48"/>
      <c r="B83" s="97" t="s">
        <v>137</v>
      </c>
      <c r="C83" s="48" t="s">
        <v>193</v>
      </c>
      <c r="D83" s="109">
        <f>56.9/100</f>
        <v>0.569</v>
      </c>
      <c r="E83" s="49">
        <f>E82*D83</f>
        <v>42.675</v>
      </c>
      <c r="F83" s="171"/>
    </row>
    <row r="84" spans="1:6" s="117" customFormat="1" ht="15">
      <c r="A84" s="48"/>
      <c r="B84" s="97" t="s">
        <v>142</v>
      </c>
      <c r="C84" s="48" t="s">
        <v>51</v>
      </c>
      <c r="D84" s="118">
        <f>4.58/100</f>
        <v>0.0458</v>
      </c>
      <c r="E84" s="49">
        <f>E82*D84</f>
        <v>3.435</v>
      </c>
      <c r="F84" s="171"/>
    </row>
    <row r="85" spans="1:6" s="117" customFormat="1" ht="15.75">
      <c r="A85" s="48"/>
      <c r="B85" s="97" t="s">
        <v>291</v>
      </c>
      <c r="C85" s="48" t="s">
        <v>188</v>
      </c>
      <c r="D85" s="118">
        <f>0.46/100</f>
        <v>0.0046</v>
      </c>
      <c r="E85" s="109">
        <f>E82*D85</f>
        <v>0.345</v>
      </c>
      <c r="F85" s="171"/>
    </row>
    <row r="86" spans="1:6" s="117" customFormat="1" ht="15.75">
      <c r="A86" s="48"/>
      <c r="B86" s="97" t="s">
        <v>292</v>
      </c>
      <c r="C86" s="48" t="s">
        <v>188</v>
      </c>
      <c r="D86" s="118">
        <f>0.79/100</f>
        <v>0.0079</v>
      </c>
      <c r="E86" s="109">
        <f>E82*D86</f>
        <v>0.5925</v>
      </c>
      <c r="F86" s="171"/>
    </row>
    <row r="87" spans="1:6" s="117" customFormat="1" ht="15">
      <c r="A87" s="48"/>
      <c r="B87" s="97" t="s">
        <v>166</v>
      </c>
      <c r="C87" s="48" t="s">
        <v>51</v>
      </c>
      <c r="D87" s="118">
        <f>0.41/100</f>
        <v>0.0040999999999999995</v>
      </c>
      <c r="E87" s="109">
        <f>E82*D87</f>
        <v>0.30749999999999994</v>
      </c>
      <c r="F87" s="171"/>
    </row>
    <row r="88" spans="1:6" s="117" customFormat="1" ht="30">
      <c r="A88" s="173">
        <f>A82+1</f>
        <v>25</v>
      </c>
      <c r="B88" s="97" t="s">
        <v>340</v>
      </c>
      <c r="C88" s="48" t="s">
        <v>188</v>
      </c>
      <c r="D88" s="48"/>
      <c r="E88" s="49">
        <v>9.9</v>
      </c>
      <c r="F88" s="171"/>
    </row>
    <row r="89" spans="1:6" s="117" customFormat="1" ht="15">
      <c r="A89" s="48"/>
      <c r="B89" s="97" t="s">
        <v>137</v>
      </c>
      <c r="C89" s="48" t="s">
        <v>193</v>
      </c>
      <c r="D89" s="49">
        <v>8.82</v>
      </c>
      <c r="E89" s="49">
        <f>E88*D89</f>
        <v>87.31800000000001</v>
      </c>
      <c r="F89" s="171"/>
    </row>
    <row r="90" spans="1:6" s="117" customFormat="1" ht="15">
      <c r="A90" s="48"/>
      <c r="B90" s="97" t="s">
        <v>142</v>
      </c>
      <c r="C90" s="48" t="s">
        <v>51</v>
      </c>
      <c r="D90" s="49">
        <v>1.24</v>
      </c>
      <c r="E90" s="49">
        <f>E88*D90</f>
        <v>12.276</v>
      </c>
      <c r="F90" s="171"/>
    </row>
    <row r="91" spans="1:6" s="117" customFormat="1" ht="15.75">
      <c r="A91" s="48"/>
      <c r="B91" s="97" t="s">
        <v>227</v>
      </c>
      <c r="C91" s="48" t="s">
        <v>188</v>
      </c>
      <c r="D91" s="109">
        <v>1.015</v>
      </c>
      <c r="E91" s="49">
        <f>E88*D91</f>
        <v>10.048499999999999</v>
      </c>
      <c r="F91" s="171"/>
    </row>
    <row r="92" spans="1:6" s="117" customFormat="1" ht="15.75">
      <c r="A92" s="48"/>
      <c r="B92" s="97" t="s">
        <v>293</v>
      </c>
      <c r="C92" s="48" t="s">
        <v>174</v>
      </c>
      <c r="D92" s="49">
        <v>1.84</v>
      </c>
      <c r="E92" s="49">
        <f>E88*D92</f>
        <v>18.216</v>
      </c>
      <c r="F92" s="171"/>
    </row>
    <row r="93" spans="1:6" s="117" customFormat="1" ht="15.75">
      <c r="A93" s="48"/>
      <c r="B93" s="97" t="s">
        <v>294</v>
      </c>
      <c r="C93" s="48" t="s">
        <v>188</v>
      </c>
      <c r="D93" s="118">
        <v>0.0034</v>
      </c>
      <c r="E93" s="49">
        <f>E88*D93</f>
        <v>0.03366</v>
      </c>
      <c r="F93" s="171"/>
    </row>
    <row r="94" spans="1:6" s="117" customFormat="1" ht="15.75">
      <c r="A94" s="48"/>
      <c r="B94" s="97" t="s">
        <v>292</v>
      </c>
      <c r="C94" s="48" t="s">
        <v>188</v>
      </c>
      <c r="D94" s="118">
        <v>0.0483</v>
      </c>
      <c r="E94" s="49">
        <f>E88*D94</f>
        <v>0.47817000000000004</v>
      </c>
      <c r="F94" s="171"/>
    </row>
    <row r="95" spans="1:6" s="117" customFormat="1" ht="15">
      <c r="A95" s="48"/>
      <c r="B95" s="97" t="s">
        <v>295</v>
      </c>
      <c r="C95" s="48" t="s">
        <v>150</v>
      </c>
      <c r="D95" s="118">
        <v>0.0022</v>
      </c>
      <c r="E95" s="49">
        <f>E88*D95</f>
        <v>0.02178</v>
      </c>
      <c r="F95" s="171"/>
    </row>
    <row r="96" spans="1:6" s="117" customFormat="1" ht="15">
      <c r="A96" s="48"/>
      <c r="B96" s="97" t="s">
        <v>143</v>
      </c>
      <c r="C96" s="48" t="s">
        <v>150</v>
      </c>
      <c r="D96" s="118">
        <v>0.0013</v>
      </c>
      <c r="E96" s="49">
        <f>E88*D96</f>
        <v>0.01287</v>
      </c>
      <c r="F96" s="171"/>
    </row>
    <row r="97" spans="1:6" s="117" customFormat="1" ht="15">
      <c r="A97" s="48"/>
      <c r="B97" s="97" t="s">
        <v>166</v>
      </c>
      <c r="C97" s="48" t="s">
        <v>51</v>
      </c>
      <c r="D97" s="49">
        <v>0.53</v>
      </c>
      <c r="E97" s="49">
        <f>E88*D97</f>
        <v>5.247000000000001</v>
      </c>
      <c r="F97" s="171"/>
    </row>
    <row r="98" spans="1:6" s="110" customFormat="1" ht="15">
      <c r="A98" s="173">
        <f>A88+1</f>
        <v>26</v>
      </c>
      <c r="B98" s="97" t="s">
        <v>333</v>
      </c>
      <c r="C98" s="97" t="s">
        <v>191</v>
      </c>
      <c r="D98" s="76"/>
      <c r="E98" s="170">
        <f>SUM(E99:E101)</f>
        <v>0.8119999999999999</v>
      </c>
      <c r="F98" s="171"/>
    </row>
    <row r="99" spans="1:6" s="117" customFormat="1" ht="15">
      <c r="A99" s="48"/>
      <c r="B99" s="97" t="s">
        <v>310</v>
      </c>
      <c r="C99" s="48" t="s">
        <v>150</v>
      </c>
      <c r="D99" s="109" t="s">
        <v>140</v>
      </c>
      <c r="E99" s="118">
        <f>(523+72)/1000</f>
        <v>0.595</v>
      </c>
      <c r="F99" s="171"/>
    </row>
    <row r="100" spans="1:6" s="117" customFormat="1" ht="15">
      <c r="A100" s="48"/>
      <c r="B100" s="97" t="s">
        <v>236</v>
      </c>
      <c r="C100" s="48" t="s">
        <v>150</v>
      </c>
      <c r="D100" s="109" t="s">
        <v>140</v>
      </c>
      <c r="E100" s="118">
        <f>204/1000</f>
        <v>0.204</v>
      </c>
      <c r="F100" s="171"/>
    </row>
    <row r="101" spans="1:6" s="117" customFormat="1" ht="15">
      <c r="A101" s="48"/>
      <c r="B101" s="97" t="s">
        <v>232</v>
      </c>
      <c r="C101" s="48" t="s">
        <v>150</v>
      </c>
      <c r="D101" s="109" t="s">
        <v>140</v>
      </c>
      <c r="E101" s="118">
        <f>13/1000</f>
        <v>0.013</v>
      </c>
      <c r="F101" s="171"/>
    </row>
    <row r="102" spans="1:6" s="117" customFormat="1" ht="30">
      <c r="A102" s="173">
        <f>A98+1</f>
        <v>27</v>
      </c>
      <c r="B102" s="97" t="s">
        <v>296</v>
      </c>
      <c r="C102" s="48" t="s">
        <v>174</v>
      </c>
      <c r="D102" s="48"/>
      <c r="E102" s="49">
        <v>32.6</v>
      </c>
      <c r="F102" s="171"/>
    </row>
    <row r="103" spans="1:6" s="117" customFormat="1" ht="15">
      <c r="A103" s="48"/>
      <c r="B103" s="97" t="s">
        <v>137</v>
      </c>
      <c r="C103" s="48" t="s">
        <v>193</v>
      </c>
      <c r="D103" s="109">
        <v>0.564</v>
      </c>
      <c r="E103" s="49">
        <f>E102*D103</f>
        <v>18.3864</v>
      </c>
      <c r="F103" s="171"/>
    </row>
    <row r="104" spans="1:6" s="117" customFormat="1" ht="15">
      <c r="A104" s="48"/>
      <c r="B104" s="97" t="s">
        <v>142</v>
      </c>
      <c r="C104" s="48" t="s">
        <v>51</v>
      </c>
      <c r="D104" s="118">
        <v>0.0409</v>
      </c>
      <c r="E104" s="49">
        <f>E102*D104</f>
        <v>1.33334</v>
      </c>
      <c r="F104" s="171"/>
    </row>
    <row r="105" spans="1:6" s="117" customFormat="1" ht="15">
      <c r="A105" s="48"/>
      <c r="B105" s="97" t="s">
        <v>331</v>
      </c>
      <c r="C105" s="48" t="s">
        <v>150</v>
      </c>
      <c r="D105" s="118">
        <v>0.0045</v>
      </c>
      <c r="E105" s="49">
        <f>E102*D105</f>
        <v>0.1467</v>
      </c>
      <c r="F105" s="171"/>
    </row>
    <row r="106" spans="1:6" s="117" customFormat="1" ht="15">
      <c r="A106" s="48"/>
      <c r="B106" s="97" t="s">
        <v>166</v>
      </c>
      <c r="C106" s="48" t="s">
        <v>51</v>
      </c>
      <c r="D106" s="118">
        <v>0.265</v>
      </c>
      <c r="E106" s="49">
        <f>E102*D106</f>
        <v>8.639000000000001</v>
      </c>
      <c r="F106" s="171"/>
    </row>
    <row r="107" spans="1:247" s="47" customFormat="1" ht="15.75">
      <c r="A107" s="115">
        <f>A102+1</f>
        <v>28</v>
      </c>
      <c r="B107" s="97" t="s">
        <v>335</v>
      </c>
      <c r="C107" s="112" t="s">
        <v>188</v>
      </c>
      <c r="D107" s="114"/>
      <c r="E107" s="79">
        <v>41</v>
      </c>
      <c r="F107" s="171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  <c r="R107" s="144"/>
      <c r="S107" s="144"/>
      <c r="T107" s="144"/>
      <c r="U107" s="144"/>
      <c r="V107" s="144"/>
      <c r="W107" s="144"/>
      <c r="X107" s="144"/>
      <c r="Y107" s="144"/>
      <c r="Z107" s="144"/>
      <c r="AA107" s="144"/>
      <c r="AB107" s="144"/>
      <c r="AC107" s="144"/>
      <c r="AD107" s="144"/>
      <c r="AE107" s="144"/>
      <c r="AF107" s="144"/>
      <c r="AG107" s="144"/>
      <c r="AH107" s="144"/>
      <c r="AI107" s="144"/>
      <c r="AJ107" s="144"/>
      <c r="AK107" s="144"/>
      <c r="AL107" s="144"/>
      <c r="AM107" s="144"/>
      <c r="AN107" s="144"/>
      <c r="AO107" s="144"/>
      <c r="AP107" s="144"/>
      <c r="AQ107" s="144"/>
      <c r="AR107" s="144"/>
      <c r="AS107" s="144"/>
      <c r="AT107" s="144"/>
      <c r="AU107" s="144"/>
      <c r="AV107" s="144"/>
      <c r="AW107" s="144"/>
      <c r="AX107" s="144"/>
      <c r="AY107" s="144"/>
      <c r="AZ107" s="144"/>
      <c r="BA107" s="144"/>
      <c r="BB107" s="144"/>
      <c r="BC107" s="144"/>
      <c r="BD107" s="144"/>
      <c r="BE107" s="144"/>
      <c r="BF107" s="144"/>
      <c r="BG107" s="144"/>
      <c r="BH107" s="144"/>
      <c r="BI107" s="144"/>
      <c r="BJ107" s="144"/>
      <c r="BK107" s="144"/>
      <c r="BL107" s="144"/>
      <c r="BM107" s="144"/>
      <c r="BN107" s="144"/>
      <c r="BO107" s="144"/>
      <c r="BP107" s="144"/>
      <c r="BQ107" s="144"/>
      <c r="BR107" s="144"/>
      <c r="BS107" s="144"/>
      <c r="BT107" s="144"/>
      <c r="BU107" s="144"/>
      <c r="BV107" s="144"/>
      <c r="BW107" s="144"/>
      <c r="BX107" s="144"/>
      <c r="BY107" s="144"/>
      <c r="BZ107" s="144"/>
      <c r="CA107" s="144"/>
      <c r="CB107" s="144"/>
      <c r="CC107" s="144"/>
      <c r="CD107" s="144"/>
      <c r="CE107" s="144"/>
      <c r="CF107" s="144"/>
      <c r="CG107" s="144"/>
      <c r="CH107" s="144"/>
      <c r="CI107" s="144"/>
      <c r="CJ107" s="144"/>
      <c r="CK107" s="144"/>
      <c r="CL107" s="144"/>
      <c r="CM107" s="144"/>
      <c r="CN107" s="144"/>
      <c r="CO107" s="144"/>
      <c r="CP107" s="144"/>
      <c r="CQ107" s="144"/>
      <c r="CR107" s="144"/>
      <c r="CS107" s="144"/>
      <c r="CT107" s="144"/>
      <c r="CU107" s="144"/>
      <c r="CV107" s="144"/>
      <c r="CW107" s="144"/>
      <c r="CX107" s="144"/>
      <c r="CY107" s="144"/>
      <c r="CZ107" s="144"/>
      <c r="DA107" s="144"/>
      <c r="DB107" s="144"/>
      <c r="DC107" s="144"/>
      <c r="DD107" s="144"/>
      <c r="DE107" s="144"/>
      <c r="DF107" s="144"/>
      <c r="DG107" s="144"/>
      <c r="DH107" s="144"/>
      <c r="DI107" s="144"/>
      <c r="DJ107" s="144"/>
      <c r="DK107" s="144"/>
      <c r="DL107" s="144"/>
      <c r="DM107" s="144"/>
      <c r="DN107" s="144"/>
      <c r="DO107" s="144"/>
      <c r="DP107" s="144"/>
      <c r="DQ107" s="144"/>
      <c r="DR107" s="144"/>
      <c r="DS107" s="144"/>
      <c r="DT107" s="144"/>
      <c r="DU107" s="144"/>
      <c r="DV107" s="144"/>
      <c r="DW107" s="144"/>
      <c r="DX107" s="144"/>
      <c r="DY107" s="144"/>
      <c r="DZ107" s="144"/>
      <c r="EA107" s="144"/>
      <c r="EB107" s="144"/>
      <c r="EC107" s="144"/>
      <c r="ED107" s="144"/>
      <c r="EE107" s="144"/>
      <c r="EF107" s="144"/>
      <c r="EG107" s="144"/>
      <c r="EH107" s="144"/>
      <c r="EI107" s="144"/>
      <c r="EJ107" s="144"/>
      <c r="EK107" s="144"/>
      <c r="EL107" s="144"/>
      <c r="EM107" s="144"/>
      <c r="EN107" s="144"/>
      <c r="EO107" s="144"/>
      <c r="EP107" s="144"/>
      <c r="EQ107" s="144"/>
      <c r="ER107" s="144"/>
      <c r="ES107" s="144"/>
      <c r="ET107" s="144"/>
      <c r="EU107" s="144"/>
      <c r="EV107" s="144"/>
      <c r="EW107" s="144"/>
      <c r="EX107" s="144"/>
      <c r="EY107" s="144"/>
      <c r="EZ107" s="144"/>
      <c r="FA107" s="144"/>
      <c r="FB107" s="144"/>
      <c r="FC107" s="144"/>
      <c r="FD107" s="144"/>
      <c r="FE107" s="144"/>
      <c r="FF107" s="144"/>
      <c r="FG107" s="144"/>
      <c r="FH107" s="144"/>
      <c r="FI107" s="144"/>
      <c r="FJ107" s="144"/>
      <c r="FK107" s="144"/>
      <c r="FL107" s="144"/>
      <c r="FM107" s="144"/>
      <c r="FN107" s="144"/>
      <c r="FO107" s="144"/>
      <c r="FP107" s="144"/>
      <c r="FQ107" s="144"/>
      <c r="FR107" s="144"/>
      <c r="FS107" s="144"/>
      <c r="FT107" s="144"/>
      <c r="FU107" s="144"/>
      <c r="FV107" s="144"/>
      <c r="FW107" s="144"/>
      <c r="FX107" s="144"/>
      <c r="FY107" s="144"/>
      <c r="FZ107" s="144"/>
      <c r="GA107" s="144"/>
      <c r="GB107" s="144"/>
      <c r="GC107" s="144"/>
      <c r="GD107" s="144"/>
      <c r="GE107" s="144"/>
      <c r="GF107" s="144"/>
      <c r="GG107" s="144"/>
      <c r="GH107" s="144"/>
      <c r="GI107" s="144"/>
      <c r="GJ107" s="144"/>
      <c r="GK107" s="144"/>
      <c r="GL107" s="144"/>
      <c r="GM107" s="144"/>
      <c r="GN107" s="144"/>
      <c r="GO107" s="144"/>
      <c r="GP107" s="144"/>
      <c r="GQ107" s="144"/>
      <c r="GR107" s="144"/>
      <c r="GS107" s="144"/>
      <c r="GT107" s="144"/>
      <c r="GU107" s="144"/>
      <c r="GV107" s="144"/>
      <c r="GW107" s="144"/>
      <c r="GX107" s="144"/>
      <c r="GY107" s="144"/>
      <c r="GZ107" s="144"/>
      <c r="HA107" s="144"/>
      <c r="HB107" s="144"/>
      <c r="HC107" s="144"/>
      <c r="HD107" s="144"/>
      <c r="HE107" s="144"/>
      <c r="HF107" s="144"/>
      <c r="HG107" s="144"/>
      <c r="HH107" s="144"/>
      <c r="HI107" s="144"/>
      <c r="HJ107" s="144"/>
      <c r="HK107" s="144"/>
      <c r="HL107" s="144"/>
      <c r="HM107" s="144"/>
      <c r="HN107" s="144"/>
      <c r="HO107" s="144"/>
      <c r="HP107" s="144"/>
      <c r="HQ107" s="144"/>
      <c r="HR107" s="144"/>
      <c r="HS107" s="144"/>
      <c r="HT107" s="144"/>
      <c r="HU107" s="144"/>
      <c r="HV107" s="144"/>
      <c r="HW107" s="144"/>
      <c r="HX107" s="144"/>
      <c r="HY107" s="144"/>
      <c r="HZ107" s="144"/>
      <c r="IA107" s="144"/>
      <c r="IB107" s="144"/>
      <c r="IC107" s="144"/>
      <c r="ID107" s="144"/>
      <c r="IE107" s="144"/>
      <c r="IF107" s="144"/>
      <c r="IG107" s="144"/>
      <c r="IH107" s="144"/>
      <c r="II107" s="144"/>
      <c r="IJ107" s="144"/>
      <c r="IK107" s="144"/>
      <c r="IL107" s="144"/>
      <c r="IM107" s="144"/>
    </row>
    <row r="108" spans="1:247" s="47" customFormat="1" ht="15">
      <c r="A108" s="115"/>
      <c r="B108" s="79" t="s">
        <v>137</v>
      </c>
      <c r="C108" s="114" t="s">
        <v>193</v>
      </c>
      <c r="D108" s="114">
        <v>0.89</v>
      </c>
      <c r="E108" s="79">
        <f>E107*D108</f>
        <v>36.49</v>
      </c>
      <c r="F108" s="171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144"/>
      <c r="X108" s="144"/>
      <c r="Y108" s="144"/>
      <c r="Z108" s="144"/>
      <c r="AA108" s="144"/>
      <c r="AB108" s="144"/>
      <c r="AC108" s="144"/>
      <c r="AD108" s="144"/>
      <c r="AE108" s="144"/>
      <c r="AF108" s="144"/>
      <c r="AG108" s="144"/>
      <c r="AH108" s="144"/>
      <c r="AI108" s="144"/>
      <c r="AJ108" s="144"/>
      <c r="AK108" s="144"/>
      <c r="AL108" s="144"/>
      <c r="AM108" s="144"/>
      <c r="AN108" s="144"/>
      <c r="AO108" s="144"/>
      <c r="AP108" s="144"/>
      <c r="AQ108" s="144"/>
      <c r="AR108" s="144"/>
      <c r="AS108" s="144"/>
      <c r="AT108" s="144"/>
      <c r="AU108" s="144"/>
      <c r="AV108" s="144"/>
      <c r="AW108" s="144"/>
      <c r="AX108" s="144"/>
      <c r="AY108" s="144"/>
      <c r="AZ108" s="144"/>
      <c r="BA108" s="144"/>
      <c r="BB108" s="144"/>
      <c r="BC108" s="144"/>
      <c r="BD108" s="144"/>
      <c r="BE108" s="144"/>
      <c r="BF108" s="144"/>
      <c r="BG108" s="144"/>
      <c r="BH108" s="144"/>
      <c r="BI108" s="144"/>
      <c r="BJ108" s="144"/>
      <c r="BK108" s="144"/>
      <c r="BL108" s="144"/>
      <c r="BM108" s="144"/>
      <c r="BN108" s="144"/>
      <c r="BO108" s="144"/>
      <c r="BP108" s="144"/>
      <c r="BQ108" s="144"/>
      <c r="BR108" s="144"/>
      <c r="BS108" s="144"/>
      <c r="BT108" s="144"/>
      <c r="BU108" s="144"/>
      <c r="BV108" s="144"/>
      <c r="BW108" s="144"/>
      <c r="BX108" s="144"/>
      <c r="BY108" s="144"/>
      <c r="BZ108" s="144"/>
      <c r="CA108" s="144"/>
      <c r="CB108" s="144"/>
      <c r="CC108" s="144"/>
      <c r="CD108" s="144"/>
      <c r="CE108" s="144"/>
      <c r="CF108" s="144"/>
      <c r="CG108" s="144"/>
      <c r="CH108" s="144"/>
      <c r="CI108" s="144"/>
      <c r="CJ108" s="144"/>
      <c r="CK108" s="144"/>
      <c r="CL108" s="144"/>
      <c r="CM108" s="144"/>
      <c r="CN108" s="144"/>
      <c r="CO108" s="144"/>
      <c r="CP108" s="144"/>
      <c r="CQ108" s="144"/>
      <c r="CR108" s="144"/>
      <c r="CS108" s="144"/>
      <c r="CT108" s="144"/>
      <c r="CU108" s="144"/>
      <c r="CV108" s="144"/>
      <c r="CW108" s="144"/>
      <c r="CX108" s="144"/>
      <c r="CY108" s="144"/>
      <c r="CZ108" s="144"/>
      <c r="DA108" s="144"/>
      <c r="DB108" s="144"/>
      <c r="DC108" s="144"/>
      <c r="DD108" s="144"/>
      <c r="DE108" s="144"/>
      <c r="DF108" s="144"/>
      <c r="DG108" s="144"/>
      <c r="DH108" s="144"/>
      <c r="DI108" s="144"/>
      <c r="DJ108" s="144"/>
      <c r="DK108" s="144"/>
      <c r="DL108" s="144"/>
      <c r="DM108" s="144"/>
      <c r="DN108" s="144"/>
      <c r="DO108" s="144"/>
      <c r="DP108" s="144"/>
      <c r="DQ108" s="144"/>
      <c r="DR108" s="144"/>
      <c r="DS108" s="144"/>
      <c r="DT108" s="144"/>
      <c r="DU108" s="144"/>
      <c r="DV108" s="144"/>
      <c r="DW108" s="144"/>
      <c r="DX108" s="144"/>
      <c r="DY108" s="144"/>
      <c r="DZ108" s="144"/>
      <c r="EA108" s="144"/>
      <c r="EB108" s="144"/>
      <c r="EC108" s="144"/>
      <c r="ED108" s="144"/>
      <c r="EE108" s="144"/>
      <c r="EF108" s="144"/>
      <c r="EG108" s="144"/>
      <c r="EH108" s="144"/>
      <c r="EI108" s="144"/>
      <c r="EJ108" s="144"/>
      <c r="EK108" s="144"/>
      <c r="EL108" s="144"/>
      <c r="EM108" s="144"/>
      <c r="EN108" s="144"/>
      <c r="EO108" s="144"/>
      <c r="EP108" s="144"/>
      <c r="EQ108" s="144"/>
      <c r="ER108" s="144"/>
      <c r="ES108" s="144"/>
      <c r="ET108" s="144"/>
      <c r="EU108" s="144"/>
      <c r="EV108" s="144"/>
      <c r="EW108" s="144"/>
      <c r="EX108" s="144"/>
      <c r="EY108" s="144"/>
      <c r="EZ108" s="144"/>
      <c r="FA108" s="144"/>
      <c r="FB108" s="144"/>
      <c r="FC108" s="144"/>
      <c r="FD108" s="144"/>
      <c r="FE108" s="144"/>
      <c r="FF108" s="144"/>
      <c r="FG108" s="144"/>
      <c r="FH108" s="144"/>
      <c r="FI108" s="144"/>
      <c r="FJ108" s="144"/>
      <c r="FK108" s="144"/>
      <c r="FL108" s="144"/>
      <c r="FM108" s="144"/>
      <c r="FN108" s="144"/>
      <c r="FO108" s="144"/>
      <c r="FP108" s="144"/>
      <c r="FQ108" s="144"/>
      <c r="FR108" s="144"/>
      <c r="FS108" s="144"/>
      <c r="FT108" s="144"/>
      <c r="FU108" s="144"/>
      <c r="FV108" s="144"/>
      <c r="FW108" s="144"/>
      <c r="FX108" s="144"/>
      <c r="FY108" s="144"/>
      <c r="FZ108" s="144"/>
      <c r="GA108" s="144"/>
      <c r="GB108" s="144"/>
      <c r="GC108" s="144"/>
      <c r="GD108" s="144"/>
      <c r="GE108" s="144"/>
      <c r="GF108" s="144"/>
      <c r="GG108" s="144"/>
      <c r="GH108" s="144"/>
      <c r="GI108" s="144"/>
      <c r="GJ108" s="144"/>
      <c r="GK108" s="144"/>
      <c r="GL108" s="144"/>
      <c r="GM108" s="144"/>
      <c r="GN108" s="144"/>
      <c r="GO108" s="144"/>
      <c r="GP108" s="144"/>
      <c r="GQ108" s="144"/>
      <c r="GR108" s="144"/>
      <c r="GS108" s="144"/>
      <c r="GT108" s="144"/>
      <c r="GU108" s="144"/>
      <c r="GV108" s="144"/>
      <c r="GW108" s="144"/>
      <c r="GX108" s="144"/>
      <c r="GY108" s="144"/>
      <c r="GZ108" s="144"/>
      <c r="HA108" s="144"/>
      <c r="HB108" s="144"/>
      <c r="HC108" s="144"/>
      <c r="HD108" s="144"/>
      <c r="HE108" s="144"/>
      <c r="HF108" s="144"/>
      <c r="HG108" s="144"/>
      <c r="HH108" s="144"/>
      <c r="HI108" s="144"/>
      <c r="HJ108" s="144"/>
      <c r="HK108" s="144"/>
      <c r="HL108" s="144"/>
      <c r="HM108" s="144"/>
      <c r="HN108" s="144"/>
      <c r="HO108" s="144"/>
      <c r="HP108" s="144"/>
      <c r="HQ108" s="144"/>
      <c r="HR108" s="144"/>
      <c r="HS108" s="144"/>
      <c r="HT108" s="144"/>
      <c r="HU108" s="144"/>
      <c r="HV108" s="144"/>
      <c r="HW108" s="144"/>
      <c r="HX108" s="144"/>
      <c r="HY108" s="144"/>
      <c r="HZ108" s="144"/>
      <c r="IA108" s="144"/>
      <c r="IB108" s="144"/>
      <c r="IC108" s="144"/>
      <c r="ID108" s="144"/>
      <c r="IE108" s="144"/>
      <c r="IF108" s="144"/>
      <c r="IG108" s="144"/>
      <c r="IH108" s="144"/>
      <c r="II108" s="144"/>
      <c r="IJ108" s="144"/>
      <c r="IK108" s="144"/>
      <c r="IL108" s="144"/>
      <c r="IM108" s="144"/>
    </row>
    <row r="109" spans="1:247" s="47" customFormat="1" ht="15">
      <c r="A109" s="115"/>
      <c r="B109" s="79" t="s">
        <v>142</v>
      </c>
      <c r="C109" s="114" t="s">
        <v>51</v>
      </c>
      <c r="D109" s="114">
        <v>0.37</v>
      </c>
      <c r="E109" s="79">
        <f>E107*D109</f>
        <v>15.17</v>
      </c>
      <c r="F109" s="171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44"/>
      <c r="AN109" s="144"/>
      <c r="AO109" s="144"/>
      <c r="AP109" s="144"/>
      <c r="AQ109" s="144"/>
      <c r="AR109" s="144"/>
      <c r="AS109" s="144"/>
      <c r="AT109" s="144"/>
      <c r="AU109" s="144"/>
      <c r="AV109" s="144"/>
      <c r="AW109" s="144"/>
      <c r="AX109" s="144"/>
      <c r="AY109" s="144"/>
      <c r="AZ109" s="144"/>
      <c r="BA109" s="144"/>
      <c r="BB109" s="144"/>
      <c r="BC109" s="144"/>
      <c r="BD109" s="144"/>
      <c r="BE109" s="144"/>
      <c r="BF109" s="144"/>
      <c r="BG109" s="144"/>
      <c r="BH109" s="144"/>
      <c r="BI109" s="144"/>
      <c r="BJ109" s="144"/>
      <c r="BK109" s="144"/>
      <c r="BL109" s="144"/>
      <c r="BM109" s="144"/>
      <c r="BN109" s="144"/>
      <c r="BO109" s="144"/>
      <c r="BP109" s="144"/>
      <c r="BQ109" s="144"/>
      <c r="BR109" s="144"/>
      <c r="BS109" s="144"/>
      <c r="BT109" s="144"/>
      <c r="BU109" s="144"/>
      <c r="BV109" s="144"/>
      <c r="BW109" s="144"/>
      <c r="BX109" s="144"/>
      <c r="BY109" s="144"/>
      <c r="BZ109" s="144"/>
      <c r="CA109" s="144"/>
      <c r="CB109" s="144"/>
      <c r="CC109" s="144"/>
      <c r="CD109" s="144"/>
      <c r="CE109" s="144"/>
      <c r="CF109" s="144"/>
      <c r="CG109" s="144"/>
      <c r="CH109" s="144"/>
      <c r="CI109" s="144"/>
      <c r="CJ109" s="144"/>
      <c r="CK109" s="144"/>
      <c r="CL109" s="144"/>
      <c r="CM109" s="144"/>
      <c r="CN109" s="144"/>
      <c r="CO109" s="144"/>
      <c r="CP109" s="144"/>
      <c r="CQ109" s="144"/>
      <c r="CR109" s="144"/>
      <c r="CS109" s="144"/>
      <c r="CT109" s="144"/>
      <c r="CU109" s="144"/>
      <c r="CV109" s="144"/>
      <c r="CW109" s="144"/>
      <c r="CX109" s="144"/>
      <c r="CY109" s="144"/>
      <c r="CZ109" s="144"/>
      <c r="DA109" s="144"/>
      <c r="DB109" s="144"/>
      <c r="DC109" s="144"/>
      <c r="DD109" s="144"/>
      <c r="DE109" s="144"/>
      <c r="DF109" s="144"/>
      <c r="DG109" s="144"/>
      <c r="DH109" s="144"/>
      <c r="DI109" s="144"/>
      <c r="DJ109" s="144"/>
      <c r="DK109" s="144"/>
      <c r="DL109" s="144"/>
      <c r="DM109" s="144"/>
      <c r="DN109" s="144"/>
      <c r="DO109" s="144"/>
      <c r="DP109" s="144"/>
      <c r="DQ109" s="144"/>
      <c r="DR109" s="144"/>
      <c r="DS109" s="144"/>
      <c r="DT109" s="144"/>
      <c r="DU109" s="144"/>
      <c r="DV109" s="144"/>
      <c r="DW109" s="144"/>
      <c r="DX109" s="144"/>
      <c r="DY109" s="144"/>
      <c r="DZ109" s="144"/>
      <c r="EA109" s="144"/>
      <c r="EB109" s="144"/>
      <c r="EC109" s="144"/>
      <c r="ED109" s="144"/>
      <c r="EE109" s="144"/>
      <c r="EF109" s="144"/>
      <c r="EG109" s="144"/>
      <c r="EH109" s="144"/>
      <c r="EI109" s="144"/>
      <c r="EJ109" s="144"/>
      <c r="EK109" s="144"/>
      <c r="EL109" s="144"/>
      <c r="EM109" s="144"/>
      <c r="EN109" s="144"/>
      <c r="EO109" s="144"/>
      <c r="EP109" s="144"/>
      <c r="EQ109" s="144"/>
      <c r="ER109" s="144"/>
      <c r="ES109" s="144"/>
      <c r="ET109" s="144"/>
      <c r="EU109" s="144"/>
      <c r="EV109" s="144"/>
      <c r="EW109" s="144"/>
      <c r="EX109" s="144"/>
      <c r="EY109" s="144"/>
      <c r="EZ109" s="144"/>
      <c r="FA109" s="144"/>
      <c r="FB109" s="144"/>
      <c r="FC109" s="144"/>
      <c r="FD109" s="144"/>
      <c r="FE109" s="144"/>
      <c r="FF109" s="144"/>
      <c r="FG109" s="144"/>
      <c r="FH109" s="144"/>
      <c r="FI109" s="144"/>
      <c r="FJ109" s="144"/>
      <c r="FK109" s="144"/>
      <c r="FL109" s="144"/>
      <c r="FM109" s="144"/>
      <c r="FN109" s="144"/>
      <c r="FO109" s="144"/>
      <c r="FP109" s="144"/>
      <c r="FQ109" s="144"/>
      <c r="FR109" s="144"/>
      <c r="FS109" s="144"/>
      <c r="FT109" s="144"/>
      <c r="FU109" s="144"/>
      <c r="FV109" s="144"/>
      <c r="FW109" s="144"/>
      <c r="FX109" s="144"/>
      <c r="FY109" s="144"/>
      <c r="FZ109" s="144"/>
      <c r="GA109" s="144"/>
      <c r="GB109" s="144"/>
      <c r="GC109" s="144"/>
      <c r="GD109" s="144"/>
      <c r="GE109" s="144"/>
      <c r="GF109" s="144"/>
      <c r="GG109" s="144"/>
      <c r="GH109" s="144"/>
      <c r="GI109" s="144"/>
      <c r="GJ109" s="144"/>
      <c r="GK109" s="144"/>
      <c r="GL109" s="144"/>
      <c r="GM109" s="144"/>
      <c r="GN109" s="144"/>
      <c r="GO109" s="144"/>
      <c r="GP109" s="144"/>
      <c r="GQ109" s="144"/>
      <c r="GR109" s="144"/>
      <c r="GS109" s="144"/>
      <c r="GT109" s="144"/>
      <c r="GU109" s="144"/>
      <c r="GV109" s="144"/>
      <c r="GW109" s="144"/>
      <c r="GX109" s="144"/>
      <c r="GY109" s="144"/>
      <c r="GZ109" s="144"/>
      <c r="HA109" s="144"/>
      <c r="HB109" s="144"/>
      <c r="HC109" s="144"/>
      <c r="HD109" s="144"/>
      <c r="HE109" s="144"/>
      <c r="HF109" s="144"/>
      <c r="HG109" s="144"/>
      <c r="HH109" s="144"/>
      <c r="HI109" s="144"/>
      <c r="HJ109" s="144"/>
      <c r="HK109" s="144"/>
      <c r="HL109" s="144"/>
      <c r="HM109" s="144"/>
      <c r="HN109" s="144"/>
      <c r="HO109" s="144"/>
      <c r="HP109" s="144"/>
      <c r="HQ109" s="144"/>
      <c r="HR109" s="144"/>
      <c r="HS109" s="144"/>
      <c r="HT109" s="144"/>
      <c r="HU109" s="144"/>
      <c r="HV109" s="144"/>
      <c r="HW109" s="144"/>
      <c r="HX109" s="144"/>
      <c r="HY109" s="144"/>
      <c r="HZ109" s="144"/>
      <c r="IA109" s="144"/>
      <c r="IB109" s="144"/>
      <c r="IC109" s="144"/>
      <c r="ID109" s="144"/>
      <c r="IE109" s="144"/>
      <c r="IF109" s="144"/>
      <c r="IG109" s="144"/>
      <c r="IH109" s="144"/>
      <c r="II109" s="144"/>
      <c r="IJ109" s="144"/>
      <c r="IK109" s="144"/>
      <c r="IL109" s="144"/>
      <c r="IM109" s="144"/>
    </row>
    <row r="110" spans="1:247" s="47" customFormat="1" ht="15.75">
      <c r="A110" s="115"/>
      <c r="B110" s="80" t="s">
        <v>219</v>
      </c>
      <c r="C110" s="79" t="s">
        <v>188</v>
      </c>
      <c r="D110" s="79">
        <v>1.15</v>
      </c>
      <c r="E110" s="79">
        <f>E107*D110</f>
        <v>47.15</v>
      </c>
      <c r="F110" s="171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144"/>
      <c r="AO110" s="144"/>
      <c r="AP110" s="144"/>
      <c r="AQ110" s="144"/>
      <c r="AR110" s="144"/>
      <c r="AS110" s="144"/>
      <c r="AT110" s="144"/>
      <c r="AU110" s="144"/>
      <c r="AV110" s="144"/>
      <c r="AW110" s="144"/>
      <c r="AX110" s="144"/>
      <c r="AY110" s="144"/>
      <c r="AZ110" s="144"/>
      <c r="BA110" s="144"/>
      <c r="BB110" s="144"/>
      <c r="BC110" s="144"/>
      <c r="BD110" s="144"/>
      <c r="BE110" s="144"/>
      <c r="BF110" s="144"/>
      <c r="BG110" s="144"/>
      <c r="BH110" s="144"/>
      <c r="BI110" s="144"/>
      <c r="BJ110" s="144"/>
      <c r="BK110" s="144"/>
      <c r="BL110" s="144"/>
      <c r="BM110" s="144"/>
      <c r="BN110" s="144"/>
      <c r="BO110" s="144"/>
      <c r="BP110" s="144"/>
      <c r="BQ110" s="144"/>
      <c r="BR110" s="144"/>
      <c r="BS110" s="144"/>
      <c r="BT110" s="144"/>
      <c r="BU110" s="144"/>
      <c r="BV110" s="144"/>
      <c r="BW110" s="144"/>
      <c r="BX110" s="144"/>
      <c r="BY110" s="144"/>
      <c r="BZ110" s="144"/>
      <c r="CA110" s="144"/>
      <c r="CB110" s="144"/>
      <c r="CC110" s="144"/>
      <c r="CD110" s="144"/>
      <c r="CE110" s="144"/>
      <c r="CF110" s="144"/>
      <c r="CG110" s="144"/>
      <c r="CH110" s="144"/>
      <c r="CI110" s="144"/>
      <c r="CJ110" s="144"/>
      <c r="CK110" s="144"/>
      <c r="CL110" s="144"/>
      <c r="CM110" s="144"/>
      <c r="CN110" s="144"/>
      <c r="CO110" s="144"/>
      <c r="CP110" s="144"/>
      <c r="CQ110" s="144"/>
      <c r="CR110" s="144"/>
      <c r="CS110" s="144"/>
      <c r="CT110" s="144"/>
      <c r="CU110" s="144"/>
      <c r="CV110" s="144"/>
      <c r="CW110" s="144"/>
      <c r="CX110" s="144"/>
      <c r="CY110" s="144"/>
      <c r="CZ110" s="144"/>
      <c r="DA110" s="144"/>
      <c r="DB110" s="144"/>
      <c r="DC110" s="144"/>
      <c r="DD110" s="144"/>
      <c r="DE110" s="144"/>
      <c r="DF110" s="144"/>
      <c r="DG110" s="144"/>
      <c r="DH110" s="144"/>
      <c r="DI110" s="144"/>
      <c r="DJ110" s="144"/>
      <c r="DK110" s="144"/>
      <c r="DL110" s="144"/>
      <c r="DM110" s="144"/>
      <c r="DN110" s="144"/>
      <c r="DO110" s="144"/>
      <c r="DP110" s="144"/>
      <c r="DQ110" s="144"/>
      <c r="DR110" s="144"/>
      <c r="DS110" s="144"/>
      <c r="DT110" s="144"/>
      <c r="DU110" s="144"/>
      <c r="DV110" s="144"/>
      <c r="DW110" s="144"/>
      <c r="DX110" s="144"/>
      <c r="DY110" s="144"/>
      <c r="DZ110" s="144"/>
      <c r="EA110" s="144"/>
      <c r="EB110" s="144"/>
      <c r="EC110" s="144"/>
      <c r="ED110" s="144"/>
      <c r="EE110" s="144"/>
      <c r="EF110" s="144"/>
      <c r="EG110" s="144"/>
      <c r="EH110" s="144"/>
      <c r="EI110" s="144"/>
      <c r="EJ110" s="144"/>
      <c r="EK110" s="144"/>
      <c r="EL110" s="144"/>
      <c r="EM110" s="144"/>
      <c r="EN110" s="144"/>
      <c r="EO110" s="144"/>
      <c r="EP110" s="144"/>
      <c r="EQ110" s="144"/>
      <c r="ER110" s="144"/>
      <c r="ES110" s="144"/>
      <c r="ET110" s="144"/>
      <c r="EU110" s="144"/>
      <c r="EV110" s="144"/>
      <c r="EW110" s="144"/>
      <c r="EX110" s="144"/>
      <c r="EY110" s="144"/>
      <c r="EZ110" s="144"/>
      <c r="FA110" s="144"/>
      <c r="FB110" s="144"/>
      <c r="FC110" s="144"/>
      <c r="FD110" s="144"/>
      <c r="FE110" s="144"/>
      <c r="FF110" s="144"/>
      <c r="FG110" s="144"/>
      <c r="FH110" s="144"/>
      <c r="FI110" s="144"/>
      <c r="FJ110" s="144"/>
      <c r="FK110" s="144"/>
      <c r="FL110" s="144"/>
      <c r="FM110" s="144"/>
      <c r="FN110" s="144"/>
      <c r="FO110" s="144"/>
      <c r="FP110" s="144"/>
      <c r="FQ110" s="144"/>
      <c r="FR110" s="144"/>
      <c r="FS110" s="144"/>
      <c r="FT110" s="144"/>
      <c r="FU110" s="144"/>
      <c r="FV110" s="144"/>
      <c r="FW110" s="144"/>
      <c r="FX110" s="144"/>
      <c r="FY110" s="144"/>
      <c r="FZ110" s="144"/>
      <c r="GA110" s="144"/>
      <c r="GB110" s="144"/>
      <c r="GC110" s="144"/>
      <c r="GD110" s="144"/>
      <c r="GE110" s="144"/>
      <c r="GF110" s="144"/>
      <c r="GG110" s="144"/>
      <c r="GH110" s="144"/>
      <c r="GI110" s="144"/>
      <c r="GJ110" s="144"/>
      <c r="GK110" s="144"/>
      <c r="GL110" s="144"/>
      <c r="GM110" s="144"/>
      <c r="GN110" s="144"/>
      <c r="GO110" s="144"/>
      <c r="GP110" s="144"/>
      <c r="GQ110" s="144"/>
      <c r="GR110" s="144"/>
      <c r="GS110" s="144"/>
      <c r="GT110" s="144"/>
      <c r="GU110" s="144"/>
      <c r="GV110" s="144"/>
      <c r="GW110" s="144"/>
      <c r="GX110" s="144"/>
      <c r="GY110" s="144"/>
      <c r="GZ110" s="144"/>
      <c r="HA110" s="144"/>
      <c r="HB110" s="144"/>
      <c r="HC110" s="144"/>
      <c r="HD110" s="144"/>
      <c r="HE110" s="144"/>
      <c r="HF110" s="144"/>
      <c r="HG110" s="144"/>
      <c r="HH110" s="144"/>
      <c r="HI110" s="144"/>
      <c r="HJ110" s="144"/>
      <c r="HK110" s="144"/>
      <c r="HL110" s="144"/>
      <c r="HM110" s="144"/>
      <c r="HN110" s="144"/>
      <c r="HO110" s="144"/>
      <c r="HP110" s="144"/>
      <c r="HQ110" s="144"/>
      <c r="HR110" s="144"/>
      <c r="HS110" s="144"/>
      <c r="HT110" s="144"/>
      <c r="HU110" s="144"/>
      <c r="HV110" s="144"/>
      <c r="HW110" s="144"/>
      <c r="HX110" s="144"/>
      <c r="HY110" s="144"/>
      <c r="HZ110" s="144"/>
      <c r="IA110" s="144"/>
      <c r="IB110" s="144"/>
      <c r="IC110" s="144"/>
      <c r="ID110" s="144"/>
      <c r="IE110" s="144"/>
      <c r="IF110" s="144"/>
      <c r="IG110" s="144"/>
      <c r="IH110" s="144"/>
      <c r="II110" s="144"/>
      <c r="IJ110" s="144"/>
      <c r="IK110" s="144"/>
      <c r="IL110" s="144"/>
      <c r="IM110" s="144"/>
    </row>
    <row r="111" spans="1:247" s="47" customFormat="1" ht="15">
      <c r="A111" s="115"/>
      <c r="B111" s="79" t="s">
        <v>166</v>
      </c>
      <c r="C111" s="114" t="s">
        <v>51</v>
      </c>
      <c r="D111" s="79">
        <v>0.02</v>
      </c>
      <c r="E111" s="79">
        <f>E107*D111</f>
        <v>0.8200000000000001</v>
      </c>
      <c r="F111" s="171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144"/>
      <c r="T111" s="144"/>
      <c r="U111" s="144"/>
      <c r="V111" s="144"/>
      <c r="W111" s="144"/>
      <c r="X111" s="144"/>
      <c r="Y111" s="144"/>
      <c r="Z111" s="144"/>
      <c r="AA111" s="144"/>
      <c r="AB111" s="144"/>
      <c r="AC111" s="144"/>
      <c r="AD111" s="144"/>
      <c r="AE111" s="144"/>
      <c r="AF111" s="144"/>
      <c r="AG111" s="144"/>
      <c r="AH111" s="144"/>
      <c r="AI111" s="144"/>
      <c r="AJ111" s="144"/>
      <c r="AK111" s="144"/>
      <c r="AL111" s="144"/>
      <c r="AM111" s="144"/>
      <c r="AN111" s="144"/>
      <c r="AO111" s="144"/>
      <c r="AP111" s="144"/>
      <c r="AQ111" s="144"/>
      <c r="AR111" s="144"/>
      <c r="AS111" s="144"/>
      <c r="AT111" s="144"/>
      <c r="AU111" s="144"/>
      <c r="AV111" s="144"/>
      <c r="AW111" s="144"/>
      <c r="AX111" s="144"/>
      <c r="AY111" s="144"/>
      <c r="AZ111" s="144"/>
      <c r="BA111" s="144"/>
      <c r="BB111" s="144"/>
      <c r="BC111" s="144"/>
      <c r="BD111" s="144"/>
      <c r="BE111" s="144"/>
      <c r="BF111" s="144"/>
      <c r="BG111" s="144"/>
      <c r="BH111" s="144"/>
      <c r="BI111" s="144"/>
      <c r="BJ111" s="144"/>
      <c r="BK111" s="144"/>
      <c r="BL111" s="144"/>
      <c r="BM111" s="144"/>
      <c r="BN111" s="144"/>
      <c r="BO111" s="144"/>
      <c r="BP111" s="144"/>
      <c r="BQ111" s="144"/>
      <c r="BR111" s="144"/>
      <c r="BS111" s="144"/>
      <c r="BT111" s="144"/>
      <c r="BU111" s="144"/>
      <c r="BV111" s="144"/>
      <c r="BW111" s="144"/>
      <c r="BX111" s="144"/>
      <c r="BY111" s="144"/>
      <c r="BZ111" s="144"/>
      <c r="CA111" s="144"/>
      <c r="CB111" s="144"/>
      <c r="CC111" s="144"/>
      <c r="CD111" s="144"/>
      <c r="CE111" s="144"/>
      <c r="CF111" s="144"/>
      <c r="CG111" s="144"/>
      <c r="CH111" s="144"/>
      <c r="CI111" s="144"/>
      <c r="CJ111" s="144"/>
      <c r="CK111" s="144"/>
      <c r="CL111" s="144"/>
      <c r="CM111" s="144"/>
      <c r="CN111" s="144"/>
      <c r="CO111" s="144"/>
      <c r="CP111" s="144"/>
      <c r="CQ111" s="144"/>
      <c r="CR111" s="144"/>
      <c r="CS111" s="144"/>
      <c r="CT111" s="144"/>
      <c r="CU111" s="144"/>
      <c r="CV111" s="144"/>
      <c r="CW111" s="144"/>
      <c r="CX111" s="144"/>
      <c r="CY111" s="144"/>
      <c r="CZ111" s="144"/>
      <c r="DA111" s="144"/>
      <c r="DB111" s="144"/>
      <c r="DC111" s="144"/>
      <c r="DD111" s="144"/>
      <c r="DE111" s="144"/>
      <c r="DF111" s="144"/>
      <c r="DG111" s="144"/>
      <c r="DH111" s="144"/>
      <c r="DI111" s="144"/>
      <c r="DJ111" s="144"/>
      <c r="DK111" s="144"/>
      <c r="DL111" s="144"/>
      <c r="DM111" s="144"/>
      <c r="DN111" s="144"/>
      <c r="DO111" s="144"/>
      <c r="DP111" s="144"/>
      <c r="DQ111" s="144"/>
      <c r="DR111" s="144"/>
      <c r="DS111" s="144"/>
      <c r="DT111" s="144"/>
      <c r="DU111" s="144"/>
      <c r="DV111" s="144"/>
      <c r="DW111" s="144"/>
      <c r="DX111" s="144"/>
      <c r="DY111" s="144"/>
      <c r="DZ111" s="144"/>
      <c r="EA111" s="144"/>
      <c r="EB111" s="144"/>
      <c r="EC111" s="144"/>
      <c r="ED111" s="144"/>
      <c r="EE111" s="144"/>
      <c r="EF111" s="144"/>
      <c r="EG111" s="144"/>
      <c r="EH111" s="144"/>
      <c r="EI111" s="144"/>
      <c r="EJ111" s="144"/>
      <c r="EK111" s="144"/>
      <c r="EL111" s="144"/>
      <c r="EM111" s="144"/>
      <c r="EN111" s="144"/>
      <c r="EO111" s="144"/>
      <c r="EP111" s="144"/>
      <c r="EQ111" s="144"/>
      <c r="ER111" s="144"/>
      <c r="ES111" s="144"/>
      <c r="ET111" s="144"/>
      <c r="EU111" s="144"/>
      <c r="EV111" s="144"/>
      <c r="EW111" s="144"/>
      <c r="EX111" s="144"/>
      <c r="EY111" s="144"/>
      <c r="EZ111" s="144"/>
      <c r="FA111" s="144"/>
      <c r="FB111" s="144"/>
      <c r="FC111" s="144"/>
      <c r="FD111" s="144"/>
      <c r="FE111" s="144"/>
      <c r="FF111" s="144"/>
      <c r="FG111" s="144"/>
      <c r="FH111" s="144"/>
      <c r="FI111" s="144"/>
      <c r="FJ111" s="144"/>
      <c r="FK111" s="144"/>
      <c r="FL111" s="144"/>
      <c r="FM111" s="144"/>
      <c r="FN111" s="144"/>
      <c r="FO111" s="144"/>
      <c r="FP111" s="144"/>
      <c r="FQ111" s="144"/>
      <c r="FR111" s="144"/>
      <c r="FS111" s="144"/>
      <c r="FT111" s="144"/>
      <c r="FU111" s="144"/>
      <c r="FV111" s="144"/>
      <c r="FW111" s="144"/>
      <c r="FX111" s="144"/>
      <c r="FY111" s="144"/>
      <c r="FZ111" s="144"/>
      <c r="GA111" s="144"/>
      <c r="GB111" s="144"/>
      <c r="GC111" s="144"/>
      <c r="GD111" s="144"/>
      <c r="GE111" s="144"/>
      <c r="GF111" s="144"/>
      <c r="GG111" s="144"/>
      <c r="GH111" s="144"/>
      <c r="GI111" s="144"/>
      <c r="GJ111" s="144"/>
      <c r="GK111" s="144"/>
      <c r="GL111" s="144"/>
      <c r="GM111" s="144"/>
      <c r="GN111" s="144"/>
      <c r="GO111" s="144"/>
      <c r="GP111" s="144"/>
      <c r="GQ111" s="144"/>
      <c r="GR111" s="144"/>
      <c r="GS111" s="144"/>
      <c r="GT111" s="144"/>
      <c r="GU111" s="144"/>
      <c r="GV111" s="144"/>
      <c r="GW111" s="144"/>
      <c r="GX111" s="144"/>
      <c r="GY111" s="144"/>
      <c r="GZ111" s="144"/>
      <c r="HA111" s="144"/>
      <c r="HB111" s="144"/>
      <c r="HC111" s="144"/>
      <c r="HD111" s="144"/>
      <c r="HE111" s="144"/>
      <c r="HF111" s="144"/>
      <c r="HG111" s="144"/>
      <c r="HH111" s="144"/>
      <c r="HI111" s="144"/>
      <c r="HJ111" s="144"/>
      <c r="HK111" s="144"/>
      <c r="HL111" s="144"/>
      <c r="HM111" s="144"/>
      <c r="HN111" s="144"/>
      <c r="HO111" s="144"/>
      <c r="HP111" s="144"/>
      <c r="HQ111" s="144"/>
      <c r="HR111" s="144"/>
      <c r="HS111" s="144"/>
      <c r="HT111" s="144"/>
      <c r="HU111" s="144"/>
      <c r="HV111" s="144"/>
      <c r="HW111" s="144"/>
      <c r="HX111" s="144"/>
      <c r="HY111" s="144"/>
      <c r="HZ111" s="144"/>
      <c r="IA111" s="144"/>
      <c r="IB111" s="144"/>
      <c r="IC111" s="144"/>
      <c r="ID111" s="144"/>
      <c r="IE111" s="144"/>
      <c r="IF111" s="144"/>
      <c r="IG111" s="144"/>
      <c r="IH111" s="144"/>
      <c r="II111" s="144"/>
      <c r="IJ111" s="144"/>
      <c r="IK111" s="144"/>
      <c r="IL111" s="144"/>
      <c r="IM111" s="144"/>
    </row>
    <row r="112" spans="1:6" s="110" customFormat="1" ht="30">
      <c r="A112" s="115">
        <f>A107+1</f>
        <v>29</v>
      </c>
      <c r="B112" s="97" t="s">
        <v>334</v>
      </c>
      <c r="C112" s="37" t="s">
        <v>188</v>
      </c>
      <c r="D112" s="97"/>
      <c r="E112" s="41">
        <f>E107</f>
        <v>41</v>
      </c>
      <c r="F112" s="171"/>
    </row>
    <row r="113" spans="1:6" s="110" customFormat="1" ht="15">
      <c r="A113" s="42"/>
      <c r="B113" s="37" t="s">
        <v>317</v>
      </c>
      <c r="C113" s="37" t="s">
        <v>152</v>
      </c>
      <c r="D113" s="97">
        <f>12.9/1000</f>
        <v>0.0129</v>
      </c>
      <c r="E113" s="75">
        <f>D113*E112</f>
        <v>0.5289</v>
      </c>
      <c r="F113" s="171"/>
    </row>
    <row r="114" spans="1:7" s="110" customFormat="1" ht="30">
      <c r="A114" s="169">
        <f>A112+1</f>
        <v>30</v>
      </c>
      <c r="B114" s="37" t="s">
        <v>332</v>
      </c>
      <c r="C114" s="41" t="s">
        <v>188</v>
      </c>
      <c r="D114" s="76"/>
      <c r="E114" s="41">
        <v>1.94</v>
      </c>
      <c r="F114" s="171"/>
      <c r="G114" s="171"/>
    </row>
    <row r="115" spans="1:6" s="110" customFormat="1" ht="15">
      <c r="A115" s="42"/>
      <c r="B115" s="37" t="s">
        <v>149</v>
      </c>
      <c r="C115" s="37" t="s">
        <v>58</v>
      </c>
      <c r="D115" s="97">
        <f>838/100</f>
        <v>8.38</v>
      </c>
      <c r="E115" s="75">
        <f>E114*D115</f>
        <v>16.2572</v>
      </c>
      <c r="F115" s="171"/>
    </row>
    <row r="116" spans="1:6" s="110" customFormat="1" ht="15">
      <c r="A116" s="42"/>
      <c r="B116" s="37" t="s">
        <v>56</v>
      </c>
      <c r="C116" s="41" t="s">
        <v>51</v>
      </c>
      <c r="D116" s="97">
        <f>209/100</f>
        <v>2.09</v>
      </c>
      <c r="E116" s="41">
        <f>E114*D116</f>
        <v>4.0546</v>
      </c>
      <c r="F116" s="171"/>
    </row>
    <row r="117" spans="1:6" s="110" customFormat="1" ht="15.75">
      <c r="A117" s="42"/>
      <c r="B117" s="97" t="s">
        <v>311</v>
      </c>
      <c r="C117" s="41" t="s">
        <v>188</v>
      </c>
      <c r="D117" s="97">
        <f>102/100</f>
        <v>1.02</v>
      </c>
      <c r="E117" s="41">
        <f>D117*E114</f>
        <v>1.9788</v>
      </c>
      <c r="F117" s="171"/>
    </row>
    <row r="118" spans="1:6" s="110" customFormat="1" ht="15.75">
      <c r="A118" s="42"/>
      <c r="B118" s="37" t="s">
        <v>228</v>
      </c>
      <c r="C118" s="37" t="s">
        <v>174</v>
      </c>
      <c r="D118" s="97">
        <f>164/100</f>
        <v>1.64</v>
      </c>
      <c r="E118" s="41">
        <f>D118*E114</f>
        <v>3.1815999999999995</v>
      </c>
      <c r="F118" s="171"/>
    </row>
    <row r="119" spans="1:6" s="110" customFormat="1" ht="15.75">
      <c r="A119" s="42"/>
      <c r="B119" s="97" t="s">
        <v>229</v>
      </c>
      <c r="C119" s="41" t="s">
        <v>188</v>
      </c>
      <c r="D119" s="103">
        <f>3.17/100</f>
        <v>0.0317</v>
      </c>
      <c r="E119" s="41">
        <f>D119*E114</f>
        <v>0.061498</v>
      </c>
      <c r="F119" s="171"/>
    </row>
    <row r="120" spans="1:6" s="110" customFormat="1" ht="15.75">
      <c r="A120" s="42"/>
      <c r="B120" s="97" t="s">
        <v>312</v>
      </c>
      <c r="C120" s="41" t="s">
        <v>188</v>
      </c>
      <c r="D120" s="74">
        <f>0.32/100</f>
        <v>0.0032</v>
      </c>
      <c r="E120" s="41">
        <f>D120*E114</f>
        <v>0.006208</v>
      </c>
      <c r="F120" s="171"/>
    </row>
    <row r="121" spans="1:6" s="110" customFormat="1" ht="15">
      <c r="A121" s="42"/>
      <c r="B121" s="37" t="s">
        <v>57</v>
      </c>
      <c r="C121" s="37" t="s">
        <v>51</v>
      </c>
      <c r="D121" s="41">
        <f>41/100</f>
        <v>0.41</v>
      </c>
      <c r="E121" s="41">
        <f>D121*E114</f>
        <v>0.7953999999999999</v>
      </c>
      <c r="F121" s="171"/>
    </row>
    <row r="122" spans="1:6" s="110" customFormat="1" ht="15">
      <c r="A122" s="169">
        <f>A114+1</f>
        <v>31</v>
      </c>
      <c r="B122" s="97" t="s">
        <v>333</v>
      </c>
      <c r="C122" s="97" t="s">
        <v>191</v>
      </c>
      <c r="D122" s="76"/>
      <c r="E122" s="170">
        <f>SUM(E123:E124)</f>
        <v>0.569</v>
      </c>
      <c r="F122" s="171"/>
    </row>
    <row r="123" spans="1:6" s="110" customFormat="1" ht="15">
      <c r="A123" s="42"/>
      <c r="B123" s="97" t="s">
        <v>232</v>
      </c>
      <c r="C123" s="97" t="s">
        <v>191</v>
      </c>
      <c r="D123" s="76" t="s">
        <v>140</v>
      </c>
      <c r="E123" s="75">
        <f>(113+85)/1000</f>
        <v>0.198</v>
      </c>
      <c r="F123" s="171"/>
    </row>
    <row r="124" spans="1:6" s="110" customFormat="1" ht="15">
      <c r="A124" s="42"/>
      <c r="B124" s="97" t="s">
        <v>310</v>
      </c>
      <c r="C124" s="97" t="s">
        <v>191</v>
      </c>
      <c r="D124" s="76" t="s">
        <v>140</v>
      </c>
      <c r="E124" s="75">
        <f>371/1000</f>
        <v>0.371</v>
      </c>
      <c r="F124" s="171"/>
    </row>
    <row r="125" spans="1:7" s="110" customFormat="1" ht="45">
      <c r="A125" s="169">
        <f>A122+1</f>
        <v>32</v>
      </c>
      <c r="B125" s="37" t="s">
        <v>337</v>
      </c>
      <c r="C125" s="41" t="s">
        <v>188</v>
      </c>
      <c r="D125" s="76"/>
      <c r="E125" s="41">
        <v>7.7</v>
      </c>
      <c r="F125" s="171"/>
      <c r="G125" s="171"/>
    </row>
    <row r="126" spans="1:6" s="110" customFormat="1" ht="15">
      <c r="A126" s="42"/>
      <c r="B126" s="37" t="s">
        <v>149</v>
      </c>
      <c r="C126" s="37" t="s">
        <v>58</v>
      </c>
      <c r="D126" s="97">
        <f>1470/100</f>
        <v>14.7</v>
      </c>
      <c r="E126" s="97">
        <f>E125*D126</f>
        <v>113.19</v>
      </c>
      <c r="F126" s="171"/>
    </row>
    <row r="127" spans="1:6" s="110" customFormat="1" ht="15">
      <c r="A127" s="42"/>
      <c r="B127" s="37" t="s">
        <v>56</v>
      </c>
      <c r="C127" s="41" t="s">
        <v>51</v>
      </c>
      <c r="D127" s="97">
        <f>121/100</f>
        <v>1.21</v>
      </c>
      <c r="E127" s="41">
        <f>E125*D127</f>
        <v>9.317</v>
      </c>
      <c r="F127" s="171"/>
    </row>
    <row r="128" spans="1:6" s="110" customFormat="1" ht="15.75">
      <c r="A128" s="42"/>
      <c r="B128" s="97" t="s">
        <v>227</v>
      </c>
      <c r="C128" s="41" t="s">
        <v>188</v>
      </c>
      <c r="D128" s="41">
        <f>100/100</f>
        <v>1</v>
      </c>
      <c r="E128" s="41">
        <f>D128*E125</f>
        <v>7.7</v>
      </c>
      <c r="F128" s="171"/>
    </row>
    <row r="129" spans="1:6" s="110" customFormat="1" ht="15.75">
      <c r="A129" s="42"/>
      <c r="B129" s="37" t="s">
        <v>330</v>
      </c>
      <c r="C129" s="37" t="s">
        <v>174</v>
      </c>
      <c r="D129" s="97">
        <f>246/100</f>
        <v>2.46</v>
      </c>
      <c r="E129" s="41">
        <f>D129*E125</f>
        <v>18.942</v>
      </c>
      <c r="F129" s="171"/>
    </row>
    <row r="130" spans="1:6" s="110" customFormat="1" ht="15.75">
      <c r="A130" s="42"/>
      <c r="B130" s="97" t="s">
        <v>229</v>
      </c>
      <c r="C130" s="41" t="s">
        <v>188</v>
      </c>
      <c r="D130" s="75">
        <f>16/100</f>
        <v>0.16</v>
      </c>
      <c r="E130" s="41">
        <f>D130*E125</f>
        <v>1.232</v>
      </c>
      <c r="F130" s="171"/>
    </row>
    <row r="131" spans="1:6" s="110" customFormat="1" ht="15.75">
      <c r="A131" s="42"/>
      <c r="B131" s="97" t="s">
        <v>230</v>
      </c>
      <c r="C131" s="41" t="s">
        <v>188</v>
      </c>
      <c r="D131" s="75">
        <f>0.7/100</f>
        <v>0.006999999999999999</v>
      </c>
      <c r="E131" s="41">
        <f>D131*E125</f>
        <v>0.053899999999999997</v>
      </c>
      <c r="F131" s="171"/>
    </row>
    <row r="132" spans="1:6" s="110" customFormat="1" ht="15">
      <c r="A132" s="42"/>
      <c r="B132" s="37" t="s">
        <v>231</v>
      </c>
      <c r="C132" s="37" t="s">
        <v>156</v>
      </c>
      <c r="D132" s="74">
        <f>0.33/100</f>
        <v>0.0033</v>
      </c>
      <c r="E132" s="75">
        <f>D132*E125</f>
        <v>0.025410000000000002</v>
      </c>
      <c r="F132" s="171"/>
    </row>
    <row r="133" spans="1:6" s="110" customFormat="1" ht="15">
      <c r="A133" s="42"/>
      <c r="B133" s="37" t="s">
        <v>57</v>
      </c>
      <c r="C133" s="37" t="s">
        <v>51</v>
      </c>
      <c r="D133" s="41">
        <f>90/100</f>
        <v>0.9</v>
      </c>
      <c r="E133" s="41">
        <f>D133*E125</f>
        <v>6.930000000000001</v>
      </c>
      <c r="F133" s="171"/>
    </row>
    <row r="134" spans="1:6" s="110" customFormat="1" ht="15">
      <c r="A134" s="169">
        <f>A125+1</f>
        <v>33</v>
      </c>
      <c r="B134" s="97" t="s">
        <v>333</v>
      </c>
      <c r="C134" s="97" t="s">
        <v>191</v>
      </c>
      <c r="D134" s="76" t="s">
        <v>140</v>
      </c>
      <c r="E134" s="172">
        <f>SUM(E135:E137)</f>
        <v>1.23</v>
      </c>
      <c r="F134" s="171"/>
    </row>
    <row r="135" spans="1:6" s="110" customFormat="1" ht="15">
      <c r="A135" s="42"/>
      <c r="B135" s="97" t="s">
        <v>232</v>
      </c>
      <c r="C135" s="97" t="s">
        <v>191</v>
      </c>
      <c r="D135" s="76" t="s">
        <v>140</v>
      </c>
      <c r="E135" s="75">
        <f>249/1000</f>
        <v>0.249</v>
      </c>
      <c r="F135" s="171"/>
    </row>
    <row r="136" spans="1:6" s="110" customFormat="1" ht="15">
      <c r="A136" s="42"/>
      <c r="B136" s="97" t="s">
        <v>310</v>
      </c>
      <c r="C136" s="97" t="s">
        <v>191</v>
      </c>
      <c r="D136" s="76" t="s">
        <v>140</v>
      </c>
      <c r="E136" s="74">
        <f>433/1000</f>
        <v>0.433</v>
      </c>
      <c r="F136" s="171"/>
    </row>
    <row r="137" spans="1:6" s="110" customFormat="1" ht="15">
      <c r="A137" s="42"/>
      <c r="B137" s="97" t="s">
        <v>313</v>
      </c>
      <c r="C137" s="97" t="s">
        <v>191</v>
      </c>
      <c r="D137" s="76" t="s">
        <v>140</v>
      </c>
      <c r="E137" s="74">
        <f>548/1000</f>
        <v>0.548</v>
      </c>
      <c r="F137" s="171"/>
    </row>
    <row r="138" spans="1:7" s="110" customFormat="1" ht="30">
      <c r="A138" s="169">
        <f>A134+1</f>
        <v>34</v>
      </c>
      <c r="B138" s="37" t="s">
        <v>338</v>
      </c>
      <c r="C138" s="41" t="s">
        <v>188</v>
      </c>
      <c r="D138" s="76"/>
      <c r="E138" s="41">
        <v>1.46</v>
      </c>
      <c r="F138" s="171"/>
      <c r="G138" s="171"/>
    </row>
    <row r="139" spans="1:6" s="110" customFormat="1" ht="15">
      <c r="A139" s="42"/>
      <c r="B139" s="37" t="s">
        <v>149</v>
      </c>
      <c r="C139" s="37" t="s">
        <v>58</v>
      </c>
      <c r="D139" s="97">
        <f>838/100</f>
        <v>8.38</v>
      </c>
      <c r="E139" s="75">
        <f>E138*D139</f>
        <v>12.234800000000002</v>
      </c>
      <c r="F139" s="171"/>
    </row>
    <row r="140" spans="1:6" s="110" customFormat="1" ht="15">
      <c r="A140" s="42"/>
      <c r="B140" s="37" t="s">
        <v>56</v>
      </c>
      <c r="C140" s="41" t="s">
        <v>51</v>
      </c>
      <c r="D140" s="97">
        <f>209/100</f>
        <v>2.09</v>
      </c>
      <c r="E140" s="41">
        <f>E138*D140</f>
        <v>3.0513999999999997</v>
      </c>
      <c r="F140" s="171"/>
    </row>
    <row r="141" spans="1:6" s="110" customFormat="1" ht="15.75">
      <c r="A141" s="42"/>
      <c r="B141" s="97" t="s">
        <v>311</v>
      </c>
      <c r="C141" s="41" t="s">
        <v>188</v>
      </c>
      <c r="D141" s="97">
        <f>102/100</f>
        <v>1.02</v>
      </c>
      <c r="E141" s="41">
        <f>D141*E138</f>
        <v>1.4892</v>
      </c>
      <c r="F141" s="171"/>
    </row>
    <row r="142" spans="1:6" s="110" customFormat="1" ht="15.75">
      <c r="A142" s="42"/>
      <c r="B142" s="37" t="s">
        <v>228</v>
      </c>
      <c r="C142" s="37" t="s">
        <v>174</v>
      </c>
      <c r="D142" s="97">
        <f>164/100</f>
        <v>1.64</v>
      </c>
      <c r="E142" s="41">
        <f>D142*E138</f>
        <v>2.3943999999999996</v>
      </c>
      <c r="F142" s="171"/>
    </row>
    <row r="143" spans="1:6" s="110" customFormat="1" ht="15.75">
      <c r="A143" s="42"/>
      <c r="B143" s="97" t="s">
        <v>229</v>
      </c>
      <c r="C143" s="41" t="s">
        <v>188</v>
      </c>
      <c r="D143" s="103">
        <f>3.17/100</f>
        <v>0.0317</v>
      </c>
      <c r="E143" s="41">
        <f>D143*E138</f>
        <v>0.046282</v>
      </c>
      <c r="F143" s="171"/>
    </row>
    <row r="144" spans="1:6" s="110" customFormat="1" ht="15.75">
      <c r="A144" s="42"/>
      <c r="B144" s="97" t="s">
        <v>312</v>
      </c>
      <c r="C144" s="41" t="s">
        <v>188</v>
      </c>
      <c r="D144" s="74">
        <f>0.32/100</f>
        <v>0.0032</v>
      </c>
      <c r="E144" s="41">
        <f>D144*E138</f>
        <v>0.004672</v>
      </c>
      <c r="F144" s="171"/>
    </row>
    <row r="145" spans="1:6" s="110" customFormat="1" ht="15">
      <c r="A145" s="42"/>
      <c r="B145" s="37" t="s">
        <v>57</v>
      </c>
      <c r="C145" s="37" t="s">
        <v>51</v>
      </c>
      <c r="D145" s="41">
        <f>41/100</f>
        <v>0.41</v>
      </c>
      <c r="E145" s="41">
        <f>D145*E138</f>
        <v>0.5985999999999999</v>
      </c>
      <c r="F145" s="171"/>
    </row>
    <row r="146" spans="1:6" s="110" customFormat="1" ht="15">
      <c r="A146" s="169">
        <f>A138+1</f>
        <v>35</v>
      </c>
      <c r="B146" s="97" t="s">
        <v>333</v>
      </c>
      <c r="C146" s="97" t="s">
        <v>191</v>
      </c>
      <c r="D146" s="76"/>
      <c r="E146" s="170">
        <f>SUM(E147:E148)</f>
        <v>0.36</v>
      </c>
      <c r="F146" s="171"/>
    </row>
    <row r="147" spans="1:6" s="110" customFormat="1" ht="15">
      <c r="A147" s="42"/>
      <c r="B147" s="97" t="s">
        <v>232</v>
      </c>
      <c r="C147" s="97" t="s">
        <v>191</v>
      </c>
      <c r="D147" s="76" t="s">
        <v>140</v>
      </c>
      <c r="E147" s="75">
        <f>(48+88)/1000</f>
        <v>0.136</v>
      </c>
      <c r="F147" s="171"/>
    </row>
    <row r="148" spans="1:6" s="110" customFormat="1" ht="15">
      <c r="A148" s="42"/>
      <c r="B148" s="97" t="s">
        <v>310</v>
      </c>
      <c r="C148" s="97" t="s">
        <v>191</v>
      </c>
      <c r="D148" s="76" t="s">
        <v>140</v>
      </c>
      <c r="E148" s="75">
        <f>(127+97)/1000</f>
        <v>0.224</v>
      </c>
      <c r="F148" s="171"/>
    </row>
    <row r="149" spans="1:6" s="110" customFormat="1" ht="30">
      <c r="A149" s="169">
        <f>A146+1</f>
        <v>36</v>
      </c>
      <c r="B149" s="37" t="s">
        <v>339</v>
      </c>
      <c r="C149" s="41" t="s">
        <v>188</v>
      </c>
      <c r="D149" s="97"/>
      <c r="E149" s="41">
        <v>9</v>
      </c>
      <c r="F149" s="171"/>
    </row>
    <row r="150" spans="1:6" s="110" customFormat="1" ht="15">
      <c r="A150" s="42"/>
      <c r="B150" s="37" t="s">
        <v>137</v>
      </c>
      <c r="C150" s="37" t="s">
        <v>58</v>
      </c>
      <c r="D150" s="97">
        <f>1390/100</f>
        <v>13.9</v>
      </c>
      <c r="E150" s="41">
        <f>E149*D150</f>
        <v>125.10000000000001</v>
      </c>
      <c r="F150" s="171"/>
    </row>
    <row r="151" spans="1:6" s="110" customFormat="1" ht="15">
      <c r="A151" s="42"/>
      <c r="B151" s="37" t="s">
        <v>223</v>
      </c>
      <c r="C151" s="41" t="s">
        <v>51</v>
      </c>
      <c r="D151" s="97">
        <f>128/100</f>
        <v>1.28</v>
      </c>
      <c r="E151" s="41">
        <f>E149*D151</f>
        <v>11.52</v>
      </c>
      <c r="F151" s="171"/>
    </row>
    <row r="152" spans="1:6" s="110" customFormat="1" ht="15.75">
      <c r="A152" s="42"/>
      <c r="B152" s="97" t="s">
        <v>227</v>
      </c>
      <c r="C152" s="41" t="s">
        <v>188</v>
      </c>
      <c r="D152" s="97">
        <f>101.5/100</f>
        <v>1.015</v>
      </c>
      <c r="E152" s="41">
        <f>D152*E149</f>
        <v>9.135</v>
      </c>
      <c r="F152" s="171"/>
    </row>
    <row r="153" spans="1:6" s="110" customFormat="1" ht="15.75">
      <c r="A153" s="42"/>
      <c r="B153" s="97" t="s">
        <v>233</v>
      </c>
      <c r="C153" s="97" t="s">
        <v>174</v>
      </c>
      <c r="D153" s="97">
        <f>229/100</f>
        <v>2.29</v>
      </c>
      <c r="E153" s="41">
        <f>D153*E149</f>
        <v>20.61</v>
      </c>
      <c r="F153" s="171"/>
    </row>
    <row r="154" spans="1:6" s="110" customFormat="1" ht="15.75">
      <c r="A154" s="42"/>
      <c r="B154" s="97" t="s">
        <v>314</v>
      </c>
      <c r="C154" s="41" t="s">
        <v>188</v>
      </c>
      <c r="D154" s="74">
        <f>1.4/100</f>
        <v>0.013999999999999999</v>
      </c>
      <c r="E154" s="74">
        <f>D154*E149</f>
        <v>0.126</v>
      </c>
      <c r="F154" s="171"/>
    </row>
    <row r="155" spans="1:6" s="110" customFormat="1" ht="15.75">
      <c r="A155" s="42"/>
      <c r="B155" s="97" t="s">
        <v>229</v>
      </c>
      <c r="C155" s="41" t="s">
        <v>188</v>
      </c>
      <c r="D155" s="74">
        <f>4.29/100</f>
        <v>0.0429</v>
      </c>
      <c r="E155" s="74">
        <f>D155*E149</f>
        <v>0.3861</v>
      </c>
      <c r="F155" s="171"/>
    </row>
    <row r="156" spans="1:6" s="110" customFormat="1" ht="15.75">
      <c r="A156" s="42"/>
      <c r="B156" s="97" t="s">
        <v>312</v>
      </c>
      <c r="C156" s="41" t="s">
        <v>188</v>
      </c>
      <c r="D156" s="74">
        <f>0.34/100</f>
        <v>0.0034000000000000002</v>
      </c>
      <c r="E156" s="74">
        <f>D156*E149</f>
        <v>0.030600000000000002</v>
      </c>
      <c r="F156" s="171"/>
    </row>
    <row r="157" spans="1:6" s="110" customFormat="1" ht="15">
      <c r="A157" s="42"/>
      <c r="B157" s="97" t="s">
        <v>231</v>
      </c>
      <c r="C157" s="97" t="s">
        <v>191</v>
      </c>
      <c r="D157" s="74">
        <f>0.25/100</f>
        <v>0.0025</v>
      </c>
      <c r="E157" s="75">
        <f>D157*E149</f>
        <v>0.0225</v>
      </c>
      <c r="F157" s="171"/>
    </row>
    <row r="158" spans="1:6" s="110" customFormat="1" ht="15">
      <c r="A158" s="42"/>
      <c r="B158" s="97" t="s">
        <v>224</v>
      </c>
      <c r="C158" s="97" t="s">
        <v>51</v>
      </c>
      <c r="D158" s="97">
        <f>93/100</f>
        <v>0.93</v>
      </c>
      <c r="E158" s="41">
        <f>D158*E149</f>
        <v>8.370000000000001</v>
      </c>
      <c r="F158" s="171"/>
    </row>
    <row r="159" spans="1:6" s="110" customFormat="1" ht="15">
      <c r="A159" s="169">
        <f>A149+1</f>
        <v>37</v>
      </c>
      <c r="B159" s="97" t="s">
        <v>333</v>
      </c>
      <c r="C159" s="97" t="s">
        <v>191</v>
      </c>
      <c r="D159" s="76"/>
      <c r="E159" s="170">
        <f>SUM(E160:E160)</f>
        <v>0.733</v>
      </c>
      <c r="F159" s="171"/>
    </row>
    <row r="160" spans="1:6" s="110" customFormat="1" ht="15">
      <c r="A160" s="42"/>
      <c r="B160" s="97" t="s">
        <v>236</v>
      </c>
      <c r="C160" s="97" t="s">
        <v>191</v>
      </c>
      <c r="D160" s="76" t="s">
        <v>140</v>
      </c>
      <c r="E160" s="75">
        <f>(678+55)/1000</f>
        <v>0.733</v>
      </c>
      <c r="F160" s="171"/>
    </row>
    <row r="161" spans="1:6" s="110" customFormat="1" ht="30">
      <c r="A161" s="169">
        <f>A159+1</f>
        <v>38</v>
      </c>
      <c r="B161" s="37" t="s">
        <v>341</v>
      </c>
      <c r="C161" s="97" t="s">
        <v>188</v>
      </c>
      <c r="D161" s="97"/>
      <c r="E161" s="41">
        <v>1</v>
      </c>
      <c r="F161" s="171"/>
    </row>
    <row r="162" spans="1:6" s="110" customFormat="1" ht="15">
      <c r="A162" s="42"/>
      <c r="B162" s="37" t="s">
        <v>137</v>
      </c>
      <c r="C162" s="37" t="s">
        <v>58</v>
      </c>
      <c r="D162" s="97">
        <f>450/100</f>
        <v>4.5</v>
      </c>
      <c r="E162" s="97">
        <f>D162*E161</f>
        <v>4.5</v>
      </c>
      <c r="F162" s="171"/>
    </row>
    <row r="163" spans="1:6" s="110" customFormat="1" ht="15">
      <c r="A163" s="42"/>
      <c r="B163" s="37" t="s">
        <v>223</v>
      </c>
      <c r="C163" s="41" t="s">
        <v>59</v>
      </c>
      <c r="D163" s="97">
        <f>37/100</f>
        <v>0.37</v>
      </c>
      <c r="E163" s="41">
        <f>D163*E161</f>
        <v>0.37</v>
      </c>
      <c r="F163" s="171"/>
    </row>
    <row r="164" spans="1:6" s="110" customFormat="1" ht="15.75">
      <c r="A164" s="42"/>
      <c r="B164" s="97" t="s">
        <v>227</v>
      </c>
      <c r="C164" s="41" t="s">
        <v>188</v>
      </c>
      <c r="D164" s="97">
        <f>102/100</f>
        <v>1.02</v>
      </c>
      <c r="E164" s="41">
        <f>D164*E161</f>
        <v>1.02</v>
      </c>
      <c r="F164" s="171"/>
    </row>
    <row r="165" spans="1:6" s="110" customFormat="1" ht="15.75">
      <c r="A165" s="42"/>
      <c r="B165" s="97" t="s">
        <v>235</v>
      </c>
      <c r="C165" s="97" t="s">
        <v>174</v>
      </c>
      <c r="D165" s="97">
        <f>161/100</f>
        <v>1.61</v>
      </c>
      <c r="E165" s="41">
        <f>D165*E161</f>
        <v>1.61</v>
      </c>
      <c r="F165" s="171"/>
    </row>
    <row r="166" spans="1:6" s="110" customFormat="1" ht="15.75">
      <c r="A166" s="42"/>
      <c r="B166" s="97" t="s">
        <v>226</v>
      </c>
      <c r="C166" s="41" t="s">
        <v>188</v>
      </c>
      <c r="D166" s="74">
        <f>1.72/100</f>
        <v>0.0172</v>
      </c>
      <c r="E166" s="74">
        <f>D166*E161</f>
        <v>0.0172</v>
      </c>
      <c r="F166" s="171"/>
    </row>
    <row r="167" spans="1:6" s="110" customFormat="1" ht="15.75">
      <c r="A167" s="97"/>
      <c r="B167" s="97" t="s">
        <v>342</v>
      </c>
      <c r="C167" s="97" t="s">
        <v>174</v>
      </c>
      <c r="D167" s="41" t="s">
        <v>140</v>
      </c>
      <c r="E167" s="41">
        <v>2.53</v>
      </c>
      <c r="F167" s="171"/>
    </row>
    <row r="168" spans="1:6" s="110" customFormat="1" ht="15">
      <c r="A168" s="42"/>
      <c r="B168" s="97" t="s">
        <v>224</v>
      </c>
      <c r="C168" s="97" t="s">
        <v>51</v>
      </c>
      <c r="D168" s="97">
        <f>28/100</f>
        <v>0.28</v>
      </c>
      <c r="E168" s="41">
        <f>D168*E161</f>
        <v>0.28</v>
      </c>
      <c r="F168" s="171"/>
    </row>
    <row r="169" spans="1:6" s="110" customFormat="1" ht="45">
      <c r="A169" s="169">
        <f>A161+1</f>
        <v>39</v>
      </c>
      <c r="B169" s="97" t="s">
        <v>345</v>
      </c>
      <c r="C169" s="37" t="s">
        <v>188</v>
      </c>
      <c r="D169" s="97"/>
      <c r="E169" s="41">
        <v>0.3</v>
      </c>
      <c r="F169" s="171"/>
    </row>
    <row r="170" spans="1:6" s="110" customFormat="1" ht="15">
      <c r="A170" s="42"/>
      <c r="B170" s="37" t="s">
        <v>137</v>
      </c>
      <c r="C170" s="37" t="s">
        <v>58</v>
      </c>
      <c r="D170" s="97">
        <v>3.88</v>
      </c>
      <c r="E170" s="75">
        <f>D170*E169</f>
        <v>1.164</v>
      </c>
      <c r="F170" s="171"/>
    </row>
    <row r="171" spans="1:247" s="47" customFormat="1" ht="15.75">
      <c r="A171" s="166">
        <f>A169+1</f>
        <v>40</v>
      </c>
      <c r="B171" s="113" t="s">
        <v>192</v>
      </c>
      <c r="C171" s="112" t="s">
        <v>188</v>
      </c>
      <c r="D171" s="112"/>
      <c r="E171" s="111">
        <f>E169</f>
        <v>0.3</v>
      </c>
      <c r="F171" s="171"/>
      <c r="G171" s="142"/>
      <c r="H171" s="142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  <c r="T171" s="142"/>
      <c r="U171" s="142"/>
      <c r="V171" s="142"/>
      <c r="W171" s="142"/>
      <c r="X171" s="142"/>
      <c r="Y171" s="142"/>
      <c r="Z171" s="142"/>
      <c r="AA171" s="142"/>
      <c r="AB171" s="142"/>
      <c r="AC171" s="142"/>
      <c r="AD171" s="142"/>
      <c r="AE171" s="142"/>
      <c r="AF171" s="142"/>
      <c r="AG171" s="142"/>
      <c r="AH171" s="142"/>
      <c r="AI171" s="142"/>
      <c r="AJ171" s="142"/>
      <c r="AK171" s="142"/>
      <c r="AL171" s="142"/>
      <c r="AM171" s="142"/>
      <c r="AN171" s="142"/>
      <c r="AO171" s="142"/>
      <c r="AP171" s="142"/>
      <c r="AQ171" s="142"/>
      <c r="AR171" s="142"/>
      <c r="AS171" s="142"/>
      <c r="AT171" s="142"/>
      <c r="AU171" s="142"/>
      <c r="AV171" s="142"/>
      <c r="AW171" s="142"/>
      <c r="AX171" s="142"/>
      <c r="AY171" s="142"/>
      <c r="AZ171" s="142"/>
      <c r="BA171" s="142"/>
      <c r="BB171" s="142"/>
      <c r="BC171" s="142"/>
      <c r="BD171" s="142"/>
      <c r="BE171" s="142"/>
      <c r="BF171" s="142"/>
      <c r="BG171" s="142"/>
      <c r="BH171" s="142"/>
      <c r="BI171" s="142"/>
      <c r="BJ171" s="142"/>
      <c r="BK171" s="142"/>
      <c r="BL171" s="142"/>
      <c r="BM171" s="142"/>
      <c r="BN171" s="142"/>
      <c r="BO171" s="142"/>
      <c r="BP171" s="142"/>
      <c r="BQ171" s="142"/>
      <c r="BR171" s="142"/>
      <c r="BS171" s="142"/>
      <c r="BT171" s="142"/>
      <c r="BU171" s="142"/>
      <c r="BV171" s="142"/>
      <c r="BW171" s="142"/>
      <c r="BX171" s="142"/>
      <c r="BY171" s="142"/>
      <c r="BZ171" s="142"/>
      <c r="CA171" s="142"/>
      <c r="CB171" s="142"/>
      <c r="CC171" s="142"/>
      <c r="CD171" s="142"/>
      <c r="CE171" s="142"/>
      <c r="CF171" s="142"/>
      <c r="CG171" s="142"/>
      <c r="CH171" s="142"/>
      <c r="CI171" s="142"/>
      <c r="CJ171" s="142"/>
      <c r="CK171" s="142"/>
      <c r="CL171" s="142"/>
      <c r="CM171" s="142"/>
      <c r="CN171" s="142"/>
      <c r="CO171" s="142"/>
      <c r="CP171" s="142"/>
      <c r="CQ171" s="142"/>
      <c r="CR171" s="142"/>
      <c r="CS171" s="142"/>
      <c r="CT171" s="142"/>
      <c r="CU171" s="142"/>
      <c r="CV171" s="142"/>
      <c r="CW171" s="142"/>
      <c r="CX171" s="142"/>
      <c r="CY171" s="142"/>
      <c r="CZ171" s="142"/>
      <c r="DA171" s="142"/>
      <c r="DB171" s="142"/>
      <c r="DC171" s="142"/>
      <c r="DD171" s="142"/>
      <c r="DE171" s="142"/>
      <c r="DF171" s="142"/>
      <c r="DG171" s="142"/>
      <c r="DH171" s="142"/>
      <c r="DI171" s="142"/>
      <c r="DJ171" s="142"/>
      <c r="DK171" s="142"/>
      <c r="DL171" s="142"/>
      <c r="DM171" s="142"/>
      <c r="DN171" s="142"/>
      <c r="DO171" s="142"/>
      <c r="DP171" s="142"/>
      <c r="DQ171" s="142"/>
      <c r="DR171" s="142"/>
      <c r="DS171" s="142"/>
      <c r="DT171" s="142"/>
      <c r="DU171" s="142"/>
      <c r="DV171" s="142"/>
      <c r="DW171" s="142"/>
      <c r="DX171" s="142"/>
      <c r="DY171" s="142"/>
      <c r="DZ171" s="142"/>
      <c r="EA171" s="142"/>
      <c r="EB171" s="142"/>
      <c r="EC171" s="142"/>
      <c r="ED171" s="142"/>
      <c r="EE171" s="142"/>
      <c r="EF171" s="142"/>
      <c r="EG171" s="142"/>
      <c r="EH171" s="142"/>
      <c r="EI171" s="142"/>
      <c r="EJ171" s="142"/>
      <c r="EK171" s="142"/>
      <c r="EL171" s="142"/>
      <c r="EM171" s="142"/>
      <c r="EN171" s="142"/>
      <c r="EO171" s="142"/>
      <c r="EP171" s="142"/>
      <c r="EQ171" s="142"/>
      <c r="ER171" s="142"/>
      <c r="ES171" s="142"/>
      <c r="ET171" s="142"/>
      <c r="EU171" s="142"/>
      <c r="EV171" s="142"/>
      <c r="EW171" s="142"/>
      <c r="EX171" s="142"/>
      <c r="EY171" s="142"/>
      <c r="EZ171" s="142"/>
      <c r="FA171" s="142"/>
      <c r="FB171" s="142"/>
      <c r="FC171" s="142"/>
      <c r="FD171" s="142"/>
      <c r="FE171" s="142"/>
      <c r="FF171" s="142"/>
      <c r="FG171" s="142"/>
      <c r="FH171" s="142"/>
      <c r="FI171" s="142"/>
      <c r="FJ171" s="142"/>
      <c r="FK171" s="142"/>
      <c r="FL171" s="142"/>
      <c r="FM171" s="142"/>
      <c r="FN171" s="142"/>
      <c r="FO171" s="142"/>
      <c r="FP171" s="142"/>
      <c r="FQ171" s="142"/>
      <c r="FR171" s="142"/>
      <c r="FS171" s="142"/>
      <c r="FT171" s="142"/>
      <c r="FU171" s="142"/>
      <c r="FV171" s="142"/>
      <c r="FW171" s="142"/>
      <c r="FX171" s="142"/>
      <c r="FY171" s="142"/>
      <c r="FZ171" s="142"/>
      <c r="GA171" s="142"/>
      <c r="GB171" s="142"/>
      <c r="GC171" s="142"/>
      <c r="GD171" s="142"/>
      <c r="GE171" s="142"/>
      <c r="GF171" s="142"/>
      <c r="GG171" s="142"/>
      <c r="GH171" s="142"/>
      <c r="GI171" s="142"/>
      <c r="GJ171" s="142"/>
      <c r="GK171" s="142"/>
      <c r="GL171" s="142"/>
      <c r="GM171" s="142"/>
      <c r="GN171" s="142"/>
      <c r="GO171" s="142"/>
      <c r="GP171" s="142"/>
      <c r="GQ171" s="142"/>
      <c r="GR171" s="142"/>
      <c r="GS171" s="142"/>
      <c r="GT171" s="142"/>
      <c r="GU171" s="142"/>
      <c r="GV171" s="142"/>
      <c r="GW171" s="142"/>
      <c r="GX171" s="142"/>
      <c r="GY171" s="142"/>
      <c r="GZ171" s="142"/>
      <c r="HA171" s="142"/>
      <c r="HB171" s="142"/>
      <c r="HC171" s="142"/>
      <c r="HD171" s="142"/>
      <c r="HE171" s="142"/>
      <c r="HF171" s="142"/>
      <c r="HG171" s="142"/>
      <c r="HH171" s="142"/>
      <c r="HI171" s="142"/>
      <c r="HJ171" s="142"/>
      <c r="HK171" s="142"/>
      <c r="HL171" s="142"/>
      <c r="HM171" s="142"/>
      <c r="HN171" s="142"/>
      <c r="HO171" s="142"/>
      <c r="HP171" s="142"/>
      <c r="HQ171" s="142"/>
      <c r="HR171" s="142"/>
      <c r="HS171" s="142"/>
      <c r="HT171" s="142"/>
      <c r="HU171" s="142"/>
      <c r="HV171" s="142"/>
      <c r="HW171" s="142"/>
      <c r="HX171" s="142"/>
      <c r="HY171" s="142"/>
      <c r="HZ171" s="142"/>
      <c r="IA171" s="142"/>
      <c r="IB171" s="142"/>
      <c r="IC171" s="142"/>
      <c r="ID171" s="142"/>
      <c r="IE171" s="142"/>
      <c r="IF171" s="142"/>
      <c r="IG171" s="142"/>
      <c r="IH171" s="142"/>
      <c r="II171" s="142"/>
      <c r="IJ171" s="142"/>
      <c r="IK171" s="142"/>
      <c r="IL171" s="142"/>
      <c r="IM171" s="142"/>
    </row>
    <row r="172" spans="1:247" s="47" customFormat="1" ht="15">
      <c r="A172" s="112"/>
      <c r="B172" s="113" t="s">
        <v>137</v>
      </c>
      <c r="C172" s="112" t="s">
        <v>193</v>
      </c>
      <c r="D172" s="112">
        <v>0.87</v>
      </c>
      <c r="E172" s="111">
        <f>E171*D172</f>
        <v>0.261</v>
      </c>
      <c r="F172" s="171"/>
      <c r="G172" s="142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  <c r="T172" s="142"/>
      <c r="U172" s="142"/>
      <c r="V172" s="142"/>
      <c r="W172" s="142"/>
      <c r="X172" s="142"/>
      <c r="Y172" s="142"/>
      <c r="Z172" s="142"/>
      <c r="AA172" s="142"/>
      <c r="AB172" s="142"/>
      <c r="AC172" s="142"/>
      <c r="AD172" s="142"/>
      <c r="AE172" s="142"/>
      <c r="AF172" s="142"/>
      <c r="AG172" s="142"/>
      <c r="AH172" s="142"/>
      <c r="AI172" s="142"/>
      <c r="AJ172" s="142"/>
      <c r="AK172" s="142"/>
      <c r="AL172" s="142"/>
      <c r="AM172" s="142"/>
      <c r="AN172" s="142"/>
      <c r="AO172" s="142"/>
      <c r="AP172" s="142"/>
      <c r="AQ172" s="142"/>
      <c r="AR172" s="142"/>
      <c r="AS172" s="142"/>
      <c r="AT172" s="142"/>
      <c r="AU172" s="142"/>
      <c r="AV172" s="142"/>
      <c r="AW172" s="142"/>
      <c r="AX172" s="142"/>
      <c r="AY172" s="142"/>
      <c r="AZ172" s="142"/>
      <c r="BA172" s="142"/>
      <c r="BB172" s="142"/>
      <c r="BC172" s="142"/>
      <c r="BD172" s="142"/>
      <c r="BE172" s="142"/>
      <c r="BF172" s="142"/>
      <c r="BG172" s="142"/>
      <c r="BH172" s="142"/>
      <c r="BI172" s="142"/>
      <c r="BJ172" s="142"/>
      <c r="BK172" s="142"/>
      <c r="BL172" s="142"/>
      <c r="BM172" s="142"/>
      <c r="BN172" s="142"/>
      <c r="BO172" s="142"/>
      <c r="BP172" s="142"/>
      <c r="BQ172" s="142"/>
      <c r="BR172" s="142"/>
      <c r="BS172" s="142"/>
      <c r="BT172" s="142"/>
      <c r="BU172" s="142"/>
      <c r="BV172" s="142"/>
      <c r="BW172" s="142"/>
      <c r="BX172" s="142"/>
      <c r="BY172" s="142"/>
      <c r="BZ172" s="142"/>
      <c r="CA172" s="142"/>
      <c r="CB172" s="142"/>
      <c r="CC172" s="142"/>
      <c r="CD172" s="142"/>
      <c r="CE172" s="142"/>
      <c r="CF172" s="142"/>
      <c r="CG172" s="142"/>
      <c r="CH172" s="142"/>
      <c r="CI172" s="142"/>
      <c r="CJ172" s="142"/>
      <c r="CK172" s="142"/>
      <c r="CL172" s="142"/>
      <c r="CM172" s="142"/>
      <c r="CN172" s="142"/>
      <c r="CO172" s="142"/>
      <c r="CP172" s="142"/>
      <c r="CQ172" s="142"/>
      <c r="CR172" s="142"/>
      <c r="CS172" s="142"/>
      <c r="CT172" s="142"/>
      <c r="CU172" s="142"/>
      <c r="CV172" s="142"/>
      <c r="CW172" s="142"/>
      <c r="CX172" s="142"/>
      <c r="CY172" s="142"/>
      <c r="CZ172" s="142"/>
      <c r="DA172" s="142"/>
      <c r="DB172" s="142"/>
      <c r="DC172" s="142"/>
      <c r="DD172" s="142"/>
      <c r="DE172" s="142"/>
      <c r="DF172" s="142"/>
      <c r="DG172" s="142"/>
      <c r="DH172" s="142"/>
      <c r="DI172" s="142"/>
      <c r="DJ172" s="142"/>
      <c r="DK172" s="142"/>
      <c r="DL172" s="142"/>
      <c r="DM172" s="142"/>
      <c r="DN172" s="142"/>
      <c r="DO172" s="142"/>
      <c r="DP172" s="142"/>
      <c r="DQ172" s="142"/>
      <c r="DR172" s="142"/>
      <c r="DS172" s="142"/>
      <c r="DT172" s="142"/>
      <c r="DU172" s="142"/>
      <c r="DV172" s="142"/>
      <c r="DW172" s="142"/>
      <c r="DX172" s="142"/>
      <c r="DY172" s="142"/>
      <c r="DZ172" s="142"/>
      <c r="EA172" s="142"/>
      <c r="EB172" s="142"/>
      <c r="EC172" s="142"/>
      <c r="ED172" s="142"/>
      <c r="EE172" s="142"/>
      <c r="EF172" s="142"/>
      <c r="EG172" s="142"/>
      <c r="EH172" s="142"/>
      <c r="EI172" s="142"/>
      <c r="EJ172" s="142"/>
      <c r="EK172" s="142"/>
      <c r="EL172" s="142"/>
      <c r="EM172" s="142"/>
      <c r="EN172" s="142"/>
      <c r="EO172" s="142"/>
      <c r="EP172" s="142"/>
      <c r="EQ172" s="142"/>
      <c r="ER172" s="142"/>
      <c r="ES172" s="142"/>
      <c r="ET172" s="142"/>
      <c r="EU172" s="142"/>
      <c r="EV172" s="142"/>
      <c r="EW172" s="142"/>
      <c r="EX172" s="142"/>
      <c r="EY172" s="142"/>
      <c r="EZ172" s="142"/>
      <c r="FA172" s="142"/>
      <c r="FB172" s="142"/>
      <c r="FC172" s="142"/>
      <c r="FD172" s="142"/>
      <c r="FE172" s="142"/>
      <c r="FF172" s="142"/>
      <c r="FG172" s="142"/>
      <c r="FH172" s="142"/>
      <c r="FI172" s="142"/>
      <c r="FJ172" s="142"/>
      <c r="FK172" s="142"/>
      <c r="FL172" s="142"/>
      <c r="FM172" s="142"/>
      <c r="FN172" s="142"/>
      <c r="FO172" s="142"/>
      <c r="FP172" s="142"/>
      <c r="FQ172" s="142"/>
      <c r="FR172" s="142"/>
      <c r="FS172" s="142"/>
      <c r="FT172" s="142"/>
      <c r="FU172" s="142"/>
      <c r="FV172" s="142"/>
      <c r="FW172" s="142"/>
      <c r="FX172" s="142"/>
      <c r="FY172" s="142"/>
      <c r="FZ172" s="142"/>
      <c r="GA172" s="142"/>
      <c r="GB172" s="142"/>
      <c r="GC172" s="142"/>
      <c r="GD172" s="142"/>
      <c r="GE172" s="142"/>
      <c r="GF172" s="142"/>
      <c r="GG172" s="142"/>
      <c r="GH172" s="142"/>
      <c r="GI172" s="142"/>
      <c r="GJ172" s="142"/>
      <c r="GK172" s="142"/>
      <c r="GL172" s="142"/>
      <c r="GM172" s="142"/>
      <c r="GN172" s="142"/>
      <c r="GO172" s="142"/>
      <c r="GP172" s="142"/>
      <c r="GQ172" s="142"/>
      <c r="GR172" s="142"/>
      <c r="GS172" s="142"/>
      <c r="GT172" s="142"/>
      <c r="GU172" s="142"/>
      <c r="GV172" s="142"/>
      <c r="GW172" s="142"/>
      <c r="GX172" s="142"/>
      <c r="GY172" s="142"/>
      <c r="GZ172" s="142"/>
      <c r="HA172" s="142"/>
      <c r="HB172" s="142"/>
      <c r="HC172" s="142"/>
      <c r="HD172" s="142"/>
      <c r="HE172" s="142"/>
      <c r="HF172" s="142"/>
      <c r="HG172" s="142"/>
      <c r="HH172" s="142"/>
      <c r="HI172" s="142"/>
      <c r="HJ172" s="142"/>
      <c r="HK172" s="142"/>
      <c r="HL172" s="142"/>
      <c r="HM172" s="142"/>
      <c r="HN172" s="142"/>
      <c r="HO172" s="142"/>
      <c r="HP172" s="142"/>
      <c r="HQ172" s="142"/>
      <c r="HR172" s="142"/>
      <c r="HS172" s="142"/>
      <c r="HT172" s="142"/>
      <c r="HU172" s="142"/>
      <c r="HV172" s="142"/>
      <c r="HW172" s="142"/>
      <c r="HX172" s="142"/>
      <c r="HY172" s="142"/>
      <c r="HZ172" s="142"/>
      <c r="IA172" s="142"/>
      <c r="IB172" s="142"/>
      <c r="IC172" s="142"/>
      <c r="ID172" s="142"/>
      <c r="IE172" s="142"/>
      <c r="IF172" s="142"/>
      <c r="IG172" s="142"/>
      <c r="IH172" s="142"/>
      <c r="II172" s="142"/>
      <c r="IJ172" s="142"/>
      <c r="IK172" s="142"/>
      <c r="IL172" s="142"/>
      <c r="IM172" s="142"/>
    </row>
    <row r="173" spans="1:247" s="47" customFormat="1" ht="15">
      <c r="A173" s="167">
        <f>A171+1</f>
        <v>41</v>
      </c>
      <c r="B173" s="41" t="s">
        <v>237</v>
      </c>
      <c r="C173" s="168" t="s">
        <v>150</v>
      </c>
      <c r="D173" s="190"/>
      <c r="E173" s="143">
        <f>E171*1.65</f>
        <v>0.49499999999999994</v>
      </c>
      <c r="F173" s="171"/>
      <c r="G173" s="144"/>
      <c r="H173" s="144"/>
      <c r="I173" s="144"/>
      <c r="J173" s="144"/>
      <c r="K173" s="144"/>
      <c r="L173" s="144"/>
      <c r="M173" s="144"/>
      <c r="N173" s="144"/>
      <c r="O173" s="144"/>
      <c r="P173" s="144"/>
      <c r="Q173" s="144"/>
      <c r="R173" s="144"/>
      <c r="S173" s="144"/>
      <c r="T173" s="144"/>
      <c r="U173" s="144"/>
      <c r="V173" s="144"/>
      <c r="W173" s="144"/>
      <c r="X173" s="144"/>
      <c r="Y173" s="144"/>
      <c r="Z173" s="144"/>
      <c r="AA173" s="144"/>
      <c r="AB173" s="144"/>
      <c r="AC173" s="144"/>
      <c r="AD173" s="144"/>
      <c r="AE173" s="144"/>
      <c r="AF173" s="144"/>
      <c r="AG173" s="144"/>
      <c r="AH173" s="144"/>
      <c r="AI173" s="144"/>
      <c r="AJ173" s="144"/>
      <c r="AK173" s="144"/>
      <c r="AL173" s="144"/>
      <c r="AM173" s="144"/>
      <c r="AN173" s="144"/>
      <c r="AO173" s="144"/>
      <c r="AP173" s="144"/>
      <c r="AQ173" s="144"/>
      <c r="AR173" s="144"/>
      <c r="AS173" s="144"/>
      <c r="AT173" s="144"/>
      <c r="AU173" s="144"/>
      <c r="AV173" s="144"/>
      <c r="AW173" s="144"/>
      <c r="AX173" s="144"/>
      <c r="AY173" s="144"/>
      <c r="AZ173" s="144"/>
      <c r="BA173" s="144"/>
      <c r="BB173" s="144"/>
      <c r="BC173" s="144"/>
      <c r="BD173" s="144"/>
      <c r="BE173" s="144"/>
      <c r="BF173" s="144"/>
      <c r="BG173" s="144"/>
      <c r="BH173" s="144"/>
      <c r="BI173" s="144"/>
      <c r="BJ173" s="144"/>
      <c r="BK173" s="144"/>
      <c r="BL173" s="144"/>
      <c r="BM173" s="144"/>
      <c r="BN173" s="144"/>
      <c r="BO173" s="144"/>
      <c r="BP173" s="144"/>
      <c r="BQ173" s="144"/>
      <c r="BR173" s="144"/>
      <c r="BS173" s="144"/>
      <c r="BT173" s="144"/>
      <c r="BU173" s="144"/>
      <c r="BV173" s="144"/>
      <c r="BW173" s="144"/>
      <c r="BX173" s="144"/>
      <c r="BY173" s="144"/>
      <c r="BZ173" s="144"/>
      <c r="CA173" s="144"/>
      <c r="CB173" s="144"/>
      <c r="CC173" s="144"/>
      <c r="CD173" s="144"/>
      <c r="CE173" s="144"/>
      <c r="CF173" s="144"/>
      <c r="CG173" s="144"/>
      <c r="CH173" s="144"/>
      <c r="CI173" s="144"/>
      <c r="CJ173" s="144"/>
      <c r="CK173" s="144"/>
      <c r="CL173" s="144"/>
      <c r="CM173" s="144"/>
      <c r="CN173" s="144"/>
      <c r="CO173" s="144"/>
      <c r="CP173" s="144"/>
      <c r="CQ173" s="144"/>
      <c r="CR173" s="144"/>
      <c r="CS173" s="144"/>
      <c r="CT173" s="144"/>
      <c r="CU173" s="144"/>
      <c r="CV173" s="144"/>
      <c r="CW173" s="144"/>
      <c r="CX173" s="144"/>
      <c r="CY173" s="144"/>
      <c r="CZ173" s="144"/>
      <c r="DA173" s="144"/>
      <c r="DB173" s="144"/>
      <c r="DC173" s="144"/>
      <c r="DD173" s="144"/>
      <c r="DE173" s="144"/>
      <c r="DF173" s="144"/>
      <c r="DG173" s="144"/>
      <c r="DH173" s="144"/>
      <c r="DI173" s="144"/>
      <c r="DJ173" s="144"/>
      <c r="DK173" s="144"/>
      <c r="DL173" s="144"/>
      <c r="DM173" s="144"/>
      <c r="DN173" s="144"/>
      <c r="DO173" s="144"/>
      <c r="DP173" s="144"/>
      <c r="DQ173" s="144"/>
      <c r="DR173" s="144"/>
      <c r="DS173" s="144"/>
      <c r="DT173" s="144"/>
      <c r="DU173" s="144"/>
      <c r="DV173" s="144"/>
      <c r="DW173" s="144"/>
      <c r="DX173" s="144"/>
      <c r="DY173" s="144"/>
      <c r="DZ173" s="144"/>
      <c r="EA173" s="144"/>
      <c r="EB173" s="144"/>
      <c r="EC173" s="144"/>
      <c r="ED173" s="144"/>
      <c r="EE173" s="144"/>
      <c r="EF173" s="144"/>
      <c r="EG173" s="144"/>
      <c r="EH173" s="144"/>
      <c r="EI173" s="144"/>
      <c r="EJ173" s="144"/>
      <c r="EK173" s="144"/>
      <c r="EL173" s="144"/>
      <c r="EM173" s="144"/>
      <c r="EN173" s="144"/>
      <c r="EO173" s="144"/>
      <c r="EP173" s="144"/>
      <c r="EQ173" s="144"/>
      <c r="ER173" s="144"/>
      <c r="ES173" s="144"/>
      <c r="ET173" s="144"/>
      <c r="EU173" s="144"/>
      <c r="EV173" s="144"/>
      <c r="EW173" s="144"/>
      <c r="EX173" s="144"/>
      <c r="EY173" s="144"/>
      <c r="EZ173" s="144"/>
      <c r="FA173" s="144"/>
      <c r="FB173" s="144"/>
      <c r="FC173" s="144"/>
      <c r="FD173" s="144"/>
      <c r="FE173" s="144"/>
      <c r="FF173" s="144"/>
      <c r="FG173" s="144"/>
      <c r="FH173" s="144"/>
      <c r="FI173" s="144"/>
      <c r="FJ173" s="144"/>
      <c r="FK173" s="144"/>
      <c r="FL173" s="144"/>
      <c r="FM173" s="144"/>
      <c r="FN173" s="144"/>
      <c r="FO173" s="144"/>
      <c r="FP173" s="144"/>
      <c r="FQ173" s="144"/>
      <c r="FR173" s="144"/>
      <c r="FS173" s="144"/>
      <c r="FT173" s="144"/>
      <c r="FU173" s="144"/>
      <c r="FV173" s="144"/>
      <c r="FW173" s="144"/>
      <c r="FX173" s="144"/>
      <c r="FY173" s="144"/>
      <c r="FZ173" s="144"/>
      <c r="GA173" s="144"/>
      <c r="GB173" s="144"/>
      <c r="GC173" s="144"/>
      <c r="GD173" s="144"/>
      <c r="GE173" s="144"/>
      <c r="GF173" s="144"/>
      <c r="GG173" s="144"/>
      <c r="GH173" s="144"/>
      <c r="GI173" s="144"/>
      <c r="GJ173" s="144"/>
      <c r="GK173" s="144"/>
      <c r="GL173" s="144"/>
      <c r="GM173" s="144"/>
      <c r="GN173" s="144"/>
      <c r="GO173" s="144"/>
      <c r="GP173" s="144"/>
      <c r="GQ173" s="144"/>
      <c r="GR173" s="144"/>
      <c r="GS173" s="144"/>
      <c r="GT173" s="144"/>
      <c r="GU173" s="144"/>
      <c r="GV173" s="144"/>
      <c r="GW173" s="144"/>
      <c r="GX173" s="144"/>
      <c r="GY173" s="144"/>
      <c r="GZ173" s="144"/>
      <c r="HA173" s="144"/>
      <c r="HB173" s="144"/>
      <c r="HC173" s="144"/>
      <c r="HD173" s="144"/>
      <c r="HE173" s="144"/>
      <c r="HF173" s="144"/>
      <c r="HG173" s="144"/>
      <c r="HH173" s="144"/>
      <c r="HI173" s="144"/>
      <c r="HJ173" s="144"/>
      <c r="HK173" s="144"/>
      <c r="HL173" s="144"/>
      <c r="HM173" s="144"/>
      <c r="HN173" s="144"/>
      <c r="HO173" s="144"/>
      <c r="HP173" s="144"/>
      <c r="HQ173" s="144"/>
      <c r="HR173" s="144"/>
      <c r="HS173" s="144"/>
      <c r="HT173" s="144"/>
      <c r="HU173" s="144"/>
      <c r="HV173" s="144"/>
      <c r="HW173" s="144"/>
      <c r="HX173" s="144"/>
      <c r="HY173" s="144"/>
      <c r="HZ173" s="144"/>
      <c r="IA173" s="144"/>
      <c r="IB173" s="144"/>
      <c r="IC173" s="144"/>
      <c r="ID173" s="144"/>
      <c r="IE173" s="144"/>
      <c r="IF173" s="144"/>
      <c r="IG173" s="144"/>
      <c r="IH173" s="144"/>
      <c r="II173" s="144"/>
      <c r="IJ173" s="144"/>
      <c r="IK173" s="144"/>
      <c r="IL173" s="144"/>
      <c r="IM173" s="144"/>
    </row>
    <row r="174" spans="1:247" s="47" customFormat="1" ht="15.75">
      <c r="A174" s="115">
        <f>A173+1</f>
        <v>42</v>
      </c>
      <c r="B174" s="158" t="s">
        <v>346</v>
      </c>
      <c r="C174" s="112" t="s">
        <v>188</v>
      </c>
      <c r="D174" s="114"/>
      <c r="E174" s="79">
        <v>0.06</v>
      </c>
      <c r="F174" s="171"/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  <c r="Q174" s="144"/>
      <c r="R174" s="144"/>
      <c r="S174" s="144"/>
      <c r="T174" s="144"/>
      <c r="U174" s="144"/>
      <c r="V174" s="144"/>
      <c r="W174" s="144"/>
      <c r="X174" s="144"/>
      <c r="Y174" s="144"/>
      <c r="Z174" s="144"/>
      <c r="AA174" s="144"/>
      <c r="AB174" s="144"/>
      <c r="AC174" s="144"/>
      <c r="AD174" s="144"/>
      <c r="AE174" s="144"/>
      <c r="AF174" s="144"/>
      <c r="AG174" s="144"/>
      <c r="AH174" s="144"/>
      <c r="AI174" s="144"/>
      <c r="AJ174" s="144"/>
      <c r="AK174" s="144"/>
      <c r="AL174" s="144"/>
      <c r="AM174" s="144"/>
      <c r="AN174" s="144"/>
      <c r="AO174" s="144"/>
      <c r="AP174" s="144"/>
      <c r="AQ174" s="144"/>
      <c r="AR174" s="144"/>
      <c r="AS174" s="144"/>
      <c r="AT174" s="144"/>
      <c r="AU174" s="144"/>
      <c r="AV174" s="144"/>
      <c r="AW174" s="144"/>
      <c r="AX174" s="144"/>
      <c r="AY174" s="144"/>
      <c r="AZ174" s="144"/>
      <c r="BA174" s="144"/>
      <c r="BB174" s="144"/>
      <c r="BC174" s="144"/>
      <c r="BD174" s="144"/>
      <c r="BE174" s="144"/>
      <c r="BF174" s="144"/>
      <c r="BG174" s="144"/>
      <c r="BH174" s="144"/>
      <c r="BI174" s="144"/>
      <c r="BJ174" s="144"/>
      <c r="BK174" s="144"/>
      <c r="BL174" s="144"/>
      <c r="BM174" s="144"/>
      <c r="BN174" s="144"/>
      <c r="BO174" s="144"/>
      <c r="BP174" s="144"/>
      <c r="BQ174" s="144"/>
      <c r="BR174" s="144"/>
      <c r="BS174" s="144"/>
      <c r="BT174" s="144"/>
      <c r="BU174" s="144"/>
      <c r="BV174" s="144"/>
      <c r="BW174" s="144"/>
      <c r="BX174" s="144"/>
      <c r="BY174" s="144"/>
      <c r="BZ174" s="144"/>
      <c r="CA174" s="144"/>
      <c r="CB174" s="144"/>
      <c r="CC174" s="144"/>
      <c r="CD174" s="144"/>
      <c r="CE174" s="144"/>
      <c r="CF174" s="144"/>
      <c r="CG174" s="144"/>
      <c r="CH174" s="144"/>
      <c r="CI174" s="144"/>
      <c r="CJ174" s="144"/>
      <c r="CK174" s="144"/>
      <c r="CL174" s="144"/>
      <c r="CM174" s="144"/>
      <c r="CN174" s="144"/>
      <c r="CO174" s="144"/>
      <c r="CP174" s="144"/>
      <c r="CQ174" s="144"/>
      <c r="CR174" s="144"/>
      <c r="CS174" s="144"/>
      <c r="CT174" s="144"/>
      <c r="CU174" s="144"/>
      <c r="CV174" s="144"/>
      <c r="CW174" s="144"/>
      <c r="CX174" s="144"/>
      <c r="CY174" s="144"/>
      <c r="CZ174" s="144"/>
      <c r="DA174" s="144"/>
      <c r="DB174" s="144"/>
      <c r="DC174" s="144"/>
      <c r="DD174" s="144"/>
      <c r="DE174" s="144"/>
      <c r="DF174" s="144"/>
      <c r="DG174" s="144"/>
      <c r="DH174" s="144"/>
      <c r="DI174" s="144"/>
      <c r="DJ174" s="144"/>
      <c r="DK174" s="144"/>
      <c r="DL174" s="144"/>
      <c r="DM174" s="144"/>
      <c r="DN174" s="144"/>
      <c r="DO174" s="144"/>
      <c r="DP174" s="144"/>
      <c r="DQ174" s="144"/>
      <c r="DR174" s="144"/>
      <c r="DS174" s="144"/>
      <c r="DT174" s="144"/>
      <c r="DU174" s="144"/>
      <c r="DV174" s="144"/>
      <c r="DW174" s="144"/>
      <c r="DX174" s="144"/>
      <c r="DY174" s="144"/>
      <c r="DZ174" s="144"/>
      <c r="EA174" s="144"/>
      <c r="EB174" s="144"/>
      <c r="EC174" s="144"/>
      <c r="ED174" s="144"/>
      <c r="EE174" s="144"/>
      <c r="EF174" s="144"/>
      <c r="EG174" s="144"/>
      <c r="EH174" s="144"/>
      <c r="EI174" s="144"/>
      <c r="EJ174" s="144"/>
      <c r="EK174" s="144"/>
      <c r="EL174" s="144"/>
      <c r="EM174" s="144"/>
      <c r="EN174" s="144"/>
      <c r="EO174" s="144"/>
      <c r="EP174" s="144"/>
      <c r="EQ174" s="144"/>
      <c r="ER174" s="144"/>
      <c r="ES174" s="144"/>
      <c r="ET174" s="144"/>
      <c r="EU174" s="144"/>
      <c r="EV174" s="144"/>
      <c r="EW174" s="144"/>
      <c r="EX174" s="144"/>
      <c r="EY174" s="144"/>
      <c r="EZ174" s="144"/>
      <c r="FA174" s="144"/>
      <c r="FB174" s="144"/>
      <c r="FC174" s="144"/>
      <c r="FD174" s="144"/>
      <c r="FE174" s="144"/>
      <c r="FF174" s="144"/>
      <c r="FG174" s="144"/>
      <c r="FH174" s="144"/>
      <c r="FI174" s="144"/>
      <c r="FJ174" s="144"/>
      <c r="FK174" s="144"/>
      <c r="FL174" s="144"/>
      <c r="FM174" s="144"/>
      <c r="FN174" s="144"/>
      <c r="FO174" s="144"/>
      <c r="FP174" s="144"/>
      <c r="FQ174" s="144"/>
      <c r="FR174" s="144"/>
      <c r="FS174" s="144"/>
      <c r="FT174" s="144"/>
      <c r="FU174" s="144"/>
      <c r="FV174" s="144"/>
      <c r="FW174" s="144"/>
      <c r="FX174" s="144"/>
      <c r="FY174" s="144"/>
      <c r="FZ174" s="144"/>
      <c r="GA174" s="144"/>
      <c r="GB174" s="144"/>
      <c r="GC174" s="144"/>
      <c r="GD174" s="144"/>
      <c r="GE174" s="144"/>
      <c r="GF174" s="144"/>
      <c r="GG174" s="144"/>
      <c r="GH174" s="144"/>
      <c r="GI174" s="144"/>
      <c r="GJ174" s="144"/>
      <c r="GK174" s="144"/>
      <c r="GL174" s="144"/>
      <c r="GM174" s="144"/>
      <c r="GN174" s="144"/>
      <c r="GO174" s="144"/>
      <c r="GP174" s="144"/>
      <c r="GQ174" s="144"/>
      <c r="GR174" s="144"/>
      <c r="GS174" s="144"/>
      <c r="GT174" s="144"/>
      <c r="GU174" s="144"/>
      <c r="GV174" s="144"/>
      <c r="GW174" s="144"/>
      <c r="GX174" s="144"/>
      <c r="GY174" s="144"/>
      <c r="GZ174" s="144"/>
      <c r="HA174" s="144"/>
      <c r="HB174" s="144"/>
      <c r="HC174" s="144"/>
      <c r="HD174" s="144"/>
      <c r="HE174" s="144"/>
      <c r="HF174" s="144"/>
      <c r="HG174" s="144"/>
      <c r="HH174" s="144"/>
      <c r="HI174" s="144"/>
      <c r="HJ174" s="144"/>
      <c r="HK174" s="144"/>
      <c r="HL174" s="144"/>
      <c r="HM174" s="144"/>
      <c r="HN174" s="144"/>
      <c r="HO174" s="144"/>
      <c r="HP174" s="144"/>
      <c r="HQ174" s="144"/>
      <c r="HR174" s="144"/>
      <c r="HS174" s="144"/>
      <c r="HT174" s="144"/>
      <c r="HU174" s="144"/>
      <c r="HV174" s="144"/>
      <c r="HW174" s="144"/>
      <c r="HX174" s="144"/>
      <c r="HY174" s="144"/>
      <c r="HZ174" s="144"/>
      <c r="IA174" s="144"/>
      <c r="IB174" s="144"/>
      <c r="IC174" s="144"/>
      <c r="ID174" s="144"/>
      <c r="IE174" s="144"/>
      <c r="IF174" s="144"/>
      <c r="IG174" s="144"/>
      <c r="IH174" s="144"/>
      <c r="II174" s="144"/>
      <c r="IJ174" s="144"/>
      <c r="IK174" s="144"/>
      <c r="IL174" s="144"/>
      <c r="IM174" s="144"/>
    </row>
    <row r="175" spans="1:247" s="47" customFormat="1" ht="15">
      <c r="A175" s="115"/>
      <c r="B175" s="79" t="s">
        <v>137</v>
      </c>
      <c r="C175" s="114" t="s">
        <v>193</v>
      </c>
      <c r="D175" s="114">
        <v>0.89</v>
      </c>
      <c r="E175" s="79">
        <f>E174*D175</f>
        <v>0.053399999999999996</v>
      </c>
      <c r="F175" s="171"/>
      <c r="G175" s="144"/>
      <c r="H175" s="144"/>
      <c r="I175" s="144"/>
      <c r="J175" s="144"/>
      <c r="K175" s="144"/>
      <c r="L175" s="144"/>
      <c r="M175" s="144"/>
      <c r="N175" s="144"/>
      <c r="O175" s="144"/>
      <c r="P175" s="144"/>
      <c r="Q175" s="144"/>
      <c r="R175" s="144"/>
      <c r="S175" s="144"/>
      <c r="T175" s="144"/>
      <c r="U175" s="144"/>
      <c r="V175" s="144"/>
      <c r="W175" s="144"/>
      <c r="X175" s="144"/>
      <c r="Y175" s="144"/>
      <c r="Z175" s="144"/>
      <c r="AA175" s="144"/>
      <c r="AB175" s="144"/>
      <c r="AC175" s="144"/>
      <c r="AD175" s="144"/>
      <c r="AE175" s="144"/>
      <c r="AF175" s="144"/>
      <c r="AG175" s="144"/>
      <c r="AH175" s="144"/>
      <c r="AI175" s="144"/>
      <c r="AJ175" s="144"/>
      <c r="AK175" s="144"/>
      <c r="AL175" s="144"/>
      <c r="AM175" s="144"/>
      <c r="AN175" s="144"/>
      <c r="AO175" s="144"/>
      <c r="AP175" s="144"/>
      <c r="AQ175" s="144"/>
      <c r="AR175" s="144"/>
      <c r="AS175" s="144"/>
      <c r="AT175" s="144"/>
      <c r="AU175" s="144"/>
      <c r="AV175" s="144"/>
      <c r="AW175" s="144"/>
      <c r="AX175" s="144"/>
      <c r="AY175" s="144"/>
      <c r="AZ175" s="144"/>
      <c r="BA175" s="144"/>
      <c r="BB175" s="144"/>
      <c r="BC175" s="144"/>
      <c r="BD175" s="144"/>
      <c r="BE175" s="144"/>
      <c r="BF175" s="144"/>
      <c r="BG175" s="144"/>
      <c r="BH175" s="144"/>
      <c r="BI175" s="144"/>
      <c r="BJ175" s="144"/>
      <c r="BK175" s="144"/>
      <c r="BL175" s="144"/>
      <c r="BM175" s="144"/>
      <c r="BN175" s="144"/>
      <c r="BO175" s="144"/>
      <c r="BP175" s="144"/>
      <c r="BQ175" s="144"/>
      <c r="BR175" s="144"/>
      <c r="BS175" s="144"/>
      <c r="BT175" s="144"/>
      <c r="BU175" s="144"/>
      <c r="BV175" s="144"/>
      <c r="BW175" s="144"/>
      <c r="BX175" s="144"/>
      <c r="BY175" s="144"/>
      <c r="BZ175" s="144"/>
      <c r="CA175" s="144"/>
      <c r="CB175" s="144"/>
      <c r="CC175" s="144"/>
      <c r="CD175" s="144"/>
      <c r="CE175" s="144"/>
      <c r="CF175" s="144"/>
      <c r="CG175" s="144"/>
      <c r="CH175" s="144"/>
      <c r="CI175" s="144"/>
      <c r="CJ175" s="144"/>
      <c r="CK175" s="144"/>
      <c r="CL175" s="144"/>
      <c r="CM175" s="144"/>
      <c r="CN175" s="144"/>
      <c r="CO175" s="144"/>
      <c r="CP175" s="144"/>
      <c r="CQ175" s="144"/>
      <c r="CR175" s="144"/>
      <c r="CS175" s="144"/>
      <c r="CT175" s="144"/>
      <c r="CU175" s="144"/>
      <c r="CV175" s="144"/>
      <c r="CW175" s="144"/>
      <c r="CX175" s="144"/>
      <c r="CY175" s="144"/>
      <c r="CZ175" s="144"/>
      <c r="DA175" s="144"/>
      <c r="DB175" s="144"/>
      <c r="DC175" s="144"/>
      <c r="DD175" s="144"/>
      <c r="DE175" s="144"/>
      <c r="DF175" s="144"/>
      <c r="DG175" s="144"/>
      <c r="DH175" s="144"/>
      <c r="DI175" s="144"/>
      <c r="DJ175" s="144"/>
      <c r="DK175" s="144"/>
      <c r="DL175" s="144"/>
      <c r="DM175" s="144"/>
      <c r="DN175" s="144"/>
      <c r="DO175" s="144"/>
      <c r="DP175" s="144"/>
      <c r="DQ175" s="144"/>
      <c r="DR175" s="144"/>
      <c r="DS175" s="144"/>
      <c r="DT175" s="144"/>
      <c r="DU175" s="144"/>
      <c r="DV175" s="144"/>
      <c r="DW175" s="144"/>
      <c r="DX175" s="144"/>
      <c r="DY175" s="144"/>
      <c r="DZ175" s="144"/>
      <c r="EA175" s="144"/>
      <c r="EB175" s="144"/>
      <c r="EC175" s="144"/>
      <c r="ED175" s="144"/>
      <c r="EE175" s="144"/>
      <c r="EF175" s="144"/>
      <c r="EG175" s="144"/>
      <c r="EH175" s="144"/>
      <c r="EI175" s="144"/>
      <c r="EJ175" s="144"/>
      <c r="EK175" s="144"/>
      <c r="EL175" s="144"/>
      <c r="EM175" s="144"/>
      <c r="EN175" s="144"/>
      <c r="EO175" s="144"/>
      <c r="EP175" s="144"/>
      <c r="EQ175" s="144"/>
      <c r="ER175" s="144"/>
      <c r="ES175" s="144"/>
      <c r="ET175" s="144"/>
      <c r="EU175" s="144"/>
      <c r="EV175" s="144"/>
      <c r="EW175" s="144"/>
      <c r="EX175" s="144"/>
      <c r="EY175" s="144"/>
      <c r="EZ175" s="144"/>
      <c r="FA175" s="144"/>
      <c r="FB175" s="144"/>
      <c r="FC175" s="144"/>
      <c r="FD175" s="144"/>
      <c r="FE175" s="144"/>
      <c r="FF175" s="144"/>
      <c r="FG175" s="144"/>
      <c r="FH175" s="144"/>
      <c r="FI175" s="144"/>
      <c r="FJ175" s="144"/>
      <c r="FK175" s="144"/>
      <c r="FL175" s="144"/>
      <c r="FM175" s="144"/>
      <c r="FN175" s="144"/>
      <c r="FO175" s="144"/>
      <c r="FP175" s="144"/>
      <c r="FQ175" s="144"/>
      <c r="FR175" s="144"/>
      <c r="FS175" s="144"/>
      <c r="FT175" s="144"/>
      <c r="FU175" s="144"/>
      <c r="FV175" s="144"/>
      <c r="FW175" s="144"/>
      <c r="FX175" s="144"/>
      <c r="FY175" s="144"/>
      <c r="FZ175" s="144"/>
      <c r="GA175" s="144"/>
      <c r="GB175" s="144"/>
      <c r="GC175" s="144"/>
      <c r="GD175" s="144"/>
      <c r="GE175" s="144"/>
      <c r="GF175" s="144"/>
      <c r="GG175" s="144"/>
      <c r="GH175" s="144"/>
      <c r="GI175" s="144"/>
      <c r="GJ175" s="144"/>
      <c r="GK175" s="144"/>
      <c r="GL175" s="144"/>
      <c r="GM175" s="144"/>
      <c r="GN175" s="144"/>
      <c r="GO175" s="144"/>
      <c r="GP175" s="144"/>
      <c r="GQ175" s="144"/>
      <c r="GR175" s="144"/>
      <c r="GS175" s="144"/>
      <c r="GT175" s="144"/>
      <c r="GU175" s="144"/>
      <c r="GV175" s="144"/>
      <c r="GW175" s="144"/>
      <c r="GX175" s="144"/>
      <c r="GY175" s="144"/>
      <c r="GZ175" s="144"/>
      <c r="HA175" s="144"/>
      <c r="HB175" s="144"/>
      <c r="HC175" s="144"/>
      <c r="HD175" s="144"/>
      <c r="HE175" s="144"/>
      <c r="HF175" s="144"/>
      <c r="HG175" s="144"/>
      <c r="HH175" s="144"/>
      <c r="HI175" s="144"/>
      <c r="HJ175" s="144"/>
      <c r="HK175" s="144"/>
      <c r="HL175" s="144"/>
      <c r="HM175" s="144"/>
      <c r="HN175" s="144"/>
      <c r="HO175" s="144"/>
      <c r="HP175" s="144"/>
      <c r="HQ175" s="144"/>
      <c r="HR175" s="144"/>
      <c r="HS175" s="144"/>
      <c r="HT175" s="144"/>
      <c r="HU175" s="144"/>
      <c r="HV175" s="144"/>
      <c r="HW175" s="144"/>
      <c r="HX175" s="144"/>
      <c r="HY175" s="144"/>
      <c r="HZ175" s="144"/>
      <c r="IA175" s="144"/>
      <c r="IB175" s="144"/>
      <c r="IC175" s="144"/>
      <c r="ID175" s="144"/>
      <c r="IE175" s="144"/>
      <c r="IF175" s="144"/>
      <c r="IG175" s="144"/>
      <c r="IH175" s="144"/>
      <c r="II175" s="144"/>
      <c r="IJ175" s="144"/>
      <c r="IK175" s="144"/>
      <c r="IL175" s="144"/>
      <c r="IM175" s="144"/>
    </row>
    <row r="176" spans="1:247" s="47" customFormat="1" ht="15">
      <c r="A176" s="115"/>
      <c r="B176" s="79" t="s">
        <v>142</v>
      </c>
      <c r="C176" s="114" t="s">
        <v>51</v>
      </c>
      <c r="D176" s="114">
        <v>0.37</v>
      </c>
      <c r="E176" s="79">
        <f>E174*D176</f>
        <v>0.022199999999999998</v>
      </c>
      <c r="F176" s="171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  <c r="R176" s="144"/>
      <c r="S176" s="144"/>
      <c r="T176" s="144"/>
      <c r="U176" s="144"/>
      <c r="V176" s="144"/>
      <c r="W176" s="144"/>
      <c r="X176" s="144"/>
      <c r="Y176" s="144"/>
      <c r="Z176" s="144"/>
      <c r="AA176" s="144"/>
      <c r="AB176" s="144"/>
      <c r="AC176" s="144"/>
      <c r="AD176" s="144"/>
      <c r="AE176" s="144"/>
      <c r="AF176" s="144"/>
      <c r="AG176" s="144"/>
      <c r="AH176" s="144"/>
      <c r="AI176" s="144"/>
      <c r="AJ176" s="144"/>
      <c r="AK176" s="144"/>
      <c r="AL176" s="144"/>
      <c r="AM176" s="144"/>
      <c r="AN176" s="144"/>
      <c r="AO176" s="144"/>
      <c r="AP176" s="144"/>
      <c r="AQ176" s="144"/>
      <c r="AR176" s="144"/>
      <c r="AS176" s="144"/>
      <c r="AT176" s="144"/>
      <c r="AU176" s="144"/>
      <c r="AV176" s="144"/>
      <c r="AW176" s="144"/>
      <c r="AX176" s="144"/>
      <c r="AY176" s="144"/>
      <c r="AZ176" s="144"/>
      <c r="BA176" s="144"/>
      <c r="BB176" s="144"/>
      <c r="BC176" s="144"/>
      <c r="BD176" s="144"/>
      <c r="BE176" s="144"/>
      <c r="BF176" s="144"/>
      <c r="BG176" s="144"/>
      <c r="BH176" s="144"/>
      <c r="BI176" s="144"/>
      <c r="BJ176" s="144"/>
      <c r="BK176" s="144"/>
      <c r="BL176" s="144"/>
      <c r="BM176" s="144"/>
      <c r="BN176" s="144"/>
      <c r="BO176" s="144"/>
      <c r="BP176" s="144"/>
      <c r="BQ176" s="144"/>
      <c r="BR176" s="144"/>
      <c r="BS176" s="144"/>
      <c r="BT176" s="144"/>
      <c r="BU176" s="144"/>
      <c r="BV176" s="144"/>
      <c r="BW176" s="144"/>
      <c r="BX176" s="144"/>
      <c r="BY176" s="144"/>
      <c r="BZ176" s="144"/>
      <c r="CA176" s="144"/>
      <c r="CB176" s="144"/>
      <c r="CC176" s="144"/>
      <c r="CD176" s="144"/>
      <c r="CE176" s="144"/>
      <c r="CF176" s="144"/>
      <c r="CG176" s="144"/>
      <c r="CH176" s="144"/>
      <c r="CI176" s="144"/>
      <c r="CJ176" s="144"/>
      <c r="CK176" s="144"/>
      <c r="CL176" s="144"/>
      <c r="CM176" s="144"/>
      <c r="CN176" s="144"/>
      <c r="CO176" s="144"/>
      <c r="CP176" s="144"/>
      <c r="CQ176" s="144"/>
      <c r="CR176" s="144"/>
      <c r="CS176" s="144"/>
      <c r="CT176" s="144"/>
      <c r="CU176" s="144"/>
      <c r="CV176" s="144"/>
      <c r="CW176" s="144"/>
      <c r="CX176" s="144"/>
      <c r="CY176" s="144"/>
      <c r="CZ176" s="144"/>
      <c r="DA176" s="144"/>
      <c r="DB176" s="144"/>
      <c r="DC176" s="144"/>
      <c r="DD176" s="144"/>
      <c r="DE176" s="144"/>
      <c r="DF176" s="144"/>
      <c r="DG176" s="144"/>
      <c r="DH176" s="144"/>
      <c r="DI176" s="144"/>
      <c r="DJ176" s="144"/>
      <c r="DK176" s="144"/>
      <c r="DL176" s="144"/>
      <c r="DM176" s="144"/>
      <c r="DN176" s="144"/>
      <c r="DO176" s="144"/>
      <c r="DP176" s="144"/>
      <c r="DQ176" s="144"/>
      <c r="DR176" s="144"/>
      <c r="DS176" s="144"/>
      <c r="DT176" s="144"/>
      <c r="DU176" s="144"/>
      <c r="DV176" s="144"/>
      <c r="DW176" s="144"/>
      <c r="DX176" s="144"/>
      <c r="DY176" s="144"/>
      <c r="DZ176" s="144"/>
      <c r="EA176" s="144"/>
      <c r="EB176" s="144"/>
      <c r="EC176" s="144"/>
      <c r="ED176" s="144"/>
      <c r="EE176" s="144"/>
      <c r="EF176" s="144"/>
      <c r="EG176" s="144"/>
      <c r="EH176" s="144"/>
      <c r="EI176" s="144"/>
      <c r="EJ176" s="144"/>
      <c r="EK176" s="144"/>
      <c r="EL176" s="144"/>
      <c r="EM176" s="144"/>
      <c r="EN176" s="144"/>
      <c r="EO176" s="144"/>
      <c r="EP176" s="144"/>
      <c r="EQ176" s="144"/>
      <c r="ER176" s="144"/>
      <c r="ES176" s="144"/>
      <c r="ET176" s="144"/>
      <c r="EU176" s="144"/>
      <c r="EV176" s="144"/>
      <c r="EW176" s="144"/>
      <c r="EX176" s="144"/>
      <c r="EY176" s="144"/>
      <c r="EZ176" s="144"/>
      <c r="FA176" s="144"/>
      <c r="FB176" s="144"/>
      <c r="FC176" s="144"/>
      <c r="FD176" s="144"/>
      <c r="FE176" s="144"/>
      <c r="FF176" s="144"/>
      <c r="FG176" s="144"/>
      <c r="FH176" s="144"/>
      <c r="FI176" s="144"/>
      <c r="FJ176" s="144"/>
      <c r="FK176" s="144"/>
      <c r="FL176" s="144"/>
      <c r="FM176" s="144"/>
      <c r="FN176" s="144"/>
      <c r="FO176" s="144"/>
      <c r="FP176" s="144"/>
      <c r="FQ176" s="144"/>
      <c r="FR176" s="144"/>
      <c r="FS176" s="144"/>
      <c r="FT176" s="144"/>
      <c r="FU176" s="144"/>
      <c r="FV176" s="144"/>
      <c r="FW176" s="144"/>
      <c r="FX176" s="144"/>
      <c r="FY176" s="144"/>
      <c r="FZ176" s="144"/>
      <c r="GA176" s="144"/>
      <c r="GB176" s="144"/>
      <c r="GC176" s="144"/>
      <c r="GD176" s="144"/>
      <c r="GE176" s="144"/>
      <c r="GF176" s="144"/>
      <c r="GG176" s="144"/>
      <c r="GH176" s="144"/>
      <c r="GI176" s="144"/>
      <c r="GJ176" s="144"/>
      <c r="GK176" s="144"/>
      <c r="GL176" s="144"/>
      <c r="GM176" s="144"/>
      <c r="GN176" s="144"/>
      <c r="GO176" s="144"/>
      <c r="GP176" s="144"/>
      <c r="GQ176" s="144"/>
      <c r="GR176" s="144"/>
      <c r="GS176" s="144"/>
      <c r="GT176" s="144"/>
      <c r="GU176" s="144"/>
      <c r="GV176" s="144"/>
      <c r="GW176" s="144"/>
      <c r="GX176" s="144"/>
      <c r="GY176" s="144"/>
      <c r="GZ176" s="144"/>
      <c r="HA176" s="144"/>
      <c r="HB176" s="144"/>
      <c r="HC176" s="144"/>
      <c r="HD176" s="144"/>
      <c r="HE176" s="144"/>
      <c r="HF176" s="144"/>
      <c r="HG176" s="144"/>
      <c r="HH176" s="144"/>
      <c r="HI176" s="144"/>
      <c r="HJ176" s="144"/>
      <c r="HK176" s="144"/>
      <c r="HL176" s="144"/>
      <c r="HM176" s="144"/>
      <c r="HN176" s="144"/>
      <c r="HO176" s="144"/>
      <c r="HP176" s="144"/>
      <c r="HQ176" s="144"/>
      <c r="HR176" s="144"/>
      <c r="HS176" s="144"/>
      <c r="HT176" s="144"/>
      <c r="HU176" s="144"/>
      <c r="HV176" s="144"/>
      <c r="HW176" s="144"/>
      <c r="HX176" s="144"/>
      <c r="HY176" s="144"/>
      <c r="HZ176" s="144"/>
      <c r="IA176" s="144"/>
      <c r="IB176" s="144"/>
      <c r="IC176" s="144"/>
      <c r="ID176" s="144"/>
      <c r="IE176" s="144"/>
      <c r="IF176" s="144"/>
      <c r="IG176" s="144"/>
      <c r="IH176" s="144"/>
      <c r="II176" s="144"/>
      <c r="IJ176" s="144"/>
      <c r="IK176" s="144"/>
      <c r="IL176" s="144"/>
      <c r="IM176" s="144"/>
    </row>
    <row r="177" spans="1:247" s="47" customFormat="1" ht="15.75">
      <c r="A177" s="115"/>
      <c r="B177" s="80" t="s">
        <v>219</v>
      </c>
      <c r="C177" s="79" t="s">
        <v>188</v>
      </c>
      <c r="D177" s="79">
        <v>1.15</v>
      </c>
      <c r="E177" s="79">
        <f>E174*D177</f>
        <v>0.06899999999999999</v>
      </c>
      <c r="F177" s="171"/>
      <c r="G177" s="144"/>
      <c r="H177" s="144"/>
      <c r="I177" s="144"/>
      <c r="J177" s="144"/>
      <c r="K177" s="144"/>
      <c r="L177" s="144"/>
      <c r="M177" s="144"/>
      <c r="N177" s="144"/>
      <c r="O177" s="144"/>
      <c r="P177" s="144"/>
      <c r="Q177" s="144"/>
      <c r="R177" s="144"/>
      <c r="S177" s="144"/>
      <c r="T177" s="144"/>
      <c r="U177" s="144"/>
      <c r="V177" s="144"/>
      <c r="W177" s="144"/>
      <c r="X177" s="144"/>
      <c r="Y177" s="144"/>
      <c r="Z177" s="144"/>
      <c r="AA177" s="144"/>
      <c r="AB177" s="144"/>
      <c r="AC177" s="144"/>
      <c r="AD177" s="144"/>
      <c r="AE177" s="144"/>
      <c r="AF177" s="144"/>
      <c r="AG177" s="144"/>
      <c r="AH177" s="144"/>
      <c r="AI177" s="144"/>
      <c r="AJ177" s="144"/>
      <c r="AK177" s="144"/>
      <c r="AL177" s="144"/>
      <c r="AM177" s="144"/>
      <c r="AN177" s="144"/>
      <c r="AO177" s="144"/>
      <c r="AP177" s="144"/>
      <c r="AQ177" s="144"/>
      <c r="AR177" s="144"/>
      <c r="AS177" s="144"/>
      <c r="AT177" s="144"/>
      <c r="AU177" s="144"/>
      <c r="AV177" s="144"/>
      <c r="AW177" s="144"/>
      <c r="AX177" s="144"/>
      <c r="AY177" s="144"/>
      <c r="AZ177" s="144"/>
      <c r="BA177" s="144"/>
      <c r="BB177" s="144"/>
      <c r="BC177" s="144"/>
      <c r="BD177" s="144"/>
      <c r="BE177" s="144"/>
      <c r="BF177" s="144"/>
      <c r="BG177" s="144"/>
      <c r="BH177" s="144"/>
      <c r="BI177" s="144"/>
      <c r="BJ177" s="144"/>
      <c r="BK177" s="144"/>
      <c r="BL177" s="144"/>
      <c r="BM177" s="144"/>
      <c r="BN177" s="144"/>
      <c r="BO177" s="144"/>
      <c r="BP177" s="144"/>
      <c r="BQ177" s="144"/>
      <c r="BR177" s="144"/>
      <c r="BS177" s="144"/>
      <c r="BT177" s="144"/>
      <c r="BU177" s="144"/>
      <c r="BV177" s="144"/>
      <c r="BW177" s="144"/>
      <c r="BX177" s="144"/>
      <c r="BY177" s="144"/>
      <c r="BZ177" s="144"/>
      <c r="CA177" s="144"/>
      <c r="CB177" s="144"/>
      <c r="CC177" s="144"/>
      <c r="CD177" s="144"/>
      <c r="CE177" s="144"/>
      <c r="CF177" s="144"/>
      <c r="CG177" s="144"/>
      <c r="CH177" s="144"/>
      <c r="CI177" s="144"/>
      <c r="CJ177" s="144"/>
      <c r="CK177" s="144"/>
      <c r="CL177" s="144"/>
      <c r="CM177" s="144"/>
      <c r="CN177" s="144"/>
      <c r="CO177" s="144"/>
      <c r="CP177" s="144"/>
      <c r="CQ177" s="144"/>
      <c r="CR177" s="144"/>
      <c r="CS177" s="144"/>
      <c r="CT177" s="144"/>
      <c r="CU177" s="144"/>
      <c r="CV177" s="144"/>
      <c r="CW177" s="144"/>
      <c r="CX177" s="144"/>
      <c r="CY177" s="144"/>
      <c r="CZ177" s="144"/>
      <c r="DA177" s="144"/>
      <c r="DB177" s="144"/>
      <c r="DC177" s="144"/>
      <c r="DD177" s="144"/>
      <c r="DE177" s="144"/>
      <c r="DF177" s="144"/>
      <c r="DG177" s="144"/>
      <c r="DH177" s="144"/>
      <c r="DI177" s="144"/>
      <c r="DJ177" s="144"/>
      <c r="DK177" s="144"/>
      <c r="DL177" s="144"/>
      <c r="DM177" s="144"/>
      <c r="DN177" s="144"/>
      <c r="DO177" s="144"/>
      <c r="DP177" s="144"/>
      <c r="DQ177" s="144"/>
      <c r="DR177" s="144"/>
      <c r="DS177" s="144"/>
      <c r="DT177" s="144"/>
      <c r="DU177" s="144"/>
      <c r="DV177" s="144"/>
      <c r="DW177" s="144"/>
      <c r="DX177" s="144"/>
      <c r="DY177" s="144"/>
      <c r="DZ177" s="144"/>
      <c r="EA177" s="144"/>
      <c r="EB177" s="144"/>
      <c r="EC177" s="144"/>
      <c r="ED177" s="144"/>
      <c r="EE177" s="144"/>
      <c r="EF177" s="144"/>
      <c r="EG177" s="144"/>
      <c r="EH177" s="144"/>
      <c r="EI177" s="144"/>
      <c r="EJ177" s="144"/>
      <c r="EK177" s="144"/>
      <c r="EL177" s="144"/>
      <c r="EM177" s="144"/>
      <c r="EN177" s="144"/>
      <c r="EO177" s="144"/>
      <c r="EP177" s="144"/>
      <c r="EQ177" s="144"/>
      <c r="ER177" s="144"/>
      <c r="ES177" s="144"/>
      <c r="ET177" s="144"/>
      <c r="EU177" s="144"/>
      <c r="EV177" s="144"/>
      <c r="EW177" s="144"/>
      <c r="EX177" s="144"/>
      <c r="EY177" s="144"/>
      <c r="EZ177" s="144"/>
      <c r="FA177" s="144"/>
      <c r="FB177" s="144"/>
      <c r="FC177" s="144"/>
      <c r="FD177" s="144"/>
      <c r="FE177" s="144"/>
      <c r="FF177" s="144"/>
      <c r="FG177" s="144"/>
      <c r="FH177" s="144"/>
      <c r="FI177" s="144"/>
      <c r="FJ177" s="144"/>
      <c r="FK177" s="144"/>
      <c r="FL177" s="144"/>
      <c r="FM177" s="144"/>
      <c r="FN177" s="144"/>
      <c r="FO177" s="144"/>
      <c r="FP177" s="144"/>
      <c r="FQ177" s="144"/>
      <c r="FR177" s="144"/>
      <c r="FS177" s="144"/>
      <c r="FT177" s="144"/>
      <c r="FU177" s="144"/>
      <c r="FV177" s="144"/>
      <c r="FW177" s="144"/>
      <c r="FX177" s="144"/>
      <c r="FY177" s="144"/>
      <c r="FZ177" s="144"/>
      <c r="GA177" s="144"/>
      <c r="GB177" s="144"/>
      <c r="GC177" s="144"/>
      <c r="GD177" s="144"/>
      <c r="GE177" s="144"/>
      <c r="GF177" s="144"/>
      <c r="GG177" s="144"/>
      <c r="GH177" s="144"/>
      <c r="GI177" s="144"/>
      <c r="GJ177" s="144"/>
      <c r="GK177" s="144"/>
      <c r="GL177" s="144"/>
      <c r="GM177" s="144"/>
      <c r="GN177" s="144"/>
      <c r="GO177" s="144"/>
      <c r="GP177" s="144"/>
      <c r="GQ177" s="144"/>
      <c r="GR177" s="144"/>
      <c r="GS177" s="144"/>
      <c r="GT177" s="144"/>
      <c r="GU177" s="144"/>
      <c r="GV177" s="144"/>
      <c r="GW177" s="144"/>
      <c r="GX177" s="144"/>
      <c r="GY177" s="144"/>
      <c r="GZ177" s="144"/>
      <c r="HA177" s="144"/>
      <c r="HB177" s="144"/>
      <c r="HC177" s="144"/>
      <c r="HD177" s="144"/>
      <c r="HE177" s="144"/>
      <c r="HF177" s="144"/>
      <c r="HG177" s="144"/>
      <c r="HH177" s="144"/>
      <c r="HI177" s="144"/>
      <c r="HJ177" s="144"/>
      <c r="HK177" s="144"/>
      <c r="HL177" s="144"/>
      <c r="HM177" s="144"/>
      <c r="HN177" s="144"/>
      <c r="HO177" s="144"/>
      <c r="HP177" s="144"/>
      <c r="HQ177" s="144"/>
      <c r="HR177" s="144"/>
      <c r="HS177" s="144"/>
      <c r="HT177" s="144"/>
      <c r="HU177" s="144"/>
      <c r="HV177" s="144"/>
      <c r="HW177" s="144"/>
      <c r="HX177" s="144"/>
      <c r="HY177" s="144"/>
      <c r="HZ177" s="144"/>
      <c r="IA177" s="144"/>
      <c r="IB177" s="144"/>
      <c r="IC177" s="144"/>
      <c r="ID177" s="144"/>
      <c r="IE177" s="144"/>
      <c r="IF177" s="144"/>
      <c r="IG177" s="144"/>
      <c r="IH177" s="144"/>
      <c r="II177" s="144"/>
      <c r="IJ177" s="144"/>
      <c r="IK177" s="144"/>
      <c r="IL177" s="144"/>
      <c r="IM177" s="144"/>
    </row>
    <row r="178" spans="1:247" s="47" customFormat="1" ht="15">
      <c r="A178" s="115"/>
      <c r="B178" s="79" t="s">
        <v>166</v>
      </c>
      <c r="C178" s="114" t="s">
        <v>51</v>
      </c>
      <c r="D178" s="79">
        <v>0.02</v>
      </c>
      <c r="E178" s="79">
        <f>E174*D178</f>
        <v>0.0012</v>
      </c>
      <c r="F178" s="171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  <c r="Q178" s="144"/>
      <c r="R178" s="144"/>
      <c r="S178" s="144"/>
      <c r="T178" s="144"/>
      <c r="U178" s="144"/>
      <c r="V178" s="144"/>
      <c r="W178" s="144"/>
      <c r="X178" s="144"/>
      <c r="Y178" s="144"/>
      <c r="Z178" s="144"/>
      <c r="AA178" s="144"/>
      <c r="AB178" s="144"/>
      <c r="AC178" s="144"/>
      <c r="AD178" s="144"/>
      <c r="AE178" s="144"/>
      <c r="AF178" s="144"/>
      <c r="AG178" s="144"/>
      <c r="AH178" s="144"/>
      <c r="AI178" s="144"/>
      <c r="AJ178" s="144"/>
      <c r="AK178" s="144"/>
      <c r="AL178" s="144"/>
      <c r="AM178" s="144"/>
      <c r="AN178" s="144"/>
      <c r="AO178" s="144"/>
      <c r="AP178" s="144"/>
      <c r="AQ178" s="144"/>
      <c r="AR178" s="144"/>
      <c r="AS178" s="144"/>
      <c r="AT178" s="144"/>
      <c r="AU178" s="144"/>
      <c r="AV178" s="144"/>
      <c r="AW178" s="144"/>
      <c r="AX178" s="144"/>
      <c r="AY178" s="144"/>
      <c r="AZ178" s="144"/>
      <c r="BA178" s="144"/>
      <c r="BB178" s="144"/>
      <c r="BC178" s="144"/>
      <c r="BD178" s="144"/>
      <c r="BE178" s="144"/>
      <c r="BF178" s="144"/>
      <c r="BG178" s="144"/>
      <c r="BH178" s="144"/>
      <c r="BI178" s="144"/>
      <c r="BJ178" s="144"/>
      <c r="BK178" s="144"/>
      <c r="BL178" s="144"/>
      <c r="BM178" s="144"/>
      <c r="BN178" s="144"/>
      <c r="BO178" s="144"/>
      <c r="BP178" s="144"/>
      <c r="BQ178" s="144"/>
      <c r="BR178" s="144"/>
      <c r="BS178" s="144"/>
      <c r="BT178" s="144"/>
      <c r="BU178" s="144"/>
      <c r="BV178" s="144"/>
      <c r="BW178" s="144"/>
      <c r="BX178" s="144"/>
      <c r="BY178" s="144"/>
      <c r="BZ178" s="144"/>
      <c r="CA178" s="144"/>
      <c r="CB178" s="144"/>
      <c r="CC178" s="144"/>
      <c r="CD178" s="144"/>
      <c r="CE178" s="144"/>
      <c r="CF178" s="144"/>
      <c r="CG178" s="144"/>
      <c r="CH178" s="144"/>
      <c r="CI178" s="144"/>
      <c r="CJ178" s="144"/>
      <c r="CK178" s="144"/>
      <c r="CL178" s="144"/>
      <c r="CM178" s="144"/>
      <c r="CN178" s="144"/>
      <c r="CO178" s="144"/>
      <c r="CP178" s="144"/>
      <c r="CQ178" s="144"/>
      <c r="CR178" s="144"/>
      <c r="CS178" s="144"/>
      <c r="CT178" s="144"/>
      <c r="CU178" s="144"/>
      <c r="CV178" s="144"/>
      <c r="CW178" s="144"/>
      <c r="CX178" s="144"/>
      <c r="CY178" s="144"/>
      <c r="CZ178" s="144"/>
      <c r="DA178" s="144"/>
      <c r="DB178" s="144"/>
      <c r="DC178" s="144"/>
      <c r="DD178" s="144"/>
      <c r="DE178" s="144"/>
      <c r="DF178" s="144"/>
      <c r="DG178" s="144"/>
      <c r="DH178" s="144"/>
      <c r="DI178" s="144"/>
      <c r="DJ178" s="144"/>
      <c r="DK178" s="144"/>
      <c r="DL178" s="144"/>
      <c r="DM178" s="144"/>
      <c r="DN178" s="144"/>
      <c r="DO178" s="144"/>
      <c r="DP178" s="144"/>
      <c r="DQ178" s="144"/>
      <c r="DR178" s="144"/>
      <c r="DS178" s="144"/>
      <c r="DT178" s="144"/>
      <c r="DU178" s="144"/>
      <c r="DV178" s="144"/>
      <c r="DW178" s="144"/>
      <c r="DX178" s="144"/>
      <c r="DY178" s="144"/>
      <c r="DZ178" s="144"/>
      <c r="EA178" s="144"/>
      <c r="EB178" s="144"/>
      <c r="EC178" s="144"/>
      <c r="ED178" s="144"/>
      <c r="EE178" s="144"/>
      <c r="EF178" s="144"/>
      <c r="EG178" s="144"/>
      <c r="EH178" s="144"/>
      <c r="EI178" s="144"/>
      <c r="EJ178" s="144"/>
      <c r="EK178" s="144"/>
      <c r="EL178" s="144"/>
      <c r="EM178" s="144"/>
      <c r="EN178" s="144"/>
      <c r="EO178" s="144"/>
      <c r="EP178" s="144"/>
      <c r="EQ178" s="144"/>
      <c r="ER178" s="144"/>
      <c r="ES178" s="144"/>
      <c r="ET178" s="144"/>
      <c r="EU178" s="144"/>
      <c r="EV178" s="144"/>
      <c r="EW178" s="144"/>
      <c r="EX178" s="144"/>
      <c r="EY178" s="144"/>
      <c r="EZ178" s="144"/>
      <c r="FA178" s="144"/>
      <c r="FB178" s="144"/>
      <c r="FC178" s="144"/>
      <c r="FD178" s="144"/>
      <c r="FE178" s="144"/>
      <c r="FF178" s="144"/>
      <c r="FG178" s="144"/>
      <c r="FH178" s="144"/>
      <c r="FI178" s="144"/>
      <c r="FJ178" s="144"/>
      <c r="FK178" s="144"/>
      <c r="FL178" s="144"/>
      <c r="FM178" s="144"/>
      <c r="FN178" s="144"/>
      <c r="FO178" s="144"/>
      <c r="FP178" s="144"/>
      <c r="FQ178" s="144"/>
      <c r="FR178" s="144"/>
      <c r="FS178" s="144"/>
      <c r="FT178" s="144"/>
      <c r="FU178" s="144"/>
      <c r="FV178" s="144"/>
      <c r="FW178" s="144"/>
      <c r="FX178" s="144"/>
      <c r="FY178" s="144"/>
      <c r="FZ178" s="144"/>
      <c r="GA178" s="144"/>
      <c r="GB178" s="144"/>
      <c r="GC178" s="144"/>
      <c r="GD178" s="144"/>
      <c r="GE178" s="144"/>
      <c r="GF178" s="144"/>
      <c r="GG178" s="144"/>
      <c r="GH178" s="144"/>
      <c r="GI178" s="144"/>
      <c r="GJ178" s="144"/>
      <c r="GK178" s="144"/>
      <c r="GL178" s="144"/>
      <c r="GM178" s="144"/>
      <c r="GN178" s="144"/>
      <c r="GO178" s="144"/>
      <c r="GP178" s="144"/>
      <c r="GQ178" s="144"/>
      <c r="GR178" s="144"/>
      <c r="GS178" s="144"/>
      <c r="GT178" s="144"/>
      <c r="GU178" s="144"/>
      <c r="GV178" s="144"/>
      <c r="GW178" s="144"/>
      <c r="GX178" s="144"/>
      <c r="GY178" s="144"/>
      <c r="GZ178" s="144"/>
      <c r="HA178" s="144"/>
      <c r="HB178" s="144"/>
      <c r="HC178" s="144"/>
      <c r="HD178" s="144"/>
      <c r="HE178" s="144"/>
      <c r="HF178" s="144"/>
      <c r="HG178" s="144"/>
      <c r="HH178" s="144"/>
      <c r="HI178" s="144"/>
      <c r="HJ178" s="144"/>
      <c r="HK178" s="144"/>
      <c r="HL178" s="144"/>
      <c r="HM178" s="144"/>
      <c r="HN178" s="144"/>
      <c r="HO178" s="144"/>
      <c r="HP178" s="144"/>
      <c r="HQ178" s="144"/>
      <c r="HR178" s="144"/>
      <c r="HS178" s="144"/>
      <c r="HT178" s="144"/>
      <c r="HU178" s="144"/>
      <c r="HV178" s="144"/>
      <c r="HW178" s="144"/>
      <c r="HX178" s="144"/>
      <c r="HY178" s="144"/>
      <c r="HZ178" s="144"/>
      <c r="IA178" s="144"/>
      <c r="IB178" s="144"/>
      <c r="IC178" s="144"/>
      <c r="ID178" s="144"/>
      <c r="IE178" s="144"/>
      <c r="IF178" s="144"/>
      <c r="IG178" s="144"/>
      <c r="IH178" s="144"/>
      <c r="II178" s="144"/>
      <c r="IJ178" s="144"/>
      <c r="IK178" s="144"/>
      <c r="IL178" s="144"/>
      <c r="IM178" s="144"/>
    </row>
    <row r="179" spans="1:6" s="110" customFormat="1" ht="30">
      <c r="A179" s="115">
        <f>A174+1</f>
        <v>43</v>
      </c>
      <c r="B179" s="97" t="s">
        <v>334</v>
      </c>
      <c r="C179" s="37" t="s">
        <v>188</v>
      </c>
      <c r="D179" s="97"/>
      <c r="E179" s="41">
        <f>E174</f>
        <v>0.06</v>
      </c>
      <c r="F179" s="171"/>
    </row>
    <row r="180" spans="1:6" s="110" customFormat="1" ht="15">
      <c r="A180" s="42"/>
      <c r="B180" s="37" t="s">
        <v>317</v>
      </c>
      <c r="C180" s="37" t="s">
        <v>152</v>
      </c>
      <c r="D180" s="97">
        <f>12.9/1000</f>
        <v>0.0129</v>
      </c>
      <c r="E180" s="75">
        <f>D180*E179</f>
        <v>0.000774</v>
      </c>
      <c r="F180" s="171"/>
    </row>
    <row r="181" spans="1:6" s="110" customFormat="1" ht="15.75">
      <c r="A181" s="169">
        <f>A173+1</f>
        <v>42</v>
      </c>
      <c r="B181" s="37" t="s">
        <v>347</v>
      </c>
      <c r="C181" s="97" t="s">
        <v>188</v>
      </c>
      <c r="D181" s="97"/>
      <c r="E181" s="41">
        <v>0.26</v>
      </c>
      <c r="F181" s="171"/>
    </row>
    <row r="182" spans="1:6" s="110" customFormat="1" ht="15">
      <c r="A182" s="116"/>
      <c r="B182" s="37" t="s">
        <v>149</v>
      </c>
      <c r="C182" s="37" t="s">
        <v>58</v>
      </c>
      <c r="D182" s="97">
        <v>1.37</v>
      </c>
      <c r="E182" s="42">
        <f>D182*E181</f>
        <v>0.3562</v>
      </c>
      <c r="F182" s="171"/>
    </row>
    <row r="183" spans="1:6" s="110" customFormat="1" ht="15">
      <c r="A183" s="116"/>
      <c r="B183" s="37" t="s">
        <v>56</v>
      </c>
      <c r="C183" s="41" t="s">
        <v>51</v>
      </c>
      <c r="D183" s="97">
        <v>0.283</v>
      </c>
      <c r="E183" s="42">
        <f>D183*E181</f>
        <v>0.07357999999999999</v>
      </c>
      <c r="F183" s="171"/>
    </row>
    <row r="184" spans="1:6" s="110" customFormat="1" ht="15.75">
      <c r="A184" s="116"/>
      <c r="B184" s="37" t="s">
        <v>348</v>
      </c>
      <c r="C184" s="37" t="s">
        <v>188</v>
      </c>
      <c r="D184" s="97">
        <v>1.02</v>
      </c>
      <c r="E184" s="42">
        <f>D184*E181</f>
        <v>0.2652</v>
      </c>
      <c r="F184" s="171"/>
    </row>
    <row r="185" spans="1:6" s="110" customFormat="1" ht="15">
      <c r="A185" s="116"/>
      <c r="B185" s="37" t="s">
        <v>57</v>
      </c>
      <c r="C185" s="37" t="s">
        <v>51</v>
      </c>
      <c r="D185" s="97">
        <v>0.62</v>
      </c>
      <c r="E185" s="42">
        <f>D185*E181</f>
        <v>0.1612</v>
      </c>
      <c r="F185" s="171"/>
    </row>
    <row r="186" spans="1:6" s="146" customFormat="1" ht="30">
      <c r="A186" s="173">
        <f>A181+1</f>
        <v>43</v>
      </c>
      <c r="B186" s="41" t="s">
        <v>343</v>
      </c>
      <c r="C186" s="41" t="s">
        <v>156</v>
      </c>
      <c r="D186" s="41"/>
      <c r="E186" s="75">
        <f>58/1000</f>
        <v>0.058</v>
      </c>
      <c r="F186" s="171"/>
    </row>
    <row r="187" spans="1:6" s="146" customFormat="1" ht="15">
      <c r="A187" s="78"/>
      <c r="B187" s="41" t="s">
        <v>137</v>
      </c>
      <c r="C187" s="41" t="s">
        <v>58</v>
      </c>
      <c r="D187" s="49">
        <v>9.15</v>
      </c>
      <c r="E187" s="49">
        <f>E186*D187</f>
        <v>0.5307000000000001</v>
      </c>
      <c r="F187" s="171"/>
    </row>
    <row r="188" spans="1:6" s="146" customFormat="1" ht="15">
      <c r="A188" s="78"/>
      <c r="B188" s="41" t="s">
        <v>148</v>
      </c>
      <c r="C188" s="41" t="s">
        <v>51</v>
      </c>
      <c r="D188" s="49">
        <v>1.92</v>
      </c>
      <c r="E188" s="49">
        <f>E186*D188</f>
        <v>0.11136</v>
      </c>
      <c r="F188" s="171"/>
    </row>
    <row r="189" spans="1:6" s="146" customFormat="1" ht="15">
      <c r="A189" s="78"/>
      <c r="B189" s="119" t="s">
        <v>268</v>
      </c>
      <c r="C189" s="49" t="s">
        <v>151</v>
      </c>
      <c r="D189" s="49">
        <v>0.6</v>
      </c>
      <c r="E189" s="49">
        <f>E186*D189</f>
        <v>0.0348</v>
      </c>
      <c r="F189" s="171"/>
    </row>
    <row r="190" spans="1:8" s="146" customFormat="1" ht="15">
      <c r="A190" s="78"/>
      <c r="B190" s="49" t="s">
        <v>269</v>
      </c>
      <c r="C190" s="49" t="s">
        <v>151</v>
      </c>
      <c r="D190" s="49">
        <v>0.75</v>
      </c>
      <c r="E190" s="49">
        <f>E186*D190</f>
        <v>0.043500000000000004</v>
      </c>
      <c r="F190" s="171"/>
      <c r="G190" s="147"/>
      <c r="H190" s="147"/>
    </row>
    <row r="191" spans="1:8" s="146" customFormat="1" ht="15">
      <c r="A191" s="78"/>
      <c r="B191" s="41" t="s">
        <v>349</v>
      </c>
      <c r="C191" s="41" t="s">
        <v>138</v>
      </c>
      <c r="D191" s="41" t="s">
        <v>140</v>
      </c>
      <c r="E191" s="49">
        <v>9.2</v>
      </c>
      <c r="F191" s="171"/>
      <c r="G191" s="147"/>
      <c r="H191" s="147"/>
    </row>
    <row r="192" spans="1:6" s="146" customFormat="1" ht="15">
      <c r="A192" s="78"/>
      <c r="B192" s="49" t="s">
        <v>143</v>
      </c>
      <c r="C192" s="49" t="s">
        <v>144</v>
      </c>
      <c r="D192" s="49">
        <v>2</v>
      </c>
      <c r="E192" s="49">
        <f>E186*D192</f>
        <v>0.116</v>
      </c>
      <c r="F192" s="171"/>
    </row>
    <row r="193" spans="1:6" s="146" customFormat="1" ht="15">
      <c r="A193" s="78"/>
      <c r="B193" s="49" t="s">
        <v>145</v>
      </c>
      <c r="C193" s="49" t="s">
        <v>51</v>
      </c>
      <c r="D193" s="49">
        <v>2.78</v>
      </c>
      <c r="E193" s="49">
        <f>E186*D193</f>
        <v>0.16124</v>
      </c>
      <c r="F193" s="171"/>
    </row>
    <row r="194" spans="1:6" s="146" customFormat="1" ht="15.75">
      <c r="A194" s="174">
        <f>A186+1</f>
        <v>44</v>
      </c>
      <c r="B194" s="97" t="s">
        <v>161</v>
      </c>
      <c r="C194" s="97" t="s">
        <v>174</v>
      </c>
      <c r="D194" s="97"/>
      <c r="E194" s="41">
        <v>2.57</v>
      </c>
      <c r="F194" s="171"/>
    </row>
    <row r="195" spans="1:6" s="146" customFormat="1" ht="15">
      <c r="A195" s="37"/>
      <c r="B195" s="37" t="s">
        <v>149</v>
      </c>
      <c r="C195" s="37" t="s">
        <v>58</v>
      </c>
      <c r="D195" s="148">
        <v>0.031</v>
      </c>
      <c r="E195" s="41">
        <f>E194*D195</f>
        <v>0.07966999999999999</v>
      </c>
      <c r="F195" s="171"/>
    </row>
    <row r="196" spans="1:6" s="146" customFormat="1" ht="15">
      <c r="A196" s="37"/>
      <c r="B196" s="37" t="s">
        <v>56</v>
      </c>
      <c r="C196" s="41" t="s">
        <v>51</v>
      </c>
      <c r="D196" s="148">
        <v>0.002</v>
      </c>
      <c r="E196" s="41">
        <f>E194*D196</f>
        <v>0.00514</v>
      </c>
      <c r="F196" s="171"/>
    </row>
    <row r="197" spans="1:6" s="146" customFormat="1" ht="15">
      <c r="A197" s="37"/>
      <c r="B197" s="97" t="s">
        <v>153</v>
      </c>
      <c r="C197" s="97" t="s">
        <v>144</v>
      </c>
      <c r="D197" s="148">
        <v>0.086</v>
      </c>
      <c r="E197" s="41">
        <f>E194*D197</f>
        <v>0.22101999999999997</v>
      </c>
      <c r="F197" s="171"/>
    </row>
    <row r="198" spans="1:6" s="146" customFormat="1" ht="15">
      <c r="A198" s="37"/>
      <c r="B198" s="97" t="s">
        <v>154</v>
      </c>
      <c r="C198" s="97" t="s">
        <v>144</v>
      </c>
      <c r="D198" s="148">
        <v>0.015</v>
      </c>
      <c r="E198" s="41">
        <f>E194*D198</f>
        <v>0.038549999999999994</v>
      </c>
      <c r="F198" s="171"/>
    </row>
    <row r="199" spans="1:6" s="146" customFormat="1" ht="30">
      <c r="A199" s="174">
        <f>A194+1</f>
        <v>45</v>
      </c>
      <c r="B199" s="140" t="s">
        <v>270</v>
      </c>
      <c r="C199" s="97" t="s">
        <v>174</v>
      </c>
      <c r="D199" s="140"/>
      <c r="E199" s="175">
        <f>E194</f>
        <v>2.57</v>
      </c>
      <c r="F199" s="171"/>
    </row>
    <row r="200" spans="1:6" s="146" customFormat="1" ht="15">
      <c r="A200" s="97"/>
      <c r="B200" s="48" t="s">
        <v>139</v>
      </c>
      <c r="C200" s="48" t="s">
        <v>58</v>
      </c>
      <c r="D200" s="132">
        <v>0.68</v>
      </c>
      <c r="E200" s="149">
        <f>E199*D200</f>
        <v>1.7476</v>
      </c>
      <c r="F200" s="171"/>
    </row>
    <row r="201" spans="1:6" s="146" customFormat="1" ht="15">
      <c r="A201" s="97"/>
      <c r="B201" s="48" t="s">
        <v>142</v>
      </c>
      <c r="C201" s="48" t="s">
        <v>51</v>
      </c>
      <c r="D201" s="132">
        <v>0.0003</v>
      </c>
      <c r="E201" s="149">
        <f>E199*D201</f>
        <v>0.0007709999999999999</v>
      </c>
      <c r="F201" s="171"/>
    </row>
    <row r="202" spans="1:6" s="146" customFormat="1" ht="15">
      <c r="A202" s="97"/>
      <c r="B202" s="97" t="s">
        <v>146</v>
      </c>
      <c r="C202" s="132" t="s">
        <v>144</v>
      </c>
      <c r="D202" s="75">
        <v>0.251</v>
      </c>
      <c r="E202" s="149">
        <f>E199*D202</f>
        <v>0.6450699999999999</v>
      </c>
      <c r="F202" s="171"/>
    </row>
    <row r="203" spans="1:6" s="146" customFormat="1" ht="15">
      <c r="A203" s="97"/>
      <c r="B203" s="132" t="s">
        <v>147</v>
      </c>
      <c r="C203" s="132" t="s">
        <v>144</v>
      </c>
      <c r="D203" s="132">
        <v>0.027</v>
      </c>
      <c r="E203" s="149">
        <f>E199*D203</f>
        <v>0.06939</v>
      </c>
      <c r="F203" s="171"/>
    </row>
    <row r="204" spans="1:6" s="146" customFormat="1" ht="15">
      <c r="A204" s="97"/>
      <c r="B204" s="48" t="s">
        <v>145</v>
      </c>
      <c r="C204" s="48" t="s">
        <v>51</v>
      </c>
      <c r="D204" s="132">
        <v>0.0019</v>
      </c>
      <c r="E204" s="149">
        <f>E199*D204</f>
        <v>0.004882999999999999</v>
      </c>
      <c r="F204" s="171"/>
    </row>
    <row r="205" spans="1:6" s="77" customFormat="1" ht="15">
      <c r="A205" s="223" t="s">
        <v>240</v>
      </c>
      <c r="B205" s="224"/>
      <c r="C205" s="224"/>
      <c r="D205" s="224"/>
      <c r="E205" s="225"/>
      <c r="F205" s="171"/>
    </row>
    <row r="206" spans="1:6" s="45" customFormat="1" ht="30">
      <c r="A206" s="78">
        <v>1</v>
      </c>
      <c r="B206" s="97" t="s">
        <v>241</v>
      </c>
      <c r="C206" s="97" t="s">
        <v>188</v>
      </c>
      <c r="D206" s="41"/>
      <c r="E206" s="41">
        <v>15.51</v>
      </c>
      <c r="F206" s="171"/>
    </row>
    <row r="207" spans="1:6" s="45" customFormat="1" ht="15">
      <c r="A207" s="78"/>
      <c r="B207" s="97" t="s">
        <v>139</v>
      </c>
      <c r="C207" s="100" t="s">
        <v>58</v>
      </c>
      <c r="D207" s="100">
        <v>3.36</v>
      </c>
      <c r="E207" s="41">
        <f>E206*D207</f>
        <v>52.1136</v>
      </c>
      <c r="F207" s="171"/>
    </row>
    <row r="208" spans="1:6" s="45" customFormat="1" ht="15">
      <c r="A208" s="78"/>
      <c r="B208" s="97" t="s">
        <v>148</v>
      </c>
      <c r="C208" s="100" t="s">
        <v>51</v>
      </c>
      <c r="D208" s="100">
        <v>0.92</v>
      </c>
      <c r="E208" s="100">
        <f>E206*D208</f>
        <v>14.2692</v>
      </c>
      <c r="F208" s="171"/>
    </row>
    <row r="209" spans="1:6" s="45" customFormat="1" ht="15.75">
      <c r="A209" s="78"/>
      <c r="B209" s="97" t="s">
        <v>194</v>
      </c>
      <c r="C209" s="100" t="s">
        <v>188</v>
      </c>
      <c r="D209" s="100">
        <v>0.11</v>
      </c>
      <c r="E209" s="100">
        <f>E206*D209</f>
        <v>1.7061</v>
      </c>
      <c r="F209" s="171"/>
    </row>
    <row r="210" spans="1:6" s="45" customFormat="1" ht="15">
      <c r="A210" s="78"/>
      <c r="B210" s="97" t="s">
        <v>350</v>
      </c>
      <c r="C210" s="100" t="s">
        <v>155</v>
      </c>
      <c r="D210" s="100">
        <v>62.5</v>
      </c>
      <c r="E210" s="42">
        <f>E206*D210</f>
        <v>969.375</v>
      </c>
      <c r="F210" s="171"/>
    </row>
    <row r="211" spans="1:6" s="45" customFormat="1" ht="15">
      <c r="A211" s="78"/>
      <c r="B211" s="97" t="s">
        <v>166</v>
      </c>
      <c r="C211" s="100" t="s">
        <v>51</v>
      </c>
      <c r="D211" s="100">
        <v>0.16</v>
      </c>
      <c r="E211" s="100">
        <f>E206*D211</f>
        <v>2.4816</v>
      </c>
      <c r="F211" s="171"/>
    </row>
    <row r="212" spans="1:6" s="45" customFormat="1" ht="30">
      <c r="A212" s="78">
        <f>A206+1</f>
        <v>2</v>
      </c>
      <c r="B212" s="97" t="s">
        <v>286</v>
      </c>
      <c r="C212" s="48" t="s">
        <v>174</v>
      </c>
      <c r="D212" s="41"/>
      <c r="E212" s="41">
        <v>77.36</v>
      </c>
      <c r="F212" s="171"/>
    </row>
    <row r="213" spans="1:6" s="45" customFormat="1" ht="15">
      <c r="A213" s="97"/>
      <c r="B213" s="97" t="s">
        <v>162</v>
      </c>
      <c r="C213" s="97" t="s">
        <v>58</v>
      </c>
      <c r="D213" s="41">
        <f>101/100</f>
        <v>1.01</v>
      </c>
      <c r="E213" s="41">
        <f>D213*E212</f>
        <v>78.1336</v>
      </c>
      <c r="F213" s="171"/>
    </row>
    <row r="214" spans="1:6" s="45" customFormat="1" ht="15">
      <c r="A214" s="97"/>
      <c r="B214" s="97" t="s">
        <v>245</v>
      </c>
      <c r="C214" s="97" t="s">
        <v>151</v>
      </c>
      <c r="D214" s="75">
        <f>4.1/100</f>
        <v>0.040999999999999995</v>
      </c>
      <c r="E214" s="41">
        <f>D214*E212</f>
        <v>3.1717599999999995</v>
      </c>
      <c r="F214" s="171"/>
    </row>
    <row r="215" spans="1:6" s="45" customFormat="1" ht="15">
      <c r="A215" s="97"/>
      <c r="B215" s="97" t="s">
        <v>163</v>
      </c>
      <c r="C215" s="97" t="s">
        <v>51</v>
      </c>
      <c r="D215" s="41">
        <f>2.7/100</f>
        <v>0.027000000000000003</v>
      </c>
      <c r="E215" s="41">
        <f>D215*E212</f>
        <v>2.0887200000000004</v>
      </c>
      <c r="F215" s="171"/>
    </row>
    <row r="216" spans="1:6" s="45" customFormat="1" ht="15.75">
      <c r="A216" s="97"/>
      <c r="B216" s="97" t="s">
        <v>164</v>
      </c>
      <c r="C216" s="100" t="s">
        <v>188</v>
      </c>
      <c r="D216" s="74">
        <f>(2.12+0.26)/100</f>
        <v>0.023799999999999998</v>
      </c>
      <c r="E216" s="41">
        <f>D216*E212</f>
        <v>1.841168</v>
      </c>
      <c r="F216" s="171"/>
    </row>
    <row r="217" spans="1:6" s="45" customFormat="1" ht="15">
      <c r="A217" s="97"/>
      <c r="B217" s="97" t="s">
        <v>165</v>
      </c>
      <c r="C217" s="97" t="s">
        <v>51</v>
      </c>
      <c r="D217" s="41">
        <f>0.3/100</f>
        <v>0.003</v>
      </c>
      <c r="E217" s="41">
        <f>D217*E212</f>
        <v>0.23208</v>
      </c>
      <c r="F217" s="171"/>
    </row>
    <row r="218" spans="1:6" s="151" customFormat="1" ht="60">
      <c r="A218" s="173">
        <f>A212+1</f>
        <v>3</v>
      </c>
      <c r="B218" s="97" t="s">
        <v>353</v>
      </c>
      <c r="C218" s="48" t="s">
        <v>174</v>
      </c>
      <c r="D218" s="48"/>
      <c r="E218" s="49">
        <f>E212</f>
        <v>77.36</v>
      </c>
      <c r="F218" s="171"/>
    </row>
    <row r="219" spans="1:6" s="47" customFormat="1" ht="15">
      <c r="A219" s="48"/>
      <c r="B219" s="48" t="s">
        <v>139</v>
      </c>
      <c r="C219" s="48" t="s">
        <v>58</v>
      </c>
      <c r="D219" s="48">
        <f>65.8/100</f>
        <v>0.6579999999999999</v>
      </c>
      <c r="E219" s="49">
        <f>E218*D219</f>
        <v>50.902879999999996</v>
      </c>
      <c r="F219" s="171"/>
    </row>
    <row r="220" spans="1:6" s="47" customFormat="1" ht="15">
      <c r="A220" s="48"/>
      <c r="B220" s="48" t="s">
        <v>142</v>
      </c>
      <c r="C220" s="48" t="s">
        <v>51</v>
      </c>
      <c r="D220" s="48">
        <f>1/100</f>
        <v>0.01</v>
      </c>
      <c r="E220" s="48">
        <f>E218*D220</f>
        <v>0.7736000000000001</v>
      </c>
      <c r="F220" s="171"/>
    </row>
    <row r="221" spans="1:6" s="47" customFormat="1" ht="15">
      <c r="A221" s="48"/>
      <c r="B221" s="48" t="s">
        <v>246</v>
      </c>
      <c r="C221" s="48" t="s">
        <v>144</v>
      </c>
      <c r="D221" s="48">
        <f>63/100</f>
        <v>0.63</v>
      </c>
      <c r="E221" s="49">
        <f>E218*D221</f>
        <v>48.7368</v>
      </c>
      <c r="F221" s="171"/>
    </row>
    <row r="222" spans="1:6" s="47" customFormat="1" ht="15">
      <c r="A222" s="48"/>
      <c r="B222" s="48" t="s">
        <v>247</v>
      </c>
      <c r="C222" s="48" t="s">
        <v>144</v>
      </c>
      <c r="D222" s="48">
        <f>79/100</f>
        <v>0.79</v>
      </c>
      <c r="E222" s="49">
        <f>E218*D222</f>
        <v>61.1144</v>
      </c>
      <c r="F222" s="171"/>
    </row>
    <row r="223" spans="1:6" s="47" customFormat="1" ht="15.75">
      <c r="A223" s="48"/>
      <c r="B223" s="48" t="s">
        <v>299</v>
      </c>
      <c r="C223" s="48" t="s">
        <v>174</v>
      </c>
      <c r="D223" s="48">
        <v>1.02</v>
      </c>
      <c r="E223" s="49">
        <f>E218*D223</f>
        <v>78.9072</v>
      </c>
      <c r="F223" s="171"/>
    </row>
    <row r="224" spans="1:6" s="47" customFormat="1" ht="15">
      <c r="A224" s="48"/>
      <c r="B224" s="48" t="s">
        <v>145</v>
      </c>
      <c r="C224" s="48" t="s">
        <v>51</v>
      </c>
      <c r="D224" s="48">
        <f>1.6/100</f>
        <v>0.016</v>
      </c>
      <c r="E224" s="49">
        <f>E218*D224</f>
        <v>1.23776</v>
      </c>
      <c r="F224" s="171"/>
    </row>
    <row r="225" spans="1:6" s="77" customFormat="1" ht="15">
      <c r="A225" s="223" t="s">
        <v>238</v>
      </c>
      <c r="B225" s="224"/>
      <c r="C225" s="224"/>
      <c r="D225" s="224"/>
      <c r="E225" s="225"/>
      <c r="F225" s="171"/>
    </row>
    <row r="226" spans="1:244" s="47" customFormat="1" ht="30">
      <c r="A226" s="176">
        <v>1</v>
      </c>
      <c r="B226" s="121" t="s">
        <v>352</v>
      </c>
      <c r="C226" s="121" t="s">
        <v>174</v>
      </c>
      <c r="D226" s="121"/>
      <c r="E226" s="125">
        <v>3.7</v>
      </c>
      <c r="F226" s="171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20"/>
      <c r="AV226" s="120"/>
      <c r="AW226" s="120"/>
      <c r="AX226" s="120"/>
      <c r="AY226" s="120"/>
      <c r="AZ226" s="120"/>
      <c r="BA226" s="120"/>
      <c r="BB226" s="120"/>
      <c r="BC226" s="120"/>
      <c r="BD226" s="120"/>
      <c r="BE226" s="120"/>
      <c r="BF226" s="120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20"/>
      <c r="BS226" s="120"/>
      <c r="BT226" s="120"/>
      <c r="BU226" s="120"/>
      <c r="BV226" s="120"/>
      <c r="BW226" s="120"/>
      <c r="BX226" s="120"/>
      <c r="BY226" s="120"/>
      <c r="BZ226" s="120"/>
      <c r="CA226" s="120"/>
      <c r="CB226" s="120"/>
      <c r="CC226" s="120"/>
      <c r="CD226" s="120"/>
      <c r="CE226" s="120"/>
      <c r="CF226" s="120"/>
      <c r="CG226" s="120"/>
      <c r="CH226" s="120"/>
      <c r="CI226" s="120"/>
      <c r="CJ226" s="120"/>
      <c r="CK226" s="120"/>
      <c r="CL226" s="120"/>
      <c r="CM226" s="120"/>
      <c r="CN226" s="120"/>
      <c r="CO226" s="120"/>
      <c r="CP226" s="120"/>
      <c r="CQ226" s="120"/>
      <c r="CR226" s="120"/>
      <c r="CS226" s="120"/>
      <c r="CT226" s="120"/>
      <c r="CU226" s="120"/>
      <c r="CV226" s="120"/>
      <c r="CW226" s="120"/>
      <c r="CX226" s="120"/>
      <c r="CY226" s="120"/>
      <c r="CZ226" s="120"/>
      <c r="DA226" s="120"/>
      <c r="DB226" s="120"/>
      <c r="DC226" s="120"/>
      <c r="DD226" s="120"/>
      <c r="DE226" s="120"/>
      <c r="DF226" s="120"/>
      <c r="DG226" s="120"/>
      <c r="DH226" s="120"/>
      <c r="DI226" s="120"/>
      <c r="DJ226" s="120"/>
      <c r="DK226" s="120"/>
      <c r="DL226" s="120"/>
      <c r="DM226" s="120"/>
      <c r="DN226" s="120"/>
      <c r="DO226" s="120"/>
      <c r="DP226" s="120"/>
      <c r="DQ226" s="120"/>
      <c r="DR226" s="120"/>
      <c r="DS226" s="120"/>
      <c r="DT226" s="120"/>
      <c r="DU226" s="120"/>
      <c r="DV226" s="120"/>
      <c r="DW226" s="120"/>
      <c r="DX226" s="120"/>
      <c r="DY226" s="120"/>
      <c r="DZ226" s="120"/>
      <c r="EA226" s="120"/>
      <c r="EB226" s="120"/>
      <c r="EC226" s="120"/>
      <c r="ED226" s="120"/>
      <c r="EE226" s="120"/>
      <c r="EF226" s="120"/>
      <c r="EG226" s="120"/>
      <c r="EH226" s="120"/>
      <c r="EI226" s="120"/>
      <c r="EJ226" s="120"/>
      <c r="EK226" s="120"/>
      <c r="EL226" s="120"/>
      <c r="EM226" s="120"/>
      <c r="EN226" s="120"/>
      <c r="EO226" s="120"/>
      <c r="EP226" s="120"/>
      <c r="EQ226" s="120"/>
      <c r="ER226" s="120"/>
      <c r="ES226" s="120"/>
      <c r="ET226" s="120"/>
      <c r="EU226" s="120"/>
      <c r="EV226" s="120"/>
      <c r="EW226" s="120"/>
      <c r="EX226" s="120"/>
      <c r="EY226" s="120"/>
      <c r="EZ226" s="120"/>
      <c r="FA226" s="120"/>
      <c r="FB226" s="120"/>
      <c r="FC226" s="120"/>
      <c r="FD226" s="120"/>
      <c r="FE226" s="120"/>
      <c r="FF226" s="120"/>
      <c r="FG226" s="120"/>
      <c r="FH226" s="120"/>
      <c r="FI226" s="120"/>
      <c r="FJ226" s="120"/>
      <c r="FK226" s="120"/>
      <c r="FL226" s="120"/>
      <c r="FM226" s="120"/>
      <c r="FN226" s="120"/>
      <c r="FO226" s="120"/>
      <c r="FP226" s="120"/>
      <c r="FQ226" s="120"/>
      <c r="FR226" s="120"/>
      <c r="FS226" s="120"/>
      <c r="FT226" s="120"/>
      <c r="FU226" s="120"/>
      <c r="FV226" s="120"/>
      <c r="FW226" s="120"/>
      <c r="FX226" s="120"/>
      <c r="FY226" s="120"/>
      <c r="FZ226" s="120"/>
      <c r="GA226" s="120"/>
      <c r="GB226" s="120"/>
      <c r="GC226" s="120"/>
      <c r="GD226" s="120"/>
      <c r="GE226" s="120"/>
      <c r="GF226" s="120"/>
      <c r="GG226" s="120"/>
      <c r="GH226" s="120"/>
      <c r="GI226" s="120"/>
      <c r="GJ226" s="120"/>
      <c r="GK226" s="120"/>
      <c r="GL226" s="120"/>
      <c r="GM226" s="120"/>
      <c r="GN226" s="120"/>
      <c r="GO226" s="120"/>
      <c r="GP226" s="120"/>
      <c r="GQ226" s="120"/>
      <c r="GR226" s="120"/>
      <c r="GS226" s="120"/>
      <c r="GT226" s="120"/>
      <c r="GU226" s="120"/>
      <c r="GV226" s="120"/>
      <c r="GW226" s="120"/>
      <c r="GX226" s="120"/>
      <c r="GY226" s="120"/>
      <c r="GZ226" s="120"/>
      <c r="HA226" s="120"/>
      <c r="HB226" s="120"/>
      <c r="HC226" s="120"/>
      <c r="HD226" s="120"/>
      <c r="HE226" s="120"/>
      <c r="HF226" s="120"/>
      <c r="HG226" s="120"/>
      <c r="HH226" s="120"/>
      <c r="HI226" s="120"/>
      <c r="HJ226" s="120"/>
      <c r="HK226" s="120"/>
      <c r="HL226" s="120"/>
      <c r="HM226" s="120"/>
      <c r="HN226" s="120"/>
      <c r="HO226" s="120"/>
      <c r="HP226" s="120"/>
      <c r="HQ226" s="120"/>
      <c r="HR226" s="120"/>
      <c r="HS226" s="120"/>
      <c r="HT226" s="120"/>
      <c r="HU226" s="120"/>
      <c r="HV226" s="120"/>
      <c r="HW226" s="120"/>
      <c r="HX226" s="120"/>
      <c r="HY226" s="120"/>
      <c r="HZ226" s="120"/>
      <c r="IA226" s="120"/>
      <c r="IB226" s="120"/>
      <c r="IC226" s="120"/>
      <c r="ID226" s="120"/>
      <c r="IE226" s="120"/>
      <c r="IF226" s="120"/>
      <c r="IG226" s="120"/>
      <c r="IH226" s="120"/>
      <c r="II226" s="120"/>
      <c r="IJ226" s="120"/>
    </row>
    <row r="227" spans="1:244" s="47" customFormat="1" ht="15">
      <c r="A227" s="121"/>
      <c r="B227" s="121" t="s">
        <v>139</v>
      </c>
      <c r="C227" s="121" t="s">
        <v>58</v>
      </c>
      <c r="D227" s="122">
        <f>123/100</f>
        <v>1.23</v>
      </c>
      <c r="E227" s="122">
        <f>E226*D227</f>
        <v>4.551</v>
      </c>
      <c r="F227" s="171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  <c r="R227" s="123"/>
      <c r="S227" s="123"/>
      <c r="T227" s="123"/>
      <c r="U227" s="123"/>
      <c r="V227" s="123"/>
      <c r="W227" s="123"/>
      <c r="X227" s="123"/>
      <c r="Y227" s="123"/>
      <c r="Z227" s="123"/>
      <c r="AA227" s="123"/>
      <c r="AB227" s="123"/>
      <c r="AC227" s="123"/>
      <c r="AD227" s="123"/>
      <c r="AE227" s="123"/>
      <c r="AF227" s="123"/>
      <c r="AG227" s="123"/>
      <c r="AH227" s="123"/>
      <c r="AI227" s="123"/>
      <c r="AJ227" s="123"/>
      <c r="AK227" s="123"/>
      <c r="AL227" s="123"/>
      <c r="AM227" s="123"/>
      <c r="AN227" s="123"/>
      <c r="AO227" s="123"/>
      <c r="AP227" s="123"/>
      <c r="AQ227" s="123"/>
      <c r="AR227" s="123"/>
      <c r="AS227" s="123"/>
      <c r="AT227" s="123"/>
      <c r="AU227" s="123"/>
      <c r="AV227" s="123"/>
      <c r="AW227" s="123"/>
      <c r="AX227" s="123"/>
      <c r="AY227" s="123"/>
      <c r="AZ227" s="123"/>
      <c r="BA227" s="123"/>
      <c r="BB227" s="123"/>
      <c r="BC227" s="123"/>
      <c r="BD227" s="123"/>
      <c r="BE227" s="123"/>
      <c r="BF227" s="123"/>
      <c r="BG227" s="123"/>
      <c r="BH227" s="123"/>
      <c r="BI227" s="123"/>
      <c r="BJ227" s="123"/>
      <c r="BK227" s="123"/>
      <c r="BL227" s="123"/>
      <c r="BM227" s="123"/>
      <c r="BN227" s="123"/>
      <c r="BO227" s="123"/>
      <c r="BP227" s="123"/>
      <c r="BQ227" s="123"/>
      <c r="BR227" s="123"/>
      <c r="BS227" s="123"/>
      <c r="BT227" s="123"/>
      <c r="BU227" s="123"/>
      <c r="BV227" s="123"/>
      <c r="BW227" s="123"/>
      <c r="BX227" s="123"/>
      <c r="BY227" s="123"/>
      <c r="BZ227" s="123"/>
      <c r="CA227" s="123"/>
      <c r="CB227" s="123"/>
      <c r="CC227" s="123"/>
      <c r="CD227" s="123"/>
      <c r="CE227" s="123"/>
      <c r="CF227" s="123"/>
      <c r="CG227" s="123"/>
      <c r="CH227" s="123"/>
      <c r="CI227" s="123"/>
      <c r="CJ227" s="123"/>
      <c r="CK227" s="123"/>
      <c r="CL227" s="123"/>
      <c r="CM227" s="123"/>
      <c r="CN227" s="123"/>
      <c r="CO227" s="123"/>
      <c r="CP227" s="123"/>
      <c r="CQ227" s="123"/>
      <c r="CR227" s="123"/>
      <c r="CS227" s="123"/>
      <c r="CT227" s="123"/>
      <c r="CU227" s="123"/>
      <c r="CV227" s="123"/>
      <c r="CW227" s="123"/>
      <c r="CX227" s="123"/>
      <c r="CY227" s="123"/>
      <c r="CZ227" s="123"/>
      <c r="DA227" s="123"/>
      <c r="DB227" s="123"/>
      <c r="DC227" s="123"/>
      <c r="DD227" s="123"/>
      <c r="DE227" s="123"/>
      <c r="DF227" s="123"/>
      <c r="DG227" s="123"/>
      <c r="DH227" s="123"/>
      <c r="DI227" s="123"/>
      <c r="DJ227" s="123"/>
      <c r="DK227" s="123"/>
      <c r="DL227" s="123"/>
      <c r="DM227" s="123"/>
      <c r="DN227" s="123"/>
      <c r="DO227" s="123"/>
      <c r="DP227" s="123"/>
      <c r="DQ227" s="123"/>
      <c r="DR227" s="123"/>
      <c r="DS227" s="123"/>
      <c r="DT227" s="123"/>
      <c r="DU227" s="123"/>
      <c r="DV227" s="123"/>
      <c r="DW227" s="123"/>
      <c r="DX227" s="123"/>
      <c r="DY227" s="123"/>
      <c r="DZ227" s="123"/>
      <c r="EA227" s="123"/>
      <c r="EB227" s="123"/>
      <c r="EC227" s="123"/>
      <c r="ED227" s="123"/>
      <c r="EE227" s="123"/>
      <c r="EF227" s="123"/>
      <c r="EG227" s="123"/>
      <c r="EH227" s="123"/>
      <c r="EI227" s="123"/>
      <c r="EJ227" s="123"/>
      <c r="EK227" s="123"/>
      <c r="EL227" s="123"/>
      <c r="EM227" s="123"/>
      <c r="EN227" s="123"/>
      <c r="EO227" s="123"/>
      <c r="EP227" s="123"/>
      <c r="EQ227" s="123"/>
      <c r="ER227" s="123"/>
      <c r="ES227" s="123"/>
      <c r="ET227" s="123"/>
      <c r="EU227" s="123"/>
      <c r="EV227" s="123"/>
      <c r="EW227" s="123"/>
      <c r="EX227" s="123"/>
      <c r="EY227" s="123"/>
      <c r="EZ227" s="123"/>
      <c r="FA227" s="123"/>
      <c r="FB227" s="123"/>
      <c r="FC227" s="123"/>
      <c r="FD227" s="123"/>
      <c r="FE227" s="123"/>
      <c r="FF227" s="123"/>
      <c r="FG227" s="123"/>
      <c r="FH227" s="123"/>
      <c r="FI227" s="123"/>
      <c r="FJ227" s="123"/>
      <c r="FK227" s="123"/>
      <c r="FL227" s="123"/>
      <c r="FM227" s="123"/>
      <c r="FN227" s="123"/>
      <c r="FO227" s="123"/>
      <c r="FP227" s="123"/>
      <c r="FQ227" s="123"/>
      <c r="FR227" s="123"/>
      <c r="FS227" s="123"/>
      <c r="FT227" s="123"/>
      <c r="FU227" s="123"/>
      <c r="FV227" s="123"/>
      <c r="FW227" s="123"/>
      <c r="FX227" s="123"/>
      <c r="FY227" s="123"/>
      <c r="FZ227" s="123"/>
      <c r="GA227" s="123"/>
      <c r="GB227" s="123"/>
      <c r="GC227" s="123"/>
      <c r="GD227" s="123"/>
      <c r="GE227" s="123"/>
      <c r="GF227" s="123"/>
      <c r="GG227" s="123"/>
      <c r="GH227" s="123"/>
      <c r="GI227" s="123"/>
      <c r="GJ227" s="123"/>
      <c r="GK227" s="123"/>
      <c r="GL227" s="123"/>
      <c r="GM227" s="123"/>
      <c r="GN227" s="123"/>
      <c r="GO227" s="123"/>
      <c r="GP227" s="123"/>
      <c r="GQ227" s="123"/>
      <c r="GR227" s="123"/>
      <c r="GS227" s="123"/>
      <c r="GT227" s="123"/>
      <c r="GU227" s="123"/>
      <c r="GV227" s="123"/>
      <c r="GW227" s="123"/>
      <c r="GX227" s="123"/>
      <c r="GY227" s="123"/>
      <c r="GZ227" s="123"/>
      <c r="HA227" s="123"/>
      <c r="HB227" s="123"/>
      <c r="HC227" s="123"/>
      <c r="HD227" s="123"/>
      <c r="HE227" s="123"/>
      <c r="HF227" s="123"/>
      <c r="HG227" s="123"/>
      <c r="HH227" s="123"/>
      <c r="HI227" s="123"/>
      <c r="HJ227" s="123"/>
      <c r="HK227" s="123"/>
      <c r="HL227" s="123"/>
      <c r="HM227" s="123"/>
      <c r="HN227" s="123"/>
      <c r="HO227" s="123"/>
      <c r="HP227" s="123"/>
      <c r="HQ227" s="123"/>
      <c r="HR227" s="123"/>
      <c r="HS227" s="123"/>
      <c r="HT227" s="123"/>
      <c r="HU227" s="123"/>
      <c r="HV227" s="123"/>
      <c r="HW227" s="123"/>
      <c r="HX227" s="123"/>
      <c r="HY227" s="123"/>
      <c r="HZ227" s="123"/>
      <c r="IA227" s="123"/>
      <c r="IB227" s="123"/>
      <c r="IC227" s="123"/>
      <c r="ID227" s="123"/>
      <c r="IE227" s="123"/>
      <c r="IF227" s="123"/>
      <c r="IG227" s="123"/>
      <c r="IH227" s="123"/>
      <c r="II227" s="123"/>
      <c r="IJ227" s="123"/>
    </row>
    <row r="228" spans="1:244" s="47" customFormat="1" ht="15">
      <c r="A228" s="121"/>
      <c r="B228" s="124" t="s">
        <v>195</v>
      </c>
      <c r="C228" s="121" t="s">
        <v>51</v>
      </c>
      <c r="D228" s="122">
        <f>54.3/100</f>
        <v>0.5429999999999999</v>
      </c>
      <c r="E228" s="122">
        <f>D228*E226</f>
        <v>2.0090999999999997</v>
      </c>
      <c r="F228" s="171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  <c r="R228" s="123"/>
      <c r="S228" s="123"/>
      <c r="T228" s="123"/>
      <c r="U228" s="123"/>
      <c r="V228" s="123"/>
      <c r="W228" s="123"/>
      <c r="X228" s="123"/>
      <c r="Y228" s="123"/>
      <c r="Z228" s="123"/>
      <c r="AA228" s="123"/>
      <c r="AB228" s="123"/>
      <c r="AC228" s="123"/>
      <c r="AD228" s="123"/>
      <c r="AE228" s="123"/>
      <c r="AF228" s="123"/>
      <c r="AG228" s="123"/>
      <c r="AH228" s="123"/>
      <c r="AI228" s="123"/>
      <c r="AJ228" s="123"/>
      <c r="AK228" s="123"/>
      <c r="AL228" s="123"/>
      <c r="AM228" s="123"/>
      <c r="AN228" s="123"/>
      <c r="AO228" s="123"/>
      <c r="AP228" s="123"/>
      <c r="AQ228" s="123"/>
      <c r="AR228" s="123"/>
      <c r="AS228" s="123"/>
      <c r="AT228" s="123"/>
      <c r="AU228" s="123"/>
      <c r="AV228" s="123"/>
      <c r="AW228" s="123"/>
      <c r="AX228" s="123"/>
      <c r="AY228" s="123"/>
      <c r="AZ228" s="123"/>
      <c r="BA228" s="123"/>
      <c r="BB228" s="123"/>
      <c r="BC228" s="123"/>
      <c r="BD228" s="123"/>
      <c r="BE228" s="123"/>
      <c r="BF228" s="123"/>
      <c r="BG228" s="123"/>
      <c r="BH228" s="123"/>
      <c r="BI228" s="123"/>
      <c r="BJ228" s="123"/>
      <c r="BK228" s="123"/>
      <c r="BL228" s="123"/>
      <c r="BM228" s="123"/>
      <c r="BN228" s="123"/>
      <c r="BO228" s="123"/>
      <c r="BP228" s="123"/>
      <c r="BQ228" s="123"/>
      <c r="BR228" s="123"/>
      <c r="BS228" s="123"/>
      <c r="BT228" s="123"/>
      <c r="BU228" s="123"/>
      <c r="BV228" s="123"/>
      <c r="BW228" s="123"/>
      <c r="BX228" s="123"/>
      <c r="BY228" s="123"/>
      <c r="BZ228" s="123"/>
      <c r="CA228" s="123"/>
      <c r="CB228" s="123"/>
      <c r="CC228" s="123"/>
      <c r="CD228" s="123"/>
      <c r="CE228" s="123"/>
      <c r="CF228" s="123"/>
      <c r="CG228" s="123"/>
      <c r="CH228" s="123"/>
      <c r="CI228" s="123"/>
      <c r="CJ228" s="123"/>
      <c r="CK228" s="123"/>
      <c r="CL228" s="123"/>
      <c r="CM228" s="123"/>
      <c r="CN228" s="123"/>
      <c r="CO228" s="123"/>
      <c r="CP228" s="123"/>
      <c r="CQ228" s="123"/>
      <c r="CR228" s="123"/>
      <c r="CS228" s="123"/>
      <c r="CT228" s="123"/>
      <c r="CU228" s="123"/>
      <c r="CV228" s="123"/>
      <c r="CW228" s="123"/>
      <c r="CX228" s="123"/>
      <c r="CY228" s="123"/>
      <c r="CZ228" s="123"/>
      <c r="DA228" s="123"/>
      <c r="DB228" s="123"/>
      <c r="DC228" s="123"/>
      <c r="DD228" s="123"/>
      <c r="DE228" s="123"/>
      <c r="DF228" s="123"/>
      <c r="DG228" s="123"/>
      <c r="DH228" s="123"/>
      <c r="DI228" s="123"/>
      <c r="DJ228" s="123"/>
      <c r="DK228" s="123"/>
      <c r="DL228" s="123"/>
      <c r="DM228" s="123"/>
      <c r="DN228" s="123"/>
      <c r="DO228" s="123"/>
      <c r="DP228" s="123"/>
      <c r="DQ228" s="123"/>
      <c r="DR228" s="123"/>
      <c r="DS228" s="123"/>
      <c r="DT228" s="123"/>
      <c r="DU228" s="123"/>
      <c r="DV228" s="123"/>
      <c r="DW228" s="123"/>
      <c r="DX228" s="123"/>
      <c r="DY228" s="123"/>
      <c r="DZ228" s="123"/>
      <c r="EA228" s="123"/>
      <c r="EB228" s="123"/>
      <c r="EC228" s="123"/>
      <c r="ED228" s="123"/>
      <c r="EE228" s="123"/>
      <c r="EF228" s="123"/>
      <c r="EG228" s="123"/>
      <c r="EH228" s="123"/>
      <c r="EI228" s="123"/>
      <c r="EJ228" s="123"/>
      <c r="EK228" s="123"/>
      <c r="EL228" s="123"/>
      <c r="EM228" s="123"/>
      <c r="EN228" s="123"/>
      <c r="EO228" s="123"/>
      <c r="EP228" s="123"/>
      <c r="EQ228" s="123"/>
      <c r="ER228" s="123"/>
      <c r="ES228" s="123"/>
      <c r="ET228" s="123"/>
      <c r="EU228" s="123"/>
      <c r="EV228" s="123"/>
      <c r="EW228" s="123"/>
      <c r="EX228" s="123"/>
      <c r="EY228" s="123"/>
      <c r="EZ228" s="123"/>
      <c r="FA228" s="123"/>
      <c r="FB228" s="123"/>
      <c r="FC228" s="123"/>
      <c r="FD228" s="123"/>
      <c r="FE228" s="123"/>
      <c r="FF228" s="123"/>
      <c r="FG228" s="123"/>
      <c r="FH228" s="123"/>
      <c r="FI228" s="123"/>
      <c r="FJ228" s="123"/>
      <c r="FK228" s="123"/>
      <c r="FL228" s="123"/>
      <c r="FM228" s="123"/>
      <c r="FN228" s="123"/>
      <c r="FO228" s="123"/>
      <c r="FP228" s="123"/>
      <c r="FQ228" s="123"/>
      <c r="FR228" s="123"/>
      <c r="FS228" s="123"/>
      <c r="FT228" s="123"/>
      <c r="FU228" s="123"/>
      <c r="FV228" s="123"/>
      <c r="FW228" s="123"/>
      <c r="FX228" s="123"/>
      <c r="FY228" s="123"/>
      <c r="FZ228" s="123"/>
      <c r="GA228" s="123"/>
      <c r="GB228" s="123"/>
      <c r="GC228" s="123"/>
      <c r="GD228" s="123"/>
      <c r="GE228" s="123"/>
      <c r="GF228" s="123"/>
      <c r="GG228" s="123"/>
      <c r="GH228" s="123"/>
      <c r="GI228" s="123"/>
      <c r="GJ228" s="123"/>
      <c r="GK228" s="123"/>
      <c r="GL228" s="123"/>
      <c r="GM228" s="123"/>
      <c r="GN228" s="123"/>
      <c r="GO228" s="123"/>
      <c r="GP228" s="123"/>
      <c r="GQ228" s="123"/>
      <c r="GR228" s="123"/>
      <c r="GS228" s="123"/>
      <c r="GT228" s="123"/>
      <c r="GU228" s="123"/>
      <c r="GV228" s="123"/>
      <c r="GW228" s="123"/>
      <c r="GX228" s="123"/>
      <c r="GY228" s="123"/>
      <c r="GZ228" s="123"/>
      <c r="HA228" s="123"/>
      <c r="HB228" s="123"/>
      <c r="HC228" s="123"/>
      <c r="HD228" s="123"/>
      <c r="HE228" s="123"/>
      <c r="HF228" s="123"/>
      <c r="HG228" s="123"/>
      <c r="HH228" s="123"/>
      <c r="HI228" s="123"/>
      <c r="HJ228" s="123"/>
      <c r="HK228" s="123"/>
      <c r="HL228" s="123"/>
      <c r="HM228" s="123"/>
      <c r="HN228" s="123"/>
      <c r="HO228" s="123"/>
      <c r="HP228" s="123"/>
      <c r="HQ228" s="123"/>
      <c r="HR228" s="123"/>
      <c r="HS228" s="123"/>
      <c r="HT228" s="123"/>
      <c r="HU228" s="123"/>
      <c r="HV228" s="123"/>
      <c r="HW228" s="123"/>
      <c r="HX228" s="123"/>
      <c r="HY228" s="123"/>
      <c r="HZ228" s="123"/>
      <c r="IA228" s="123"/>
      <c r="IB228" s="123"/>
      <c r="IC228" s="123"/>
      <c r="ID228" s="123"/>
      <c r="IE228" s="123"/>
      <c r="IF228" s="123"/>
      <c r="IG228" s="123"/>
      <c r="IH228" s="123"/>
      <c r="II228" s="123"/>
      <c r="IJ228" s="123"/>
    </row>
    <row r="229" spans="1:244" s="47" customFormat="1" ht="15.75">
      <c r="A229" s="121"/>
      <c r="B229" s="121" t="s">
        <v>351</v>
      </c>
      <c r="C229" s="121" t="s">
        <v>174</v>
      </c>
      <c r="D229" s="121">
        <v>1</v>
      </c>
      <c r="E229" s="121">
        <f>D229*E226</f>
        <v>3.7</v>
      </c>
      <c r="F229" s="171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20"/>
      <c r="AV229" s="120"/>
      <c r="AW229" s="120"/>
      <c r="AX229" s="120"/>
      <c r="AY229" s="120"/>
      <c r="AZ229" s="120"/>
      <c r="BA229" s="120"/>
      <c r="BB229" s="120"/>
      <c r="BC229" s="120"/>
      <c r="BD229" s="120"/>
      <c r="BE229" s="120"/>
      <c r="BF229" s="120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20"/>
      <c r="BS229" s="120"/>
      <c r="BT229" s="120"/>
      <c r="BU229" s="120"/>
      <c r="BV229" s="120"/>
      <c r="BW229" s="120"/>
      <c r="BX229" s="120"/>
      <c r="BY229" s="120"/>
      <c r="BZ229" s="120"/>
      <c r="CA229" s="120"/>
      <c r="CB229" s="120"/>
      <c r="CC229" s="120"/>
      <c r="CD229" s="120"/>
      <c r="CE229" s="120"/>
      <c r="CF229" s="120"/>
      <c r="CG229" s="120"/>
      <c r="CH229" s="120"/>
      <c r="CI229" s="120"/>
      <c r="CJ229" s="120"/>
      <c r="CK229" s="120"/>
      <c r="CL229" s="120"/>
      <c r="CM229" s="120"/>
      <c r="CN229" s="120"/>
      <c r="CO229" s="120"/>
      <c r="CP229" s="120"/>
      <c r="CQ229" s="120"/>
      <c r="CR229" s="120"/>
      <c r="CS229" s="120"/>
      <c r="CT229" s="120"/>
      <c r="CU229" s="120"/>
      <c r="CV229" s="120"/>
      <c r="CW229" s="120"/>
      <c r="CX229" s="120"/>
      <c r="CY229" s="120"/>
      <c r="CZ229" s="120"/>
      <c r="DA229" s="120"/>
      <c r="DB229" s="120"/>
      <c r="DC229" s="120"/>
      <c r="DD229" s="120"/>
      <c r="DE229" s="120"/>
      <c r="DF229" s="120"/>
      <c r="DG229" s="120"/>
      <c r="DH229" s="120"/>
      <c r="DI229" s="120"/>
      <c r="DJ229" s="120"/>
      <c r="DK229" s="120"/>
      <c r="DL229" s="120"/>
      <c r="DM229" s="120"/>
      <c r="DN229" s="120"/>
      <c r="DO229" s="120"/>
      <c r="DP229" s="120"/>
      <c r="DQ229" s="120"/>
      <c r="DR229" s="120"/>
      <c r="DS229" s="120"/>
      <c r="DT229" s="120"/>
      <c r="DU229" s="120"/>
      <c r="DV229" s="120"/>
      <c r="DW229" s="120"/>
      <c r="DX229" s="120"/>
      <c r="DY229" s="120"/>
      <c r="DZ229" s="120"/>
      <c r="EA229" s="120"/>
      <c r="EB229" s="120"/>
      <c r="EC229" s="120"/>
      <c r="ED229" s="120"/>
      <c r="EE229" s="120"/>
      <c r="EF229" s="120"/>
      <c r="EG229" s="120"/>
      <c r="EH229" s="120"/>
      <c r="EI229" s="120"/>
      <c r="EJ229" s="120"/>
      <c r="EK229" s="120"/>
      <c r="EL229" s="120"/>
      <c r="EM229" s="120"/>
      <c r="EN229" s="120"/>
      <c r="EO229" s="120"/>
      <c r="EP229" s="120"/>
      <c r="EQ229" s="120"/>
      <c r="ER229" s="120"/>
      <c r="ES229" s="120"/>
      <c r="ET229" s="120"/>
      <c r="EU229" s="120"/>
      <c r="EV229" s="120"/>
      <c r="EW229" s="120"/>
      <c r="EX229" s="120"/>
      <c r="EY229" s="120"/>
      <c r="EZ229" s="120"/>
      <c r="FA229" s="120"/>
      <c r="FB229" s="120"/>
      <c r="FC229" s="120"/>
      <c r="FD229" s="120"/>
      <c r="FE229" s="120"/>
      <c r="FF229" s="120"/>
      <c r="FG229" s="120"/>
      <c r="FH229" s="120"/>
      <c r="FI229" s="120"/>
      <c r="FJ229" s="120"/>
      <c r="FK229" s="120"/>
      <c r="FL229" s="120"/>
      <c r="FM229" s="120"/>
      <c r="FN229" s="120"/>
      <c r="FO229" s="120"/>
      <c r="FP229" s="120"/>
      <c r="FQ229" s="120"/>
      <c r="FR229" s="120"/>
      <c r="FS229" s="120"/>
      <c r="FT229" s="120"/>
      <c r="FU229" s="120"/>
      <c r="FV229" s="120"/>
      <c r="FW229" s="120"/>
      <c r="FX229" s="120"/>
      <c r="FY229" s="120"/>
      <c r="FZ229" s="120"/>
      <c r="GA229" s="120"/>
      <c r="GB229" s="120"/>
      <c r="GC229" s="120"/>
      <c r="GD229" s="120"/>
      <c r="GE229" s="120"/>
      <c r="GF229" s="120"/>
      <c r="GG229" s="120"/>
      <c r="GH229" s="120"/>
      <c r="GI229" s="120"/>
      <c r="GJ229" s="120"/>
      <c r="GK229" s="120"/>
      <c r="GL229" s="120"/>
      <c r="GM229" s="120"/>
      <c r="GN229" s="120"/>
      <c r="GO229" s="120"/>
      <c r="GP229" s="120"/>
      <c r="GQ229" s="120"/>
      <c r="GR229" s="120"/>
      <c r="GS229" s="120"/>
      <c r="GT229" s="120"/>
      <c r="GU229" s="120"/>
      <c r="GV229" s="120"/>
      <c r="GW229" s="120"/>
      <c r="GX229" s="120"/>
      <c r="GY229" s="120"/>
      <c r="GZ229" s="120"/>
      <c r="HA229" s="120"/>
      <c r="HB229" s="120"/>
      <c r="HC229" s="120"/>
      <c r="HD229" s="120"/>
      <c r="HE229" s="120"/>
      <c r="HF229" s="120"/>
      <c r="HG229" s="120"/>
      <c r="HH229" s="120"/>
      <c r="HI229" s="120"/>
      <c r="HJ229" s="120"/>
      <c r="HK229" s="120"/>
      <c r="HL229" s="120"/>
      <c r="HM229" s="120"/>
      <c r="HN229" s="120"/>
      <c r="HO229" s="120"/>
      <c r="HP229" s="120"/>
      <c r="HQ229" s="120"/>
      <c r="HR229" s="120"/>
      <c r="HS229" s="120"/>
      <c r="HT229" s="120"/>
      <c r="HU229" s="120"/>
      <c r="HV229" s="120"/>
      <c r="HW229" s="120"/>
      <c r="HX229" s="120"/>
      <c r="HY229" s="120"/>
      <c r="HZ229" s="120"/>
      <c r="IA229" s="120"/>
      <c r="IB229" s="120"/>
      <c r="IC229" s="120"/>
      <c r="ID229" s="120"/>
      <c r="IE229" s="120"/>
      <c r="IF229" s="120"/>
      <c r="IG229" s="120"/>
      <c r="IH229" s="120"/>
      <c r="II229" s="120"/>
      <c r="IJ229" s="120"/>
    </row>
    <row r="230" spans="1:244" s="47" customFormat="1" ht="15">
      <c r="A230" s="121"/>
      <c r="B230" s="121" t="s">
        <v>57</v>
      </c>
      <c r="C230" s="121" t="s">
        <v>51</v>
      </c>
      <c r="D230" s="122">
        <f>5.4/100</f>
        <v>0.054000000000000006</v>
      </c>
      <c r="E230" s="122">
        <f>D230*E226</f>
        <v>0.19980000000000003</v>
      </c>
      <c r="F230" s="171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  <c r="R230" s="123"/>
      <c r="S230" s="123"/>
      <c r="T230" s="123"/>
      <c r="U230" s="123"/>
      <c r="V230" s="123"/>
      <c r="W230" s="123"/>
      <c r="X230" s="123"/>
      <c r="Y230" s="123"/>
      <c r="Z230" s="123"/>
      <c r="AA230" s="123"/>
      <c r="AB230" s="123"/>
      <c r="AC230" s="123"/>
      <c r="AD230" s="123"/>
      <c r="AE230" s="123"/>
      <c r="AF230" s="123"/>
      <c r="AG230" s="123"/>
      <c r="AH230" s="123"/>
      <c r="AI230" s="123"/>
      <c r="AJ230" s="123"/>
      <c r="AK230" s="123"/>
      <c r="AL230" s="123"/>
      <c r="AM230" s="123"/>
      <c r="AN230" s="123"/>
      <c r="AO230" s="123"/>
      <c r="AP230" s="123"/>
      <c r="AQ230" s="123"/>
      <c r="AR230" s="123"/>
      <c r="AS230" s="123"/>
      <c r="AT230" s="123"/>
      <c r="AU230" s="123"/>
      <c r="AV230" s="123"/>
      <c r="AW230" s="123"/>
      <c r="AX230" s="123"/>
      <c r="AY230" s="123"/>
      <c r="AZ230" s="123"/>
      <c r="BA230" s="123"/>
      <c r="BB230" s="123"/>
      <c r="BC230" s="123"/>
      <c r="BD230" s="123"/>
      <c r="BE230" s="123"/>
      <c r="BF230" s="123"/>
      <c r="BG230" s="123"/>
      <c r="BH230" s="123"/>
      <c r="BI230" s="123"/>
      <c r="BJ230" s="123"/>
      <c r="BK230" s="123"/>
      <c r="BL230" s="123"/>
      <c r="BM230" s="123"/>
      <c r="BN230" s="123"/>
      <c r="BO230" s="123"/>
      <c r="BP230" s="123"/>
      <c r="BQ230" s="123"/>
      <c r="BR230" s="123"/>
      <c r="BS230" s="123"/>
      <c r="BT230" s="123"/>
      <c r="BU230" s="123"/>
      <c r="BV230" s="123"/>
      <c r="BW230" s="123"/>
      <c r="BX230" s="123"/>
      <c r="BY230" s="123"/>
      <c r="BZ230" s="123"/>
      <c r="CA230" s="123"/>
      <c r="CB230" s="123"/>
      <c r="CC230" s="123"/>
      <c r="CD230" s="123"/>
      <c r="CE230" s="123"/>
      <c r="CF230" s="123"/>
      <c r="CG230" s="123"/>
      <c r="CH230" s="123"/>
      <c r="CI230" s="123"/>
      <c r="CJ230" s="123"/>
      <c r="CK230" s="123"/>
      <c r="CL230" s="123"/>
      <c r="CM230" s="123"/>
      <c r="CN230" s="123"/>
      <c r="CO230" s="123"/>
      <c r="CP230" s="123"/>
      <c r="CQ230" s="123"/>
      <c r="CR230" s="123"/>
      <c r="CS230" s="123"/>
      <c r="CT230" s="123"/>
      <c r="CU230" s="123"/>
      <c r="CV230" s="123"/>
      <c r="CW230" s="123"/>
      <c r="CX230" s="123"/>
      <c r="CY230" s="123"/>
      <c r="CZ230" s="123"/>
      <c r="DA230" s="123"/>
      <c r="DB230" s="123"/>
      <c r="DC230" s="123"/>
      <c r="DD230" s="123"/>
      <c r="DE230" s="123"/>
      <c r="DF230" s="123"/>
      <c r="DG230" s="123"/>
      <c r="DH230" s="123"/>
      <c r="DI230" s="123"/>
      <c r="DJ230" s="123"/>
      <c r="DK230" s="123"/>
      <c r="DL230" s="123"/>
      <c r="DM230" s="123"/>
      <c r="DN230" s="123"/>
      <c r="DO230" s="123"/>
      <c r="DP230" s="123"/>
      <c r="DQ230" s="123"/>
      <c r="DR230" s="123"/>
      <c r="DS230" s="123"/>
      <c r="DT230" s="123"/>
      <c r="DU230" s="123"/>
      <c r="DV230" s="123"/>
      <c r="DW230" s="123"/>
      <c r="DX230" s="123"/>
      <c r="DY230" s="123"/>
      <c r="DZ230" s="123"/>
      <c r="EA230" s="123"/>
      <c r="EB230" s="123"/>
      <c r="EC230" s="123"/>
      <c r="ED230" s="123"/>
      <c r="EE230" s="123"/>
      <c r="EF230" s="123"/>
      <c r="EG230" s="123"/>
      <c r="EH230" s="123"/>
      <c r="EI230" s="123"/>
      <c r="EJ230" s="123"/>
      <c r="EK230" s="123"/>
      <c r="EL230" s="123"/>
      <c r="EM230" s="123"/>
      <c r="EN230" s="123"/>
      <c r="EO230" s="123"/>
      <c r="EP230" s="123"/>
      <c r="EQ230" s="123"/>
      <c r="ER230" s="123"/>
      <c r="ES230" s="123"/>
      <c r="ET230" s="123"/>
      <c r="EU230" s="123"/>
      <c r="EV230" s="123"/>
      <c r="EW230" s="123"/>
      <c r="EX230" s="123"/>
      <c r="EY230" s="123"/>
      <c r="EZ230" s="123"/>
      <c r="FA230" s="123"/>
      <c r="FB230" s="123"/>
      <c r="FC230" s="123"/>
      <c r="FD230" s="123"/>
      <c r="FE230" s="123"/>
      <c r="FF230" s="123"/>
      <c r="FG230" s="123"/>
      <c r="FH230" s="123"/>
      <c r="FI230" s="123"/>
      <c r="FJ230" s="123"/>
      <c r="FK230" s="123"/>
      <c r="FL230" s="123"/>
      <c r="FM230" s="123"/>
      <c r="FN230" s="123"/>
      <c r="FO230" s="123"/>
      <c r="FP230" s="123"/>
      <c r="FQ230" s="123"/>
      <c r="FR230" s="123"/>
      <c r="FS230" s="123"/>
      <c r="FT230" s="123"/>
      <c r="FU230" s="123"/>
      <c r="FV230" s="123"/>
      <c r="FW230" s="123"/>
      <c r="FX230" s="123"/>
      <c r="FY230" s="123"/>
      <c r="FZ230" s="123"/>
      <c r="GA230" s="123"/>
      <c r="GB230" s="123"/>
      <c r="GC230" s="123"/>
      <c r="GD230" s="123"/>
      <c r="GE230" s="123"/>
      <c r="GF230" s="123"/>
      <c r="GG230" s="123"/>
      <c r="GH230" s="123"/>
      <c r="GI230" s="123"/>
      <c r="GJ230" s="123"/>
      <c r="GK230" s="123"/>
      <c r="GL230" s="123"/>
      <c r="GM230" s="123"/>
      <c r="GN230" s="123"/>
      <c r="GO230" s="123"/>
      <c r="GP230" s="123"/>
      <c r="GQ230" s="123"/>
      <c r="GR230" s="123"/>
      <c r="GS230" s="123"/>
      <c r="GT230" s="123"/>
      <c r="GU230" s="123"/>
      <c r="GV230" s="123"/>
      <c r="GW230" s="123"/>
      <c r="GX230" s="123"/>
      <c r="GY230" s="123"/>
      <c r="GZ230" s="123"/>
      <c r="HA230" s="123"/>
      <c r="HB230" s="123"/>
      <c r="HC230" s="123"/>
      <c r="HD230" s="123"/>
      <c r="HE230" s="123"/>
      <c r="HF230" s="123"/>
      <c r="HG230" s="123"/>
      <c r="HH230" s="123"/>
      <c r="HI230" s="123"/>
      <c r="HJ230" s="123"/>
      <c r="HK230" s="123"/>
      <c r="HL230" s="123"/>
      <c r="HM230" s="123"/>
      <c r="HN230" s="123"/>
      <c r="HO230" s="123"/>
      <c r="HP230" s="123"/>
      <c r="HQ230" s="123"/>
      <c r="HR230" s="123"/>
      <c r="HS230" s="123"/>
      <c r="HT230" s="123"/>
      <c r="HU230" s="123"/>
      <c r="HV230" s="123"/>
      <c r="HW230" s="123"/>
      <c r="HX230" s="123"/>
      <c r="HY230" s="123"/>
      <c r="HZ230" s="123"/>
      <c r="IA230" s="123"/>
      <c r="IB230" s="123"/>
      <c r="IC230" s="123"/>
      <c r="ID230" s="123"/>
      <c r="IE230" s="123"/>
      <c r="IF230" s="123"/>
      <c r="IG230" s="123"/>
      <c r="IH230" s="123"/>
      <c r="II230" s="123"/>
      <c r="IJ230" s="123"/>
    </row>
    <row r="231" spans="1:6" s="146" customFormat="1" ht="15.75">
      <c r="A231" s="174">
        <f>A226+1</f>
        <v>2</v>
      </c>
      <c r="B231" s="97" t="s">
        <v>161</v>
      </c>
      <c r="C231" s="48" t="s">
        <v>174</v>
      </c>
      <c r="D231" s="97"/>
      <c r="E231" s="41">
        <f>1.45*2</f>
        <v>2.9</v>
      </c>
      <c r="F231" s="171"/>
    </row>
    <row r="232" spans="1:6" s="146" customFormat="1" ht="15">
      <c r="A232" s="37"/>
      <c r="B232" s="37" t="s">
        <v>149</v>
      </c>
      <c r="C232" s="37" t="s">
        <v>58</v>
      </c>
      <c r="D232" s="148">
        <v>0.031</v>
      </c>
      <c r="E232" s="41">
        <f>E231*D232</f>
        <v>0.0899</v>
      </c>
      <c r="F232" s="171"/>
    </row>
    <row r="233" spans="1:6" s="146" customFormat="1" ht="15">
      <c r="A233" s="37"/>
      <c r="B233" s="37" t="s">
        <v>56</v>
      </c>
      <c r="C233" s="41" t="s">
        <v>51</v>
      </c>
      <c r="D233" s="148">
        <v>0.002</v>
      </c>
      <c r="E233" s="41">
        <f>E231*D233</f>
        <v>0.0058</v>
      </c>
      <c r="F233" s="171"/>
    </row>
    <row r="234" spans="1:6" s="146" customFormat="1" ht="15">
      <c r="A234" s="37"/>
      <c r="B234" s="97" t="s">
        <v>153</v>
      </c>
      <c r="C234" s="97" t="s">
        <v>144</v>
      </c>
      <c r="D234" s="148">
        <v>0.086</v>
      </c>
      <c r="E234" s="41">
        <f>E231*D234</f>
        <v>0.24939999999999998</v>
      </c>
      <c r="F234" s="171"/>
    </row>
    <row r="235" spans="1:6" s="146" customFormat="1" ht="15">
      <c r="A235" s="37"/>
      <c r="B235" s="97" t="s">
        <v>154</v>
      </c>
      <c r="C235" s="97" t="s">
        <v>144</v>
      </c>
      <c r="D235" s="148">
        <v>0.015</v>
      </c>
      <c r="E235" s="41">
        <f>E231*D235</f>
        <v>0.0435</v>
      </c>
      <c r="F235" s="171"/>
    </row>
    <row r="236" spans="1:6" s="146" customFormat="1" ht="30">
      <c r="A236" s="174">
        <f>A231+1</f>
        <v>3</v>
      </c>
      <c r="B236" s="140" t="s">
        <v>239</v>
      </c>
      <c r="C236" s="48" t="s">
        <v>174</v>
      </c>
      <c r="D236" s="140"/>
      <c r="E236" s="175">
        <f>E231</f>
        <v>2.9</v>
      </c>
      <c r="F236" s="171"/>
    </row>
    <row r="237" spans="1:6" s="146" customFormat="1" ht="15">
      <c r="A237" s="97"/>
      <c r="B237" s="48" t="s">
        <v>139</v>
      </c>
      <c r="C237" s="48" t="s">
        <v>58</v>
      </c>
      <c r="D237" s="132">
        <v>0.68</v>
      </c>
      <c r="E237" s="149">
        <f>E236*D237</f>
        <v>1.972</v>
      </c>
      <c r="F237" s="171"/>
    </row>
    <row r="238" spans="1:6" s="146" customFormat="1" ht="15">
      <c r="A238" s="97"/>
      <c r="B238" s="48" t="s">
        <v>142</v>
      </c>
      <c r="C238" s="48" t="s">
        <v>51</v>
      </c>
      <c r="D238" s="132">
        <v>0.0003</v>
      </c>
      <c r="E238" s="149">
        <f>E236*D238</f>
        <v>0.0008699999999999999</v>
      </c>
      <c r="F238" s="171"/>
    </row>
    <row r="239" spans="1:6" s="146" customFormat="1" ht="15">
      <c r="A239" s="97"/>
      <c r="B239" s="97" t="s">
        <v>146</v>
      </c>
      <c r="C239" s="132" t="s">
        <v>144</v>
      </c>
      <c r="D239" s="75">
        <v>0.251</v>
      </c>
      <c r="E239" s="149">
        <f>E236*D239</f>
        <v>0.7279</v>
      </c>
      <c r="F239" s="171"/>
    </row>
    <row r="240" spans="1:6" s="146" customFormat="1" ht="15">
      <c r="A240" s="97"/>
      <c r="B240" s="132" t="s">
        <v>147</v>
      </c>
      <c r="C240" s="132" t="s">
        <v>144</v>
      </c>
      <c r="D240" s="132">
        <v>0.027</v>
      </c>
      <c r="E240" s="149">
        <f>E236*D240</f>
        <v>0.0783</v>
      </c>
      <c r="F240" s="171"/>
    </row>
    <row r="241" spans="1:6" s="146" customFormat="1" ht="15">
      <c r="A241" s="97"/>
      <c r="B241" s="48" t="s">
        <v>145</v>
      </c>
      <c r="C241" s="48" t="s">
        <v>51</v>
      </c>
      <c r="D241" s="132">
        <v>0.0019</v>
      </c>
      <c r="E241" s="149">
        <f>E236*D241</f>
        <v>0.00551</v>
      </c>
      <c r="F241" s="171"/>
    </row>
    <row r="242" spans="1:6" s="45" customFormat="1" ht="75">
      <c r="A242" s="176">
        <f>A236+1</f>
        <v>4</v>
      </c>
      <c r="B242" s="97" t="s">
        <v>356</v>
      </c>
      <c r="C242" s="48" t="s">
        <v>174</v>
      </c>
      <c r="D242" s="48"/>
      <c r="E242" s="48">
        <v>10.2</v>
      </c>
      <c r="F242" s="171"/>
    </row>
    <row r="243" spans="1:6" s="45" customFormat="1" ht="15">
      <c r="A243" s="78"/>
      <c r="B243" s="48" t="s">
        <v>139</v>
      </c>
      <c r="C243" s="48" t="s">
        <v>58</v>
      </c>
      <c r="D243" s="48">
        <f>157/100</f>
        <v>1.57</v>
      </c>
      <c r="E243" s="109">
        <f>E242*D243</f>
        <v>16.014</v>
      </c>
      <c r="F243" s="171"/>
    </row>
    <row r="244" spans="1:6" s="45" customFormat="1" ht="15">
      <c r="A244" s="78"/>
      <c r="B244" s="48" t="s">
        <v>142</v>
      </c>
      <c r="C244" s="48" t="s">
        <v>59</v>
      </c>
      <c r="D244" s="48">
        <f>16.1/100</f>
        <v>0.161</v>
      </c>
      <c r="E244" s="48">
        <f>E242*D244</f>
        <v>1.6421999999999999</v>
      </c>
      <c r="F244" s="171"/>
    </row>
    <row r="245" spans="1:6" s="45" customFormat="1" ht="30">
      <c r="A245" s="78"/>
      <c r="B245" s="37" t="s">
        <v>203</v>
      </c>
      <c r="C245" s="121" t="s">
        <v>174</v>
      </c>
      <c r="D245" s="48">
        <v>1</v>
      </c>
      <c r="E245" s="48">
        <f>E242*D245</f>
        <v>10.2</v>
      </c>
      <c r="F245" s="171"/>
    </row>
    <row r="246" spans="1:6" s="45" customFormat="1" ht="30">
      <c r="A246" s="78"/>
      <c r="B246" s="37" t="s">
        <v>354</v>
      </c>
      <c r="C246" s="121" t="s">
        <v>174</v>
      </c>
      <c r="D246" s="48">
        <v>1</v>
      </c>
      <c r="E246" s="48">
        <f>E242*D246</f>
        <v>10.2</v>
      </c>
      <c r="F246" s="171"/>
    </row>
    <row r="247" spans="1:6" s="45" customFormat="1" ht="15">
      <c r="A247" s="78"/>
      <c r="B247" s="37" t="s">
        <v>355</v>
      </c>
      <c r="C247" s="121" t="s">
        <v>138</v>
      </c>
      <c r="D247" s="48" t="s">
        <v>140</v>
      </c>
      <c r="E247" s="48">
        <f>1.7*4</f>
        <v>6.8</v>
      </c>
      <c r="F247" s="171"/>
    </row>
    <row r="248" spans="1:6" s="45" customFormat="1" ht="15">
      <c r="A248" s="78"/>
      <c r="B248" s="48" t="s">
        <v>145</v>
      </c>
      <c r="C248" s="48" t="s">
        <v>51</v>
      </c>
      <c r="D248" s="48">
        <f>25.3/100</f>
        <v>0.253</v>
      </c>
      <c r="E248" s="49">
        <f>E242*D248</f>
        <v>2.5806</v>
      </c>
      <c r="F248" s="171"/>
    </row>
    <row r="249" spans="1:6" s="77" customFormat="1" ht="15">
      <c r="A249" s="223" t="s">
        <v>242</v>
      </c>
      <c r="B249" s="224"/>
      <c r="C249" s="224"/>
      <c r="D249" s="224"/>
      <c r="E249" s="225"/>
      <c r="F249" s="171"/>
    </row>
    <row r="250" spans="1:6" s="45" customFormat="1" ht="30">
      <c r="A250" s="78">
        <f>A223+1</f>
        <v>1</v>
      </c>
      <c r="B250" s="97" t="s">
        <v>248</v>
      </c>
      <c r="C250" s="97" t="s">
        <v>174</v>
      </c>
      <c r="D250" s="75"/>
      <c r="E250" s="41">
        <v>44</v>
      </c>
      <c r="F250" s="171"/>
    </row>
    <row r="251" spans="1:6" s="45" customFormat="1" ht="15">
      <c r="A251" s="97"/>
      <c r="B251" s="48" t="s">
        <v>139</v>
      </c>
      <c r="C251" s="48" t="s">
        <v>58</v>
      </c>
      <c r="D251" s="109">
        <v>0.312</v>
      </c>
      <c r="E251" s="109">
        <f>E250*D251</f>
        <v>13.728</v>
      </c>
      <c r="F251" s="171"/>
    </row>
    <row r="252" spans="1:6" s="45" customFormat="1" ht="15">
      <c r="A252" s="97"/>
      <c r="B252" s="48" t="s">
        <v>56</v>
      </c>
      <c r="C252" s="48" t="s">
        <v>59</v>
      </c>
      <c r="D252" s="118">
        <v>0.0138</v>
      </c>
      <c r="E252" s="109">
        <f>E250*D252</f>
        <v>0.6072</v>
      </c>
      <c r="F252" s="171"/>
    </row>
    <row r="253" spans="1:6" s="45" customFormat="1" ht="15.75">
      <c r="A253" s="97"/>
      <c r="B253" s="48" t="s">
        <v>167</v>
      </c>
      <c r="C253" s="48" t="s">
        <v>174</v>
      </c>
      <c r="D253" s="109">
        <v>1.12</v>
      </c>
      <c r="E253" s="109">
        <f>E250*D253</f>
        <v>49.28</v>
      </c>
      <c r="F253" s="171"/>
    </row>
    <row r="254" spans="1:6" s="45" customFormat="1" ht="15">
      <c r="A254" s="97"/>
      <c r="B254" s="48" t="s">
        <v>168</v>
      </c>
      <c r="C254" s="48" t="s">
        <v>156</v>
      </c>
      <c r="D254" s="118">
        <v>0.0053</v>
      </c>
      <c r="E254" s="109">
        <f>D254*E250</f>
        <v>0.2332</v>
      </c>
      <c r="F254" s="171"/>
    </row>
    <row r="255" spans="1:6" s="45" customFormat="1" ht="15">
      <c r="A255" s="97"/>
      <c r="B255" s="48" t="s">
        <v>169</v>
      </c>
      <c r="C255" s="48" t="s">
        <v>144</v>
      </c>
      <c r="D255" s="109">
        <v>0.76</v>
      </c>
      <c r="E255" s="109">
        <f>D255*E250</f>
        <v>33.44</v>
      </c>
      <c r="F255" s="171"/>
    </row>
    <row r="256" spans="1:6" s="45" customFormat="1" ht="15">
      <c r="A256" s="97"/>
      <c r="B256" s="48" t="s">
        <v>145</v>
      </c>
      <c r="C256" s="48" t="s">
        <v>51</v>
      </c>
      <c r="D256" s="118">
        <v>0.0019</v>
      </c>
      <c r="E256" s="109">
        <f>E250*D256</f>
        <v>0.0836</v>
      </c>
      <c r="F256" s="171"/>
    </row>
    <row r="257" spans="1:6" s="45" customFormat="1" ht="30">
      <c r="A257" s="173">
        <f>A250+1</f>
        <v>2</v>
      </c>
      <c r="B257" s="97" t="s">
        <v>322</v>
      </c>
      <c r="C257" s="97" t="s">
        <v>174</v>
      </c>
      <c r="D257" s="48"/>
      <c r="E257" s="49">
        <f>E250</f>
        <v>44</v>
      </c>
      <c r="F257" s="171"/>
    </row>
    <row r="258" spans="1:6" s="45" customFormat="1" ht="15">
      <c r="A258" s="48" t="s">
        <v>160</v>
      </c>
      <c r="B258" s="48" t="s">
        <v>170</v>
      </c>
      <c r="C258" s="48" t="s">
        <v>58</v>
      </c>
      <c r="D258" s="48">
        <f>19.14/100</f>
        <v>0.19140000000000001</v>
      </c>
      <c r="E258" s="49">
        <f>E257*D258</f>
        <v>8.421600000000002</v>
      </c>
      <c r="F258" s="171"/>
    </row>
    <row r="259" spans="1:6" s="45" customFormat="1" ht="15">
      <c r="A259" s="48"/>
      <c r="B259" s="48" t="s">
        <v>171</v>
      </c>
      <c r="C259" s="48" t="s">
        <v>51</v>
      </c>
      <c r="D259" s="48">
        <f>1.18/100</f>
        <v>0.0118</v>
      </c>
      <c r="E259" s="49">
        <f>E257*D259</f>
        <v>0.5192</v>
      </c>
      <c r="F259" s="171"/>
    </row>
    <row r="260" spans="1:6" s="45" customFormat="1" ht="15.75">
      <c r="A260" s="48" t="s">
        <v>160</v>
      </c>
      <c r="B260" s="126" t="s">
        <v>172</v>
      </c>
      <c r="C260" s="48" t="s">
        <v>188</v>
      </c>
      <c r="D260" s="48">
        <v>0.051</v>
      </c>
      <c r="E260" s="49">
        <f>D260*E257</f>
        <v>2.2439999999999998</v>
      </c>
      <c r="F260" s="171"/>
    </row>
    <row r="261" spans="1:6" s="45" customFormat="1" ht="15">
      <c r="A261" s="48" t="s">
        <v>160</v>
      </c>
      <c r="B261" s="48" t="s">
        <v>173</v>
      </c>
      <c r="C261" s="48" t="s">
        <v>51</v>
      </c>
      <c r="D261" s="48">
        <f>6.36/100</f>
        <v>0.0636</v>
      </c>
      <c r="E261" s="49">
        <f>E257*D261</f>
        <v>2.7984</v>
      </c>
      <c r="F261" s="171"/>
    </row>
    <row r="262" spans="1:6" s="45" customFormat="1" ht="30">
      <c r="A262" s="173">
        <f>A257+1</f>
        <v>3</v>
      </c>
      <c r="B262" s="97" t="s">
        <v>243</v>
      </c>
      <c r="C262" s="97" t="s">
        <v>174</v>
      </c>
      <c r="D262" s="48"/>
      <c r="E262" s="49">
        <f>E257</f>
        <v>44</v>
      </c>
      <c r="F262" s="171"/>
    </row>
    <row r="263" spans="1:6" s="45" customFormat="1" ht="15">
      <c r="A263" s="48"/>
      <c r="B263" s="48" t="s">
        <v>139</v>
      </c>
      <c r="C263" s="48" t="s">
        <v>58</v>
      </c>
      <c r="D263" s="48">
        <v>1.08</v>
      </c>
      <c r="E263" s="49">
        <f>E262*D263</f>
        <v>47.52</v>
      </c>
      <c r="F263" s="171"/>
    </row>
    <row r="264" spans="1:6" s="45" customFormat="1" ht="15">
      <c r="A264" s="48"/>
      <c r="B264" s="48" t="s">
        <v>142</v>
      </c>
      <c r="C264" s="48" t="s">
        <v>51</v>
      </c>
      <c r="D264" s="118">
        <v>0.0452</v>
      </c>
      <c r="E264" s="49">
        <f>E262*D264</f>
        <v>1.9888</v>
      </c>
      <c r="F264" s="171"/>
    </row>
    <row r="265" spans="1:6" s="45" customFormat="1" ht="30">
      <c r="A265" s="48"/>
      <c r="B265" s="37" t="s">
        <v>244</v>
      </c>
      <c r="C265" s="48" t="s">
        <v>174</v>
      </c>
      <c r="D265" s="48">
        <v>1.02</v>
      </c>
      <c r="E265" s="49">
        <f>E262*D265</f>
        <v>44.88</v>
      </c>
      <c r="F265" s="171"/>
    </row>
    <row r="266" spans="1:6" s="45" customFormat="1" ht="15.75">
      <c r="A266" s="48"/>
      <c r="B266" s="126" t="s">
        <v>172</v>
      </c>
      <c r="C266" s="48" t="s">
        <v>188</v>
      </c>
      <c r="D266" s="48">
        <f>2.23/100</f>
        <v>0.0223</v>
      </c>
      <c r="E266" s="48">
        <f>E262*D266</f>
        <v>0.9812000000000001</v>
      </c>
      <c r="F266" s="171"/>
    </row>
    <row r="267" spans="1:6" s="45" customFormat="1" ht="15">
      <c r="A267" s="48"/>
      <c r="B267" s="48" t="s">
        <v>145</v>
      </c>
      <c r="C267" s="48" t="s">
        <v>51</v>
      </c>
      <c r="D267" s="48">
        <v>0.0466</v>
      </c>
      <c r="E267" s="109">
        <f>E262*D267</f>
        <v>2.0504000000000002</v>
      </c>
      <c r="F267" s="171"/>
    </row>
    <row r="268" spans="1:6" s="45" customFormat="1" ht="45">
      <c r="A268" s="173">
        <f>A262+1</f>
        <v>4</v>
      </c>
      <c r="B268" s="97" t="s">
        <v>287</v>
      </c>
      <c r="C268" s="97" t="s">
        <v>174</v>
      </c>
      <c r="D268" s="48"/>
      <c r="E268" s="48">
        <f>28.5*0.1</f>
        <v>2.85</v>
      </c>
      <c r="F268" s="171"/>
    </row>
    <row r="269" spans="1:6" s="45" customFormat="1" ht="15">
      <c r="A269" s="48"/>
      <c r="B269" s="48" t="s">
        <v>139</v>
      </c>
      <c r="C269" s="48" t="s">
        <v>58</v>
      </c>
      <c r="D269" s="48">
        <v>1.08</v>
      </c>
      <c r="E269" s="49">
        <f>E268*D269</f>
        <v>3.0780000000000003</v>
      </c>
      <c r="F269" s="171"/>
    </row>
    <row r="270" spans="1:6" s="45" customFormat="1" ht="15">
      <c r="A270" s="48"/>
      <c r="B270" s="48" t="s">
        <v>142</v>
      </c>
      <c r="C270" s="48" t="s">
        <v>51</v>
      </c>
      <c r="D270" s="118">
        <v>0.0452</v>
      </c>
      <c r="E270" s="49">
        <f>E268*D270</f>
        <v>0.12882</v>
      </c>
      <c r="F270" s="171"/>
    </row>
    <row r="271" spans="1:6" s="45" customFormat="1" ht="30">
      <c r="A271" s="48"/>
      <c r="B271" s="37" t="s">
        <v>196</v>
      </c>
      <c r="C271" s="48" t="s">
        <v>174</v>
      </c>
      <c r="D271" s="48">
        <v>1.02</v>
      </c>
      <c r="E271" s="49">
        <f>E268*D271</f>
        <v>2.907</v>
      </c>
      <c r="F271" s="171"/>
    </row>
    <row r="272" spans="1:6" s="45" customFormat="1" ht="15.75">
      <c r="A272" s="48"/>
      <c r="B272" s="126" t="s">
        <v>172</v>
      </c>
      <c r="C272" s="48" t="s">
        <v>188</v>
      </c>
      <c r="D272" s="48">
        <f>2.23/100</f>
        <v>0.0223</v>
      </c>
      <c r="E272" s="48">
        <f>E268*D272</f>
        <v>0.063555</v>
      </c>
      <c r="F272" s="171"/>
    </row>
    <row r="273" spans="1:6" s="45" customFormat="1" ht="15">
      <c r="A273" s="48"/>
      <c r="B273" s="48" t="s">
        <v>145</v>
      </c>
      <c r="C273" s="48" t="s">
        <v>51</v>
      </c>
      <c r="D273" s="48">
        <v>0.0466</v>
      </c>
      <c r="E273" s="109">
        <f>E268*D273</f>
        <v>0.13281</v>
      </c>
      <c r="F273" s="171"/>
    </row>
    <row r="274" spans="1:6" s="77" customFormat="1" ht="15">
      <c r="A274" s="223" t="s">
        <v>249</v>
      </c>
      <c r="B274" s="224"/>
      <c r="C274" s="224"/>
      <c r="D274" s="224"/>
      <c r="E274" s="225"/>
      <c r="F274" s="171"/>
    </row>
    <row r="275" spans="1:6" s="77" customFormat="1" ht="15.75">
      <c r="A275" s="97">
        <v>1</v>
      </c>
      <c r="B275" s="97" t="s">
        <v>357</v>
      </c>
      <c r="C275" s="97" t="s">
        <v>174</v>
      </c>
      <c r="D275" s="97"/>
      <c r="E275" s="100">
        <v>44</v>
      </c>
      <c r="F275" s="171"/>
    </row>
    <row r="276" spans="1:6" s="77" customFormat="1" ht="15">
      <c r="A276" s="191"/>
      <c r="B276" s="48" t="s">
        <v>139</v>
      </c>
      <c r="C276" s="48" t="s">
        <v>58</v>
      </c>
      <c r="D276" s="72">
        <f>42.4/100</f>
        <v>0.424</v>
      </c>
      <c r="E276" s="102">
        <f>E275*D276</f>
        <v>18.656</v>
      </c>
      <c r="F276" s="171"/>
    </row>
    <row r="277" spans="1:6" s="77" customFormat="1" ht="15">
      <c r="A277" s="191"/>
      <c r="B277" s="48" t="s">
        <v>148</v>
      </c>
      <c r="C277" s="48" t="s">
        <v>51</v>
      </c>
      <c r="D277" s="72">
        <f>2.08/100</f>
        <v>0.0208</v>
      </c>
      <c r="E277" s="102">
        <f>E275*D277</f>
        <v>0.9152</v>
      </c>
      <c r="F277" s="171"/>
    </row>
    <row r="278" spans="1:6" s="77" customFormat="1" ht="15.75">
      <c r="A278" s="97"/>
      <c r="B278" s="97" t="s">
        <v>358</v>
      </c>
      <c r="C278" s="97" t="s">
        <v>174</v>
      </c>
      <c r="D278" s="97">
        <f>103/100</f>
        <v>1.03</v>
      </c>
      <c r="E278" s="100">
        <f>E275*D278</f>
        <v>45.32</v>
      </c>
      <c r="F278" s="171"/>
    </row>
    <row r="279" spans="1:6" s="45" customFormat="1" ht="45">
      <c r="A279" s="78">
        <f>A275+1</f>
        <v>2</v>
      </c>
      <c r="B279" s="97" t="s">
        <v>359</v>
      </c>
      <c r="C279" s="48" t="s">
        <v>174</v>
      </c>
      <c r="D279" s="48"/>
      <c r="E279" s="101">
        <v>88</v>
      </c>
      <c r="F279" s="171"/>
    </row>
    <row r="280" spans="1:6" s="45" customFormat="1" ht="15">
      <c r="A280" s="97"/>
      <c r="B280" s="48" t="s">
        <v>197</v>
      </c>
      <c r="C280" s="48" t="s">
        <v>58</v>
      </c>
      <c r="D280" s="128">
        <f>359.5/100</f>
        <v>3.595</v>
      </c>
      <c r="E280" s="49">
        <f>E279*D280</f>
        <v>316.36</v>
      </c>
      <c r="F280" s="171"/>
    </row>
    <row r="281" spans="1:6" s="45" customFormat="1" ht="15">
      <c r="A281" s="97"/>
      <c r="B281" s="129" t="s">
        <v>198</v>
      </c>
      <c r="C281" s="130" t="s">
        <v>51</v>
      </c>
      <c r="D281" s="128">
        <f>3.89/100</f>
        <v>0.038900000000000004</v>
      </c>
      <c r="E281" s="131">
        <f>D281*E279</f>
        <v>3.4232000000000005</v>
      </c>
      <c r="F281" s="171"/>
    </row>
    <row r="282" spans="1:6" s="45" customFormat="1" ht="15">
      <c r="A282" s="97"/>
      <c r="B282" s="132" t="s">
        <v>199</v>
      </c>
      <c r="C282" s="130" t="s">
        <v>200</v>
      </c>
      <c r="D282" s="132" t="s">
        <v>140</v>
      </c>
      <c r="E282" s="131">
        <v>12</v>
      </c>
      <c r="F282" s="171"/>
    </row>
    <row r="283" spans="1:6" s="45" customFormat="1" ht="15.75">
      <c r="A283" s="97"/>
      <c r="B283" s="132" t="s">
        <v>360</v>
      </c>
      <c r="C283" s="130" t="s">
        <v>174</v>
      </c>
      <c r="D283" s="128">
        <v>1.03</v>
      </c>
      <c r="E283" s="131">
        <f>D283*E279</f>
        <v>90.64</v>
      </c>
      <c r="F283" s="171"/>
    </row>
    <row r="284" spans="1:6" s="45" customFormat="1" ht="15">
      <c r="A284" s="48"/>
      <c r="B284" s="48" t="s">
        <v>202</v>
      </c>
      <c r="C284" s="48" t="s">
        <v>51</v>
      </c>
      <c r="D284" s="48">
        <f>40.5/100</f>
        <v>0.405</v>
      </c>
      <c r="E284" s="49">
        <f>E280*D284</f>
        <v>128.12580000000003</v>
      </c>
      <c r="F284" s="171"/>
    </row>
    <row r="285" spans="1:6" s="45" customFormat="1" ht="45">
      <c r="A285" s="78">
        <f>A279+1</f>
        <v>3</v>
      </c>
      <c r="B285" s="97" t="s">
        <v>361</v>
      </c>
      <c r="C285" s="48" t="s">
        <v>174</v>
      </c>
      <c r="D285" s="48"/>
      <c r="E285" s="101">
        <v>44</v>
      </c>
      <c r="F285" s="171"/>
    </row>
    <row r="286" spans="1:6" s="45" customFormat="1" ht="15">
      <c r="A286" s="97"/>
      <c r="B286" s="48" t="s">
        <v>197</v>
      </c>
      <c r="C286" s="48" t="s">
        <v>58</v>
      </c>
      <c r="D286" s="128">
        <f>359.5/100</f>
        <v>3.595</v>
      </c>
      <c r="E286" s="49">
        <f>E285*D286</f>
        <v>158.18</v>
      </c>
      <c r="F286" s="171"/>
    </row>
    <row r="287" spans="1:6" s="45" customFormat="1" ht="15">
      <c r="A287" s="97"/>
      <c r="B287" s="129" t="s">
        <v>198</v>
      </c>
      <c r="C287" s="130" t="s">
        <v>51</v>
      </c>
      <c r="D287" s="128">
        <f>3.89/100</f>
        <v>0.038900000000000004</v>
      </c>
      <c r="E287" s="131">
        <f>D287*E285</f>
        <v>1.7116000000000002</v>
      </c>
      <c r="F287" s="171"/>
    </row>
    <row r="288" spans="1:6" s="45" customFormat="1" ht="15">
      <c r="A288" s="97"/>
      <c r="B288" s="132" t="s">
        <v>250</v>
      </c>
      <c r="C288" s="130" t="s">
        <v>138</v>
      </c>
      <c r="D288" s="132">
        <v>6.6</v>
      </c>
      <c r="E288" s="131">
        <f>D288*E285</f>
        <v>290.4</v>
      </c>
      <c r="F288" s="171"/>
    </row>
    <row r="289" spans="1:6" s="45" customFormat="1" ht="15">
      <c r="A289" s="97"/>
      <c r="B289" s="132" t="s">
        <v>199</v>
      </c>
      <c r="C289" s="130" t="s">
        <v>200</v>
      </c>
      <c r="D289" s="132" t="s">
        <v>140</v>
      </c>
      <c r="E289" s="131">
        <v>6</v>
      </c>
      <c r="F289" s="171"/>
    </row>
    <row r="290" spans="1:6" s="45" customFormat="1" ht="15.75">
      <c r="A290" s="97"/>
      <c r="B290" s="132" t="s">
        <v>201</v>
      </c>
      <c r="C290" s="130" t="s">
        <v>174</v>
      </c>
      <c r="D290" s="128">
        <v>1.03</v>
      </c>
      <c r="E290" s="131">
        <f>D290*E285</f>
        <v>45.32</v>
      </c>
      <c r="F290" s="171"/>
    </row>
    <row r="291" spans="1:6" s="45" customFormat="1" ht="15">
      <c r="A291" s="48"/>
      <c r="B291" s="48" t="s">
        <v>202</v>
      </c>
      <c r="C291" s="48" t="s">
        <v>51</v>
      </c>
      <c r="D291" s="48">
        <f>40.5/100</f>
        <v>0.405</v>
      </c>
      <c r="E291" s="49">
        <f>E286*D291</f>
        <v>64.06290000000001</v>
      </c>
      <c r="F291" s="171"/>
    </row>
    <row r="292" spans="1:6" s="45" customFormat="1" ht="60">
      <c r="A292" s="173">
        <f>A285+1</f>
        <v>4</v>
      </c>
      <c r="B292" s="97" t="s">
        <v>362</v>
      </c>
      <c r="C292" s="48" t="s">
        <v>174</v>
      </c>
      <c r="D292" s="48"/>
      <c r="E292" s="109">
        <f>E285</f>
        <v>44</v>
      </c>
      <c r="F292" s="171"/>
    </row>
    <row r="293" spans="1:6" s="45" customFormat="1" ht="15">
      <c r="A293" s="48"/>
      <c r="B293" s="48" t="s">
        <v>139</v>
      </c>
      <c r="C293" s="48" t="s">
        <v>58</v>
      </c>
      <c r="D293" s="48">
        <f>85.6/100</f>
        <v>0.856</v>
      </c>
      <c r="E293" s="49">
        <f>E292*D293</f>
        <v>37.664</v>
      </c>
      <c r="F293" s="171"/>
    </row>
    <row r="294" spans="1:6" s="45" customFormat="1" ht="15">
      <c r="A294" s="48"/>
      <c r="B294" s="48" t="s">
        <v>148</v>
      </c>
      <c r="C294" s="48" t="s">
        <v>51</v>
      </c>
      <c r="D294" s="48">
        <f>1.2/100</f>
        <v>0.012</v>
      </c>
      <c r="E294" s="109">
        <f>E292*D294</f>
        <v>0.528</v>
      </c>
      <c r="F294" s="171"/>
    </row>
    <row r="295" spans="1:6" s="45" customFormat="1" ht="15">
      <c r="A295" s="48"/>
      <c r="B295" s="48" t="s">
        <v>246</v>
      </c>
      <c r="C295" s="48" t="s">
        <v>144</v>
      </c>
      <c r="D295" s="48">
        <v>0.63</v>
      </c>
      <c r="E295" s="49">
        <f>E292*D295</f>
        <v>27.72</v>
      </c>
      <c r="F295" s="171"/>
    </row>
    <row r="296" spans="1:6" s="45" customFormat="1" ht="15">
      <c r="A296" s="48"/>
      <c r="B296" s="48" t="s">
        <v>247</v>
      </c>
      <c r="C296" s="48" t="s">
        <v>144</v>
      </c>
      <c r="D296" s="48">
        <f>92/100</f>
        <v>0.92</v>
      </c>
      <c r="E296" s="49">
        <f>E292*D296</f>
        <v>40.480000000000004</v>
      </c>
      <c r="F296" s="171"/>
    </row>
    <row r="297" spans="1:6" s="45" customFormat="1" ht="15">
      <c r="A297" s="48"/>
      <c r="B297" s="48" t="s">
        <v>145</v>
      </c>
      <c r="C297" s="48" t="s">
        <v>51</v>
      </c>
      <c r="D297" s="48">
        <f>1.8/100</f>
        <v>0.018000000000000002</v>
      </c>
      <c r="E297" s="49">
        <f>E292*D297</f>
        <v>0.792</v>
      </c>
      <c r="F297" s="171"/>
    </row>
    <row r="298" spans="1:6" s="47" customFormat="1" ht="15">
      <c r="A298" s="226" t="s">
        <v>271</v>
      </c>
      <c r="B298" s="227"/>
      <c r="C298" s="227"/>
      <c r="D298" s="227"/>
      <c r="E298" s="228"/>
      <c r="F298" s="171"/>
    </row>
    <row r="299" spans="1:6" s="110" customFormat="1" ht="45">
      <c r="A299" s="173">
        <v>1</v>
      </c>
      <c r="B299" s="97" t="s">
        <v>363</v>
      </c>
      <c r="C299" s="97" t="s">
        <v>174</v>
      </c>
      <c r="D299" s="41"/>
      <c r="E299" s="42">
        <v>95</v>
      </c>
      <c r="F299" s="171"/>
    </row>
    <row r="300" spans="1:6" s="110" customFormat="1" ht="15">
      <c r="A300" s="97"/>
      <c r="B300" s="97" t="s">
        <v>162</v>
      </c>
      <c r="C300" s="97" t="s">
        <v>58</v>
      </c>
      <c r="D300" s="41">
        <f>190/100</f>
        <v>1.9</v>
      </c>
      <c r="E300" s="41">
        <f>D300*E299</f>
        <v>180.5</v>
      </c>
      <c r="F300" s="171"/>
    </row>
    <row r="301" spans="1:6" s="110" customFormat="1" ht="15">
      <c r="A301" s="97"/>
      <c r="B301" s="97" t="s">
        <v>245</v>
      </c>
      <c r="C301" s="97" t="s">
        <v>151</v>
      </c>
      <c r="D301" s="75">
        <f>2.7/100</f>
        <v>0.027000000000000003</v>
      </c>
      <c r="E301" s="41">
        <f>D301*E299</f>
        <v>2.5650000000000004</v>
      </c>
      <c r="F301" s="171"/>
    </row>
    <row r="302" spans="1:6" s="110" customFormat="1" ht="15">
      <c r="A302" s="97"/>
      <c r="B302" s="97" t="s">
        <v>163</v>
      </c>
      <c r="C302" s="97" t="s">
        <v>51</v>
      </c>
      <c r="D302" s="75">
        <f>3.1/100</f>
        <v>0.031</v>
      </c>
      <c r="E302" s="41">
        <f>D302*E299</f>
        <v>2.945</v>
      </c>
      <c r="F302" s="171"/>
    </row>
    <row r="303" spans="1:6" s="110" customFormat="1" ht="15.75">
      <c r="A303" s="97"/>
      <c r="B303" s="97" t="s">
        <v>297</v>
      </c>
      <c r="C303" s="97" t="s">
        <v>188</v>
      </c>
      <c r="D303" s="74">
        <f>3.29/100</f>
        <v>0.0329</v>
      </c>
      <c r="E303" s="41">
        <f>D303*E299</f>
        <v>3.1254999999999997</v>
      </c>
      <c r="F303" s="171"/>
    </row>
    <row r="304" spans="1:6" s="110" customFormat="1" ht="15">
      <c r="A304" s="97"/>
      <c r="B304" s="97" t="s">
        <v>165</v>
      </c>
      <c r="C304" s="97" t="s">
        <v>51</v>
      </c>
      <c r="D304" s="74">
        <f>0.1/100</f>
        <v>0.001</v>
      </c>
      <c r="E304" s="41">
        <f>D304*E299</f>
        <v>0.095</v>
      </c>
      <c r="F304" s="171"/>
    </row>
    <row r="305" spans="1:6" s="110" customFormat="1" ht="75">
      <c r="A305" s="173">
        <f>A299+1</f>
        <v>2</v>
      </c>
      <c r="B305" s="97" t="s">
        <v>323</v>
      </c>
      <c r="C305" s="97" t="s">
        <v>174</v>
      </c>
      <c r="D305" s="41"/>
      <c r="E305" s="42">
        <v>22.5</v>
      </c>
      <c r="F305" s="171"/>
    </row>
    <row r="306" spans="1:6" s="110" customFormat="1" ht="15">
      <c r="A306" s="97"/>
      <c r="B306" s="97" t="s">
        <v>162</v>
      </c>
      <c r="C306" s="97" t="s">
        <v>58</v>
      </c>
      <c r="D306" s="41">
        <f>244/100</f>
        <v>2.44</v>
      </c>
      <c r="E306" s="41">
        <f>D306*E305</f>
        <v>54.9</v>
      </c>
      <c r="F306" s="171"/>
    </row>
    <row r="307" spans="1:6" s="110" customFormat="1" ht="30">
      <c r="A307" s="97"/>
      <c r="B307" s="97" t="s">
        <v>324</v>
      </c>
      <c r="C307" s="97" t="s">
        <v>174</v>
      </c>
      <c r="D307" s="74">
        <v>1</v>
      </c>
      <c r="E307" s="41">
        <f>D307*E305</f>
        <v>22.5</v>
      </c>
      <c r="F307" s="171"/>
    </row>
    <row r="308" spans="1:6" s="110" customFormat="1" ht="15.75">
      <c r="A308" s="97"/>
      <c r="B308" s="97" t="s">
        <v>298</v>
      </c>
      <c r="C308" s="97" t="s">
        <v>174</v>
      </c>
      <c r="D308" s="74">
        <v>1</v>
      </c>
      <c r="E308" s="41">
        <f>E305*D308</f>
        <v>22.5</v>
      </c>
      <c r="F308" s="171"/>
    </row>
    <row r="309" spans="1:6" s="110" customFormat="1" ht="15">
      <c r="A309" s="97"/>
      <c r="B309" s="97" t="s">
        <v>165</v>
      </c>
      <c r="C309" s="97" t="s">
        <v>51</v>
      </c>
      <c r="D309" s="74">
        <f>3/100</f>
        <v>0.03</v>
      </c>
      <c r="E309" s="41">
        <f>D309*E305</f>
        <v>0.6749999999999999</v>
      </c>
      <c r="F309" s="171"/>
    </row>
    <row r="310" spans="1:6" s="110" customFormat="1" ht="105">
      <c r="A310" s="78">
        <f>A305+1</f>
        <v>3</v>
      </c>
      <c r="B310" s="97" t="s">
        <v>368</v>
      </c>
      <c r="C310" s="135" t="s">
        <v>174</v>
      </c>
      <c r="D310" s="133"/>
      <c r="E310" s="134">
        <v>75</v>
      </c>
      <c r="F310" s="171"/>
    </row>
    <row r="311" spans="1:6" s="110" customFormat="1" ht="15">
      <c r="A311" s="42"/>
      <c r="B311" s="97" t="s">
        <v>139</v>
      </c>
      <c r="C311" s="97" t="s">
        <v>58</v>
      </c>
      <c r="D311" s="133">
        <f>43.9/100</f>
        <v>0.439</v>
      </c>
      <c r="E311" s="134">
        <f>D311*E310</f>
        <v>32.925</v>
      </c>
      <c r="F311" s="171"/>
    </row>
    <row r="312" spans="1:6" s="110" customFormat="1" ht="15">
      <c r="A312" s="42"/>
      <c r="B312" s="97" t="s">
        <v>56</v>
      </c>
      <c r="C312" s="97" t="s">
        <v>59</v>
      </c>
      <c r="D312" s="133">
        <f>3.54/100</f>
        <v>0.0354</v>
      </c>
      <c r="E312" s="134">
        <f>E310*D312</f>
        <v>2.6550000000000002</v>
      </c>
      <c r="F312" s="171"/>
    </row>
    <row r="313" spans="1:6" s="110" customFormat="1" ht="15">
      <c r="A313" s="42"/>
      <c r="B313" s="37" t="s">
        <v>366</v>
      </c>
      <c r="C313" s="41" t="s">
        <v>138</v>
      </c>
      <c r="D313" s="152">
        <v>8.5</v>
      </c>
      <c r="E313" s="75">
        <f>E310*D313</f>
        <v>637.5</v>
      </c>
      <c r="F313" s="171"/>
    </row>
    <row r="314" spans="1:6" s="110" customFormat="1" ht="45">
      <c r="A314" s="42"/>
      <c r="B314" s="97" t="s">
        <v>365</v>
      </c>
      <c r="C314" s="135" t="s">
        <v>174</v>
      </c>
      <c r="D314" s="133">
        <v>1.18</v>
      </c>
      <c r="E314" s="134">
        <f>E310*D314</f>
        <v>88.5</v>
      </c>
      <c r="F314" s="171"/>
    </row>
    <row r="315" spans="1:6" s="110" customFormat="1" ht="15.75">
      <c r="A315" s="42"/>
      <c r="B315" s="97" t="s">
        <v>364</v>
      </c>
      <c r="C315" s="135" t="s">
        <v>174</v>
      </c>
      <c r="D315" s="133">
        <v>1.18</v>
      </c>
      <c r="E315" s="134">
        <f>E310*D315</f>
        <v>88.5</v>
      </c>
      <c r="F315" s="171"/>
    </row>
    <row r="316" spans="1:6" s="110" customFormat="1" ht="15">
      <c r="A316" s="42"/>
      <c r="B316" s="133" t="s">
        <v>267</v>
      </c>
      <c r="C316" s="133" t="s">
        <v>144</v>
      </c>
      <c r="D316" s="134">
        <f>10/100</f>
        <v>0.1</v>
      </c>
      <c r="E316" s="134">
        <f>D316*E310</f>
        <v>7.5</v>
      </c>
      <c r="F316" s="171"/>
    </row>
    <row r="317" spans="1:6" s="110" customFormat="1" ht="15">
      <c r="A317" s="42"/>
      <c r="B317" s="133" t="s">
        <v>159</v>
      </c>
      <c r="C317" s="133" t="s">
        <v>144</v>
      </c>
      <c r="D317" s="133">
        <f>10.6/100</f>
        <v>0.106</v>
      </c>
      <c r="E317" s="134">
        <f>D317*E310</f>
        <v>7.95</v>
      </c>
      <c r="F317" s="171"/>
    </row>
    <row r="318" spans="1:6" s="110" customFormat="1" ht="15">
      <c r="A318" s="42"/>
      <c r="B318" s="97" t="s">
        <v>145</v>
      </c>
      <c r="C318" s="135" t="s">
        <v>51</v>
      </c>
      <c r="D318" s="133">
        <f>8.28/100</f>
        <v>0.0828</v>
      </c>
      <c r="E318" s="134">
        <f>D318*E310</f>
        <v>6.21</v>
      </c>
      <c r="F318" s="171"/>
    </row>
    <row r="319" spans="1:6" s="146" customFormat="1" ht="30">
      <c r="A319" s="174">
        <f>A310+1</f>
        <v>4</v>
      </c>
      <c r="B319" s="97" t="s">
        <v>161</v>
      </c>
      <c r="C319" s="48" t="s">
        <v>174</v>
      </c>
      <c r="D319" s="97"/>
      <c r="E319" s="41">
        <v>90</v>
      </c>
      <c r="F319" s="171"/>
    </row>
    <row r="320" spans="1:6" s="146" customFormat="1" ht="15">
      <c r="A320" s="37"/>
      <c r="B320" s="37" t="s">
        <v>149</v>
      </c>
      <c r="C320" s="37" t="s">
        <v>58</v>
      </c>
      <c r="D320" s="148">
        <v>0.031</v>
      </c>
      <c r="E320" s="41">
        <f>E319*D320</f>
        <v>2.79</v>
      </c>
      <c r="F320" s="171"/>
    </row>
    <row r="321" spans="1:6" s="146" customFormat="1" ht="15">
      <c r="A321" s="37"/>
      <c r="B321" s="37" t="s">
        <v>56</v>
      </c>
      <c r="C321" s="41" t="s">
        <v>51</v>
      </c>
      <c r="D321" s="148">
        <v>0.002</v>
      </c>
      <c r="E321" s="41">
        <f>E319*D321</f>
        <v>0.18</v>
      </c>
      <c r="F321" s="171"/>
    </row>
    <row r="322" spans="1:6" s="146" customFormat="1" ht="15">
      <c r="A322" s="37"/>
      <c r="B322" s="97" t="s">
        <v>153</v>
      </c>
      <c r="C322" s="97" t="s">
        <v>144</v>
      </c>
      <c r="D322" s="148">
        <v>0.086</v>
      </c>
      <c r="E322" s="41">
        <f>E319*D322</f>
        <v>7.739999999999999</v>
      </c>
      <c r="F322" s="171"/>
    </row>
    <row r="323" spans="1:6" s="146" customFormat="1" ht="15">
      <c r="A323" s="37"/>
      <c r="B323" s="97" t="s">
        <v>154</v>
      </c>
      <c r="C323" s="97" t="s">
        <v>144</v>
      </c>
      <c r="D323" s="148">
        <v>0.015</v>
      </c>
      <c r="E323" s="41">
        <f>E319*D323</f>
        <v>1.3499999999999999</v>
      </c>
      <c r="F323" s="171"/>
    </row>
    <row r="324" spans="1:6" s="146" customFormat="1" ht="45">
      <c r="A324" s="174">
        <f>A319+1</f>
        <v>5</v>
      </c>
      <c r="B324" s="140" t="s">
        <v>239</v>
      </c>
      <c r="C324" s="48" t="s">
        <v>174</v>
      </c>
      <c r="D324" s="140"/>
      <c r="E324" s="175">
        <f>E319</f>
        <v>90</v>
      </c>
      <c r="F324" s="171"/>
    </row>
    <row r="325" spans="1:6" s="146" customFormat="1" ht="15">
      <c r="A325" s="97"/>
      <c r="B325" s="48" t="s">
        <v>139</v>
      </c>
      <c r="C325" s="48" t="s">
        <v>58</v>
      </c>
      <c r="D325" s="132">
        <v>0.68</v>
      </c>
      <c r="E325" s="149">
        <f>E324*D325</f>
        <v>61.2</v>
      </c>
      <c r="F325" s="171"/>
    </row>
    <row r="326" spans="1:6" s="146" customFormat="1" ht="15">
      <c r="A326" s="97"/>
      <c r="B326" s="48" t="s">
        <v>142</v>
      </c>
      <c r="C326" s="48" t="s">
        <v>51</v>
      </c>
      <c r="D326" s="132">
        <v>0.0003</v>
      </c>
      <c r="E326" s="149">
        <f>E324*D326</f>
        <v>0.026999999999999996</v>
      </c>
      <c r="F326" s="171"/>
    </row>
    <row r="327" spans="1:6" s="146" customFormat="1" ht="15">
      <c r="A327" s="97"/>
      <c r="B327" s="97" t="s">
        <v>146</v>
      </c>
      <c r="C327" s="132" t="s">
        <v>144</v>
      </c>
      <c r="D327" s="75">
        <v>0.251</v>
      </c>
      <c r="E327" s="149">
        <f>E324*D327</f>
        <v>22.59</v>
      </c>
      <c r="F327" s="171"/>
    </row>
    <row r="328" spans="1:6" s="146" customFormat="1" ht="15">
      <c r="A328" s="97"/>
      <c r="B328" s="132" t="s">
        <v>147</v>
      </c>
      <c r="C328" s="132" t="s">
        <v>144</v>
      </c>
      <c r="D328" s="132">
        <v>0.027</v>
      </c>
      <c r="E328" s="149">
        <f>E324*D328</f>
        <v>2.43</v>
      </c>
      <c r="F328" s="171"/>
    </row>
    <row r="329" spans="1:6" s="146" customFormat="1" ht="15">
      <c r="A329" s="97"/>
      <c r="B329" s="48" t="s">
        <v>145</v>
      </c>
      <c r="C329" s="48" t="s">
        <v>51</v>
      </c>
      <c r="D329" s="132">
        <v>0.0019</v>
      </c>
      <c r="E329" s="149">
        <f>E324*D329</f>
        <v>0.171</v>
      </c>
      <c r="F329" s="171"/>
    </row>
    <row r="330" spans="1:6" s="47" customFormat="1" ht="15.75">
      <c r="A330" s="173">
        <f>A324+1</f>
        <v>6</v>
      </c>
      <c r="B330" s="97" t="s">
        <v>302</v>
      </c>
      <c r="C330" s="97" t="s">
        <v>174</v>
      </c>
      <c r="D330" s="76"/>
      <c r="E330" s="44">
        <v>210</v>
      </c>
      <c r="F330" s="171"/>
    </row>
    <row r="331" spans="1:6" s="47" customFormat="1" ht="15">
      <c r="A331" s="97"/>
      <c r="B331" s="97" t="s">
        <v>149</v>
      </c>
      <c r="C331" s="97" t="s">
        <v>58</v>
      </c>
      <c r="D331" s="76">
        <f>45.9/100</f>
        <v>0.45899999999999996</v>
      </c>
      <c r="E331" s="76">
        <f>D331*E330</f>
        <v>96.38999999999999</v>
      </c>
      <c r="F331" s="171"/>
    </row>
    <row r="332" spans="1:6" s="47" customFormat="1" ht="15">
      <c r="A332" s="97"/>
      <c r="B332" s="153" t="s">
        <v>60</v>
      </c>
      <c r="C332" s="97" t="s">
        <v>51</v>
      </c>
      <c r="D332" s="76">
        <f>0.23/100</f>
        <v>0.0023</v>
      </c>
      <c r="E332" s="76">
        <f>D332*E330</f>
        <v>0.483</v>
      </c>
      <c r="F332" s="171"/>
    </row>
    <row r="333" spans="1:6" s="47" customFormat="1" ht="15">
      <c r="A333" s="97"/>
      <c r="B333" s="97" t="s">
        <v>303</v>
      </c>
      <c r="C333" s="97" t="s">
        <v>150</v>
      </c>
      <c r="D333" s="76">
        <f>0.035/100</f>
        <v>0.00035000000000000005</v>
      </c>
      <c r="E333" s="76">
        <f>D333*E330</f>
        <v>0.07350000000000001</v>
      </c>
      <c r="F333" s="171"/>
    </row>
    <row r="334" spans="1:6" s="47" customFormat="1" ht="15.75">
      <c r="A334" s="97"/>
      <c r="B334" s="97" t="s">
        <v>304</v>
      </c>
      <c r="C334" s="97" t="s">
        <v>188</v>
      </c>
      <c r="D334" s="76">
        <f>0.009/100</f>
        <v>8.999999999999999E-05</v>
      </c>
      <c r="E334" s="76">
        <f>D334*E330</f>
        <v>0.018899999999999997</v>
      </c>
      <c r="F334" s="171"/>
    </row>
    <row r="335" spans="1:6" s="47" customFormat="1" ht="15.75">
      <c r="A335" s="97"/>
      <c r="B335" s="97" t="s">
        <v>305</v>
      </c>
      <c r="C335" s="97" t="s">
        <v>174</v>
      </c>
      <c r="D335" s="76">
        <f>3.4/100</f>
        <v>0.034</v>
      </c>
      <c r="E335" s="76">
        <f>D335*E330</f>
        <v>7.140000000000001</v>
      </c>
      <c r="F335" s="171"/>
    </row>
    <row r="336" spans="1:246" s="155" customFormat="1" ht="75">
      <c r="A336" s="78">
        <f>A330+1</f>
        <v>7</v>
      </c>
      <c r="B336" s="126" t="s">
        <v>367</v>
      </c>
      <c r="C336" s="126" t="s">
        <v>174</v>
      </c>
      <c r="D336" s="192"/>
      <c r="E336" s="127">
        <v>12.6</v>
      </c>
      <c r="F336" s="171"/>
      <c r="G336" s="110"/>
      <c r="H336" s="110"/>
      <c r="I336" s="110"/>
      <c r="J336" s="110"/>
      <c r="K336" s="110"/>
      <c r="L336" s="110"/>
      <c r="M336" s="110"/>
      <c r="N336" s="110"/>
      <c r="O336" s="110"/>
      <c r="P336" s="110"/>
      <c r="Q336" s="110"/>
      <c r="R336" s="110"/>
      <c r="S336" s="110"/>
      <c r="T336" s="110"/>
      <c r="U336" s="110"/>
      <c r="V336" s="110"/>
      <c r="W336" s="110"/>
      <c r="X336" s="110"/>
      <c r="Y336" s="110"/>
      <c r="Z336" s="110"/>
      <c r="AA336" s="110"/>
      <c r="AB336" s="110"/>
      <c r="AC336" s="110"/>
      <c r="AD336" s="110"/>
      <c r="AE336" s="110"/>
      <c r="AF336" s="110"/>
      <c r="AG336" s="110"/>
      <c r="AH336" s="110"/>
      <c r="AI336" s="110"/>
      <c r="AJ336" s="110"/>
      <c r="AK336" s="110"/>
      <c r="AL336" s="110"/>
      <c r="AM336" s="110"/>
      <c r="AN336" s="110"/>
      <c r="AO336" s="110"/>
      <c r="AP336" s="110"/>
      <c r="AQ336" s="110"/>
      <c r="AR336" s="110"/>
      <c r="AS336" s="110"/>
      <c r="AT336" s="110"/>
      <c r="AU336" s="110"/>
      <c r="AV336" s="110"/>
      <c r="AW336" s="110"/>
      <c r="AX336" s="110"/>
      <c r="AY336" s="110"/>
      <c r="AZ336" s="110"/>
      <c r="BA336" s="110"/>
      <c r="BB336" s="110"/>
      <c r="BC336" s="110"/>
      <c r="BD336" s="110"/>
      <c r="BE336" s="110"/>
      <c r="BF336" s="110"/>
      <c r="BG336" s="110"/>
      <c r="BH336" s="110"/>
      <c r="BI336" s="110"/>
      <c r="BJ336" s="110"/>
      <c r="BK336" s="110"/>
      <c r="BL336" s="110"/>
      <c r="BM336" s="110"/>
      <c r="BN336" s="110"/>
      <c r="BO336" s="110"/>
      <c r="BP336" s="110"/>
      <c r="BQ336" s="110"/>
      <c r="BR336" s="110"/>
      <c r="BS336" s="110"/>
      <c r="BT336" s="110"/>
      <c r="BU336" s="110"/>
      <c r="BV336" s="110"/>
      <c r="BW336" s="110"/>
      <c r="BX336" s="110"/>
      <c r="BY336" s="110"/>
      <c r="BZ336" s="110"/>
      <c r="CA336" s="110"/>
      <c r="CB336" s="110"/>
      <c r="CC336" s="110"/>
      <c r="CD336" s="110"/>
      <c r="CE336" s="110"/>
      <c r="CF336" s="110"/>
      <c r="CG336" s="110"/>
      <c r="CH336" s="110"/>
      <c r="CI336" s="110"/>
      <c r="CJ336" s="110"/>
      <c r="CK336" s="110"/>
      <c r="CL336" s="110"/>
      <c r="CM336" s="110"/>
      <c r="CN336" s="110"/>
      <c r="CO336" s="110"/>
      <c r="CP336" s="110"/>
      <c r="CQ336" s="110"/>
      <c r="CR336" s="110"/>
      <c r="CS336" s="110"/>
      <c r="CT336" s="110"/>
      <c r="CU336" s="110"/>
      <c r="CV336" s="110"/>
      <c r="CW336" s="110"/>
      <c r="CX336" s="110"/>
      <c r="CY336" s="110"/>
      <c r="CZ336" s="110"/>
      <c r="DA336" s="110"/>
      <c r="DB336" s="110"/>
      <c r="DC336" s="110"/>
      <c r="DD336" s="110"/>
      <c r="DE336" s="110"/>
      <c r="DF336" s="110"/>
      <c r="DG336" s="110"/>
      <c r="DH336" s="110"/>
      <c r="DI336" s="110"/>
      <c r="DJ336" s="110"/>
      <c r="DK336" s="110"/>
      <c r="DL336" s="110"/>
      <c r="DM336" s="110"/>
      <c r="DN336" s="110"/>
      <c r="DO336" s="110"/>
      <c r="DP336" s="110"/>
      <c r="DQ336" s="110"/>
      <c r="DR336" s="110"/>
      <c r="DS336" s="110"/>
      <c r="DT336" s="110"/>
      <c r="DU336" s="110"/>
      <c r="DV336" s="110"/>
      <c r="DW336" s="110"/>
      <c r="DX336" s="110"/>
      <c r="DY336" s="110"/>
      <c r="DZ336" s="110"/>
      <c r="EA336" s="110"/>
      <c r="EB336" s="110"/>
      <c r="EC336" s="110"/>
      <c r="ED336" s="110"/>
      <c r="EE336" s="110"/>
      <c r="EF336" s="110"/>
      <c r="EG336" s="110"/>
      <c r="EH336" s="110"/>
      <c r="EI336" s="110"/>
      <c r="EJ336" s="110"/>
      <c r="EK336" s="110"/>
      <c r="EL336" s="110"/>
      <c r="EM336" s="110"/>
      <c r="EN336" s="110"/>
      <c r="EO336" s="110"/>
      <c r="EP336" s="110"/>
      <c r="EQ336" s="110"/>
      <c r="ER336" s="110"/>
      <c r="ES336" s="110"/>
      <c r="ET336" s="110"/>
      <c r="EU336" s="110"/>
      <c r="EV336" s="110"/>
      <c r="EW336" s="110"/>
      <c r="EX336" s="110"/>
      <c r="EY336" s="110"/>
      <c r="EZ336" s="110"/>
      <c r="FA336" s="110"/>
      <c r="FB336" s="110"/>
      <c r="FC336" s="110"/>
      <c r="FD336" s="110"/>
      <c r="FE336" s="110"/>
      <c r="FF336" s="110"/>
      <c r="FG336" s="110"/>
      <c r="FH336" s="110"/>
      <c r="FI336" s="110"/>
      <c r="FJ336" s="110"/>
      <c r="FK336" s="110"/>
      <c r="FL336" s="110"/>
      <c r="FM336" s="110"/>
      <c r="FN336" s="110"/>
      <c r="FO336" s="110"/>
      <c r="FP336" s="110"/>
      <c r="FQ336" s="110"/>
      <c r="FR336" s="110"/>
      <c r="FS336" s="110"/>
      <c r="FT336" s="110"/>
      <c r="FU336" s="110"/>
      <c r="FV336" s="110"/>
      <c r="FW336" s="110"/>
      <c r="FX336" s="110"/>
      <c r="FY336" s="110"/>
      <c r="FZ336" s="110"/>
      <c r="GA336" s="110"/>
      <c r="GB336" s="110"/>
      <c r="GC336" s="110"/>
      <c r="GD336" s="110"/>
      <c r="GE336" s="110"/>
      <c r="GF336" s="110"/>
      <c r="GG336" s="110"/>
      <c r="GH336" s="110"/>
      <c r="GI336" s="110"/>
      <c r="GJ336" s="110"/>
      <c r="GK336" s="110"/>
      <c r="GL336" s="110"/>
      <c r="GM336" s="110"/>
      <c r="GN336" s="110"/>
      <c r="GO336" s="110"/>
      <c r="GP336" s="110"/>
      <c r="GQ336" s="110"/>
      <c r="GR336" s="110"/>
      <c r="GS336" s="110"/>
      <c r="GT336" s="110"/>
      <c r="GU336" s="110"/>
      <c r="GV336" s="110"/>
      <c r="GW336" s="110"/>
      <c r="GX336" s="110"/>
      <c r="GY336" s="110"/>
      <c r="GZ336" s="110"/>
      <c r="HA336" s="110"/>
      <c r="HB336" s="110"/>
      <c r="HC336" s="110"/>
      <c r="HD336" s="110"/>
      <c r="HE336" s="110"/>
      <c r="HF336" s="110"/>
      <c r="HG336" s="110"/>
      <c r="HH336" s="110"/>
      <c r="HI336" s="110"/>
      <c r="HJ336" s="110"/>
      <c r="HK336" s="110"/>
      <c r="HL336" s="110"/>
      <c r="HM336" s="110"/>
      <c r="HN336" s="110"/>
      <c r="HO336" s="110"/>
      <c r="HP336" s="110"/>
      <c r="HQ336" s="110"/>
      <c r="HR336" s="110"/>
      <c r="HS336" s="110"/>
      <c r="HT336" s="110"/>
      <c r="HU336" s="110"/>
      <c r="HV336" s="110"/>
      <c r="HW336" s="110"/>
      <c r="HX336" s="110"/>
      <c r="HY336" s="110"/>
      <c r="HZ336" s="110"/>
      <c r="IA336" s="110"/>
      <c r="IB336" s="110"/>
      <c r="IC336" s="110"/>
      <c r="ID336" s="110"/>
      <c r="IE336" s="110"/>
      <c r="IF336" s="110"/>
      <c r="IG336" s="110"/>
      <c r="IH336" s="110"/>
      <c r="II336" s="110"/>
      <c r="IJ336" s="110"/>
      <c r="IK336" s="110"/>
      <c r="IL336" s="154"/>
    </row>
    <row r="337" spans="1:246" s="155" customFormat="1" ht="15">
      <c r="A337" s="156"/>
      <c r="B337" s="37" t="s">
        <v>139</v>
      </c>
      <c r="C337" s="126" t="s">
        <v>58</v>
      </c>
      <c r="D337" s="127">
        <f>600/100</f>
        <v>6</v>
      </c>
      <c r="E337" s="138">
        <f>D337*E336</f>
        <v>75.6</v>
      </c>
      <c r="F337" s="171"/>
      <c r="G337" s="110"/>
      <c r="H337" s="110"/>
      <c r="I337" s="110"/>
      <c r="J337" s="110"/>
      <c r="K337" s="110"/>
      <c r="L337" s="110"/>
      <c r="M337" s="110"/>
      <c r="N337" s="110"/>
      <c r="O337" s="110"/>
      <c r="P337" s="110"/>
      <c r="Q337" s="110"/>
      <c r="R337" s="110"/>
      <c r="S337" s="110"/>
      <c r="T337" s="110"/>
      <c r="U337" s="110"/>
      <c r="V337" s="110"/>
      <c r="W337" s="110"/>
      <c r="X337" s="110"/>
      <c r="Y337" s="110"/>
      <c r="Z337" s="110"/>
      <c r="AA337" s="110"/>
      <c r="AB337" s="110"/>
      <c r="AC337" s="110"/>
      <c r="AD337" s="110"/>
      <c r="AE337" s="110"/>
      <c r="AF337" s="110"/>
      <c r="AG337" s="110"/>
      <c r="AH337" s="110"/>
      <c r="AI337" s="110"/>
      <c r="AJ337" s="110"/>
      <c r="AK337" s="110"/>
      <c r="AL337" s="110"/>
      <c r="AM337" s="110"/>
      <c r="AN337" s="110"/>
      <c r="AO337" s="110"/>
      <c r="AP337" s="110"/>
      <c r="AQ337" s="110"/>
      <c r="AR337" s="110"/>
      <c r="AS337" s="110"/>
      <c r="AT337" s="110"/>
      <c r="AU337" s="110"/>
      <c r="AV337" s="110"/>
      <c r="AW337" s="110"/>
      <c r="AX337" s="110"/>
      <c r="AY337" s="110"/>
      <c r="AZ337" s="110"/>
      <c r="BA337" s="110"/>
      <c r="BB337" s="110"/>
      <c r="BC337" s="110"/>
      <c r="BD337" s="110"/>
      <c r="BE337" s="110"/>
      <c r="BF337" s="110"/>
      <c r="BG337" s="110"/>
      <c r="BH337" s="110"/>
      <c r="BI337" s="110"/>
      <c r="BJ337" s="110"/>
      <c r="BK337" s="110"/>
      <c r="BL337" s="110"/>
      <c r="BM337" s="110"/>
      <c r="BN337" s="110"/>
      <c r="BO337" s="110"/>
      <c r="BP337" s="110"/>
      <c r="BQ337" s="110"/>
      <c r="BR337" s="110"/>
      <c r="BS337" s="110"/>
      <c r="BT337" s="110"/>
      <c r="BU337" s="110"/>
      <c r="BV337" s="110"/>
      <c r="BW337" s="110"/>
      <c r="BX337" s="110"/>
      <c r="BY337" s="110"/>
      <c r="BZ337" s="110"/>
      <c r="CA337" s="110"/>
      <c r="CB337" s="110"/>
      <c r="CC337" s="110"/>
      <c r="CD337" s="110"/>
      <c r="CE337" s="110"/>
      <c r="CF337" s="110"/>
      <c r="CG337" s="110"/>
      <c r="CH337" s="110"/>
      <c r="CI337" s="110"/>
      <c r="CJ337" s="110"/>
      <c r="CK337" s="110"/>
      <c r="CL337" s="110"/>
      <c r="CM337" s="110"/>
      <c r="CN337" s="110"/>
      <c r="CO337" s="110"/>
      <c r="CP337" s="110"/>
      <c r="CQ337" s="110"/>
      <c r="CR337" s="110"/>
      <c r="CS337" s="110"/>
      <c r="CT337" s="110"/>
      <c r="CU337" s="110"/>
      <c r="CV337" s="110"/>
      <c r="CW337" s="110"/>
      <c r="CX337" s="110"/>
      <c r="CY337" s="110"/>
      <c r="CZ337" s="110"/>
      <c r="DA337" s="110"/>
      <c r="DB337" s="110"/>
      <c r="DC337" s="110"/>
      <c r="DD337" s="110"/>
      <c r="DE337" s="110"/>
      <c r="DF337" s="110"/>
      <c r="DG337" s="110"/>
      <c r="DH337" s="110"/>
      <c r="DI337" s="110"/>
      <c r="DJ337" s="110"/>
      <c r="DK337" s="110"/>
      <c r="DL337" s="110"/>
      <c r="DM337" s="110"/>
      <c r="DN337" s="110"/>
      <c r="DO337" s="110"/>
      <c r="DP337" s="110"/>
      <c r="DQ337" s="110"/>
      <c r="DR337" s="110"/>
      <c r="DS337" s="110"/>
      <c r="DT337" s="110"/>
      <c r="DU337" s="110"/>
      <c r="DV337" s="110"/>
      <c r="DW337" s="110"/>
      <c r="DX337" s="110"/>
      <c r="DY337" s="110"/>
      <c r="DZ337" s="110"/>
      <c r="EA337" s="110"/>
      <c r="EB337" s="110"/>
      <c r="EC337" s="110"/>
      <c r="ED337" s="110"/>
      <c r="EE337" s="110"/>
      <c r="EF337" s="110"/>
      <c r="EG337" s="110"/>
      <c r="EH337" s="110"/>
      <c r="EI337" s="110"/>
      <c r="EJ337" s="110"/>
      <c r="EK337" s="110"/>
      <c r="EL337" s="110"/>
      <c r="EM337" s="110"/>
      <c r="EN337" s="110"/>
      <c r="EO337" s="110"/>
      <c r="EP337" s="110"/>
      <c r="EQ337" s="110"/>
      <c r="ER337" s="110"/>
      <c r="ES337" s="110"/>
      <c r="ET337" s="110"/>
      <c r="EU337" s="110"/>
      <c r="EV337" s="110"/>
      <c r="EW337" s="110"/>
      <c r="EX337" s="110"/>
      <c r="EY337" s="110"/>
      <c r="EZ337" s="110"/>
      <c r="FA337" s="110"/>
      <c r="FB337" s="110"/>
      <c r="FC337" s="110"/>
      <c r="FD337" s="110"/>
      <c r="FE337" s="110"/>
      <c r="FF337" s="110"/>
      <c r="FG337" s="110"/>
      <c r="FH337" s="110"/>
      <c r="FI337" s="110"/>
      <c r="FJ337" s="110"/>
      <c r="FK337" s="110"/>
      <c r="FL337" s="110"/>
      <c r="FM337" s="110"/>
      <c r="FN337" s="110"/>
      <c r="FO337" s="110"/>
      <c r="FP337" s="110"/>
      <c r="FQ337" s="110"/>
      <c r="FR337" s="110"/>
      <c r="FS337" s="110"/>
      <c r="FT337" s="110"/>
      <c r="FU337" s="110"/>
      <c r="FV337" s="110"/>
      <c r="FW337" s="110"/>
      <c r="FX337" s="110"/>
      <c r="FY337" s="110"/>
      <c r="FZ337" s="110"/>
      <c r="GA337" s="110"/>
      <c r="GB337" s="110"/>
      <c r="GC337" s="110"/>
      <c r="GD337" s="110"/>
      <c r="GE337" s="110"/>
      <c r="GF337" s="110"/>
      <c r="GG337" s="110"/>
      <c r="GH337" s="110"/>
      <c r="GI337" s="110"/>
      <c r="GJ337" s="110"/>
      <c r="GK337" s="110"/>
      <c r="GL337" s="110"/>
      <c r="GM337" s="110"/>
      <c r="GN337" s="110"/>
      <c r="GO337" s="110"/>
      <c r="GP337" s="110"/>
      <c r="GQ337" s="110"/>
      <c r="GR337" s="110"/>
      <c r="GS337" s="110"/>
      <c r="GT337" s="110"/>
      <c r="GU337" s="110"/>
      <c r="GV337" s="110"/>
      <c r="GW337" s="110"/>
      <c r="GX337" s="110"/>
      <c r="GY337" s="110"/>
      <c r="GZ337" s="110"/>
      <c r="HA337" s="110"/>
      <c r="HB337" s="110"/>
      <c r="HC337" s="110"/>
      <c r="HD337" s="110"/>
      <c r="HE337" s="110"/>
      <c r="HF337" s="110"/>
      <c r="HG337" s="110"/>
      <c r="HH337" s="110"/>
      <c r="HI337" s="110"/>
      <c r="HJ337" s="110"/>
      <c r="HK337" s="110"/>
      <c r="HL337" s="110"/>
      <c r="HM337" s="110"/>
      <c r="HN337" s="110"/>
      <c r="HO337" s="110"/>
      <c r="HP337" s="110"/>
      <c r="HQ337" s="110"/>
      <c r="HR337" s="110"/>
      <c r="HS337" s="110"/>
      <c r="HT337" s="110"/>
      <c r="HU337" s="110"/>
      <c r="HV337" s="110"/>
      <c r="HW337" s="110"/>
      <c r="HX337" s="110"/>
      <c r="HY337" s="110"/>
      <c r="HZ337" s="110"/>
      <c r="IA337" s="110"/>
      <c r="IB337" s="110"/>
      <c r="IC337" s="110"/>
      <c r="ID337" s="110"/>
      <c r="IE337" s="110"/>
      <c r="IF337" s="110"/>
      <c r="IG337" s="110"/>
      <c r="IH337" s="110"/>
      <c r="II337" s="110"/>
      <c r="IJ337" s="110"/>
      <c r="IK337" s="110"/>
      <c r="IL337" s="154"/>
    </row>
    <row r="338" spans="1:246" s="155" customFormat="1" ht="15">
      <c r="A338" s="156"/>
      <c r="B338" s="126" t="s">
        <v>195</v>
      </c>
      <c r="C338" s="136" t="s">
        <v>51</v>
      </c>
      <c r="D338" s="137">
        <f>18/100</f>
        <v>0.18</v>
      </c>
      <c r="E338" s="138">
        <f>D338*E336</f>
        <v>2.268</v>
      </c>
      <c r="F338" s="171"/>
      <c r="G338" s="110"/>
      <c r="H338" s="110"/>
      <c r="I338" s="110"/>
      <c r="J338" s="110"/>
      <c r="K338" s="110"/>
      <c r="L338" s="110"/>
      <c r="M338" s="110"/>
      <c r="N338" s="110"/>
      <c r="O338" s="110"/>
      <c r="P338" s="110"/>
      <c r="Q338" s="110"/>
      <c r="R338" s="110"/>
      <c r="S338" s="110"/>
      <c r="T338" s="110"/>
      <c r="U338" s="110"/>
      <c r="V338" s="110"/>
      <c r="W338" s="110"/>
      <c r="X338" s="110"/>
      <c r="Y338" s="110"/>
      <c r="Z338" s="110"/>
      <c r="AA338" s="110"/>
      <c r="AB338" s="110"/>
      <c r="AC338" s="110"/>
      <c r="AD338" s="110"/>
      <c r="AE338" s="110"/>
      <c r="AF338" s="110"/>
      <c r="AG338" s="110"/>
      <c r="AH338" s="110"/>
      <c r="AI338" s="110"/>
      <c r="AJ338" s="110"/>
      <c r="AK338" s="110"/>
      <c r="AL338" s="110"/>
      <c r="AM338" s="110"/>
      <c r="AN338" s="110"/>
      <c r="AO338" s="110"/>
      <c r="AP338" s="110"/>
      <c r="AQ338" s="110"/>
      <c r="AR338" s="110"/>
      <c r="AS338" s="110"/>
      <c r="AT338" s="110"/>
      <c r="AU338" s="110"/>
      <c r="AV338" s="110"/>
      <c r="AW338" s="110"/>
      <c r="AX338" s="110"/>
      <c r="AY338" s="110"/>
      <c r="AZ338" s="110"/>
      <c r="BA338" s="110"/>
      <c r="BB338" s="110"/>
      <c r="BC338" s="110"/>
      <c r="BD338" s="110"/>
      <c r="BE338" s="110"/>
      <c r="BF338" s="110"/>
      <c r="BG338" s="110"/>
      <c r="BH338" s="110"/>
      <c r="BI338" s="110"/>
      <c r="BJ338" s="110"/>
      <c r="BK338" s="110"/>
      <c r="BL338" s="110"/>
      <c r="BM338" s="110"/>
      <c r="BN338" s="110"/>
      <c r="BO338" s="110"/>
      <c r="BP338" s="110"/>
      <c r="BQ338" s="110"/>
      <c r="BR338" s="110"/>
      <c r="BS338" s="110"/>
      <c r="BT338" s="110"/>
      <c r="BU338" s="110"/>
      <c r="BV338" s="110"/>
      <c r="BW338" s="110"/>
      <c r="BX338" s="110"/>
      <c r="BY338" s="110"/>
      <c r="BZ338" s="110"/>
      <c r="CA338" s="110"/>
      <c r="CB338" s="110"/>
      <c r="CC338" s="110"/>
      <c r="CD338" s="110"/>
      <c r="CE338" s="110"/>
      <c r="CF338" s="110"/>
      <c r="CG338" s="110"/>
      <c r="CH338" s="110"/>
      <c r="CI338" s="110"/>
      <c r="CJ338" s="110"/>
      <c r="CK338" s="110"/>
      <c r="CL338" s="110"/>
      <c r="CM338" s="110"/>
      <c r="CN338" s="110"/>
      <c r="CO338" s="110"/>
      <c r="CP338" s="110"/>
      <c r="CQ338" s="110"/>
      <c r="CR338" s="110"/>
      <c r="CS338" s="110"/>
      <c r="CT338" s="110"/>
      <c r="CU338" s="110"/>
      <c r="CV338" s="110"/>
      <c r="CW338" s="110"/>
      <c r="CX338" s="110"/>
      <c r="CY338" s="110"/>
      <c r="CZ338" s="110"/>
      <c r="DA338" s="110"/>
      <c r="DB338" s="110"/>
      <c r="DC338" s="110"/>
      <c r="DD338" s="110"/>
      <c r="DE338" s="110"/>
      <c r="DF338" s="110"/>
      <c r="DG338" s="110"/>
      <c r="DH338" s="110"/>
      <c r="DI338" s="110"/>
      <c r="DJ338" s="110"/>
      <c r="DK338" s="110"/>
      <c r="DL338" s="110"/>
      <c r="DM338" s="110"/>
      <c r="DN338" s="110"/>
      <c r="DO338" s="110"/>
      <c r="DP338" s="110"/>
      <c r="DQ338" s="110"/>
      <c r="DR338" s="110"/>
      <c r="DS338" s="110"/>
      <c r="DT338" s="110"/>
      <c r="DU338" s="110"/>
      <c r="DV338" s="110"/>
      <c r="DW338" s="110"/>
      <c r="DX338" s="110"/>
      <c r="DY338" s="110"/>
      <c r="DZ338" s="110"/>
      <c r="EA338" s="110"/>
      <c r="EB338" s="110"/>
      <c r="EC338" s="110"/>
      <c r="ED338" s="110"/>
      <c r="EE338" s="110"/>
      <c r="EF338" s="110"/>
      <c r="EG338" s="110"/>
      <c r="EH338" s="110"/>
      <c r="EI338" s="110"/>
      <c r="EJ338" s="110"/>
      <c r="EK338" s="110"/>
      <c r="EL338" s="110"/>
      <c r="EM338" s="110"/>
      <c r="EN338" s="110"/>
      <c r="EO338" s="110"/>
      <c r="EP338" s="110"/>
      <c r="EQ338" s="110"/>
      <c r="ER338" s="110"/>
      <c r="ES338" s="110"/>
      <c r="ET338" s="110"/>
      <c r="EU338" s="110"/>
      <c r="EV338" s="110"/>
      <c r="EW338" s="110"/>
      <c r="EX338" s="110"/>
      <c r="EY338" s="110"/>
      <c r="EZ338" s="110"/>
      <c r="FA338" s="110"/>
      <c r="FB338" s="110"/>
      <c r="FC338" s="110"/>
      <c r="FD338" s="110"/>
      <c r="FE338" s="110"/>
      <c r="FF338" s="110"/>
      <c r="FG338" s="110"/>
      <c r="FH338" s="110"/>
      <c r="FI338" s="110"/>
      <c r="FJ338" s="110"/>
      <c r="FK338" s="110"/>
      <c r="FL338" s="110"/>
      <c r="FM338" s="110"/>
      <c r="FN338" s="110"/>
      <c r="FO338" s="110"/>
      <c r="FP338" s="110"/>
      <c r="FQ338" s="110"/>
      <c r="FR338" s="110"/>
      <c r="FS338" s="110"/>
      <c r="FT338" s="110"/>
      <c r="FU338" s="110"/>
      <c r="FV338" s="110"/>
      <c r="FW338" s="110"/>
      <c r="FX338" s="110"/>
      <c r="FY338" s="110"/>
      <c r="FZ338" s="110"/>
      <c r="GA338" s="110"/>
      <c r="GB338" s="110"/>
      <c r="GC338" s="110"/>
      <c r="GD338" s="110"/>
      <c r="GE338" s="110"/>
      <c r="GF338" s="110"/>
      <c r="GG338" s="110"/>
      <c r="GH338" s="110"/>
      <c r="GI338" s="110"/>
      <c r="GJ338" s="110"/>
      <c r="GK338" s="110"/>
      <c r="GL338" s="110"/>
      <c r="GM338" s="110"/>
      <c r="GN338" s="110"/>
      <c r="GO338" s="110"/>
      <c r="GP338" s="110"/>
      <c r="GQ338" s="110"/>
      <c r="GR338" s="110"/>
      <c r="GS338" s="110"/>
      <c r="GT338" s="110"/>
      <c r="GU338" s="110"/>
      <c r="GV338" s="110"/>
      <c r="GW338" s="110"/>
      <c r="GX338" s="110"/>
      <c r="GY338" s="110"/>
      <c r="GZ338" s="110"/>
      <c r="HA338" s="110"/>
      <c r="HB338" s="110"/>
      <c r="HC338" s="110"/>
      <c r="HD338" s="110"/>
      <c r="HE338" s="110"/>
      <c r="HF338" s="110"/>
      <c r="HG338" s="110"/>
      <c r="HH338" s="110"/>
      <c r="HI338" s="110"/>
      <c r="HJ338" s="110"/>
      <c r="HK338" s="110"/>
      <c r="HL338" s="110"/>
      <c r="HM338" s="110"/>
      <c r="HN338" s="110"/>
      <c r="HO338" s="110"/>
      <c r="HP338" s="110"/>
      <c r="HQ338" s="110"/>
      <c r="HR338" s="110"/>
      <c r="HS338" s="110"/>
      <c r="HT338" s="110"/>
      <c r="HU338" s="110"/>
      <c r="HV338" s="110"/>
      <c r="HW338" s="110"/>
      <c r="HX338" s="110"/>
      <c r="HY338" s="110"/>
      <c r="HZ338" s="110"/>
      <c r="IA338" s="110"/>
      <c r="IB338" s="110"/>
      <c r="IC338" s="110"/>
      <c r="ID338" s="110"/>
      <c r="IE338" s="110"/>
      <c r="IF338" s="110"/>
      <c r="IG338" s="110"/>
      <c r="IH338" s="110"/>
      <c r="II338" s="110"/>
      <c r="IJ338" s="110"/>
      <c r="IK338" s="110"/>
      <c r="IL338" s="154"/>
    </row>
    <row r="339" spans="1:246" s="155" customFormat="1" ht="30">
      <c r="A339" s="156"/>
      <c r="B339" s="139" t="s">
        <v>272</v>
      </c>
      <c r="C339" s="136" t="s">
        <v>384</v>
      </c>
      <c r="D339" s="127">
        <f>102/100</f>
        <v>1.02</v>
      </c>
      <c r="E339" s="138">
        <f>D339*E336</f>
        <v>12.852</v>
      </c>
      <c r="F339" s="171"/>
      <c r="G339" s="110"/>
      <c r="H339" s="110"/>
      <c r="I339" s="110"/>
      <c r="J339" s="110"/>
      <c r="K339" s="110"/>
      <c r="L339" s="110"/>
      <c r="M339" s="110"/>
      <c r="N339" s="110"/>
      <c r="O339" s="110"/>
      <c r="P339" s="110"/>
      <c r="Q339" s="110"/>
      <c r="R339" s="110"/>
      <c r="S339" s="110"/>
      <c r="T339" s="110"/>
      <c r="U339" s="110"/>
      <c r="V339" s="110"/>
      <c r="W339" s="110"/>
      <c r="X339" s="110"/>
      <c r="Y339" s="110"/>
      <c r="Z339" s="110"/>
      <c r="AA339" s="110"/>
      <c r="AB339" s="110"/>
      <c r="AC339" s="110"/>
      <c r="AD339" s="110"/>
      <c r="AE339" s="110"/>
      <c r="AF339" s="110"/>
      <c r="AG339" s="110"/>
      <c r="AH339" s="110"/>
      <c r="AI339" s="110"/>
      <c r="AJ339" s="110"/>
      <c r="AK339" s="110"/>
      <c r="AL339" s="110"/>
      <c r="AM339" s="110"/>
      <c r="AN339" s="110"/>
      <c r="AO339" s="110"/>
      <c r="AP339" s="110"/>
      <c r="AQ339" s="110"/>
      <c r="AR339" s="110"/>
      <c r="AS339" s="110"/>
      <c r="AT339" s="110"/>
      <c r="AU339" s="110"/>
      <c r="AV339" s="110"/>
      <c r="AW339" s="110"/>
      <c r="AX339" s="110"/>
      <c r="AY339" s="110"/>
      <c r="AZ339" s="110"/>
      <c r="BA339" s="110"/>
      <c r="BB339" s="110"/>
      <c r="BC339" s="110"/>
      <c r="BD339" s="110"/>
      <c r="BE339" s="110"/>
      <c r="BF339" s="110"/>
      <c r="BG339" s="110"/>
      <c r="BH339" s="110"/>
      <c r="BI339" s="110"/>
      <c r="BJ339" s="110"/>
      <c r="BK339" s="110"/>
      <c r="BL339" s="110"/>
      <c r="BM339" s="110"/>
      <c r="BN339" s="110"/>
      <c r="BO339" s="110"/>
      <c r="BP339" s="110"/>
      <c r="BQ339" s="110"/>
      <c r="BR339" s="110"/>
      <c r="BS339" s="110"/>
      <c r="BT339" s="110"/>
      <c r="BU339" s="110"/>
      <c r="BV339" s="110"/>
      <c r="BW339" s="110"/>
      <c r="BX339" s="110"/>
      <c r="BY339" s="110"/>
      <c r="BZ339" s="110"/>
      <c r="CA339" s="110"/>
      <c r="CB339" s="110"/>
      <c r="CC339" s="110"/>
      <c r="CD339" s="110"/>
      <c r="CE339" s="110"/>
      <c r="CF339" s="110"/>
      <c r="CG339" s="110"/>
      <c r="CH339" s="110"/>
      <c r="CI339" s="110"/>
      <c r="CJ339" s="110"/>
      <c r="CK339" s="110"/>
      <c r="CL339" s="110"/>
      <c r="CM339" s="110"/>
      <c r="CN339" s="110"/>
      <c r="CO339" s="110"/>
      <c r="CP339" s="110"/>
      <c r="CQ339" s="110"/>
      <c r="CR339" s="110"/>
      <c r="CS339" s="110"/>
      <c r="CT339" s="110"/>
      <c r="CU339" s="110"/>
      <c r="CV339" s="110"/>
      <c r="CW339" s="110"/>
      <c r="CX339" s="110"/>
      <c r="CY339" s="110"/>
      <c r="CZ339" s="110"/>
      <c r="DA339" s="110"/>
      <c r="DB339" s="110"/>
      <c r="DC339" s="110"/>
      <c r="DD339" s="110"/>
      <c r="DE339" s="110"/>
      <c r="DF339" s="110"/>
      <c r="DG339" s="110"/>
      <c r="DH339" s="110"/>
      <c r="DI339" s="110"/>
      <c r="DJ339" s="110"/>
      <c r="DK339" s="110"/>
      <c r="DL339" s="110"/>
      <c r="DM339" s="110"/>
      <c r="DN339" s="110"/>
      <c r="DO339" s="110"/>
      <c r="DP339" s="110"/>
      <c r="DQ339" s="110"/>
      <c r="DR339" s="110"/>
      <c r="DS339" s="110"/>
      <c r="DT339" s="110"/>
      <c r="DU339" s="110"/>
      <c r="DV339" s="110"/>
      <c r="DW339" s="110"/>
      <c r="DX339" s="110"/>
      <c r="DY339" s="110"/>
      <c r="DZ339" s="110"/>
      <c r="EA339" s="110"/>
      <c r="EB339" s="110"/>
      <c r="EC339" s="110"/>
      <c r="ED339" s="110"/>
      <c r="EE339" s="110"/>
      <c r="EF339" s="110"/>
      <c r="EG339" s="110"/>
      <c r="EH339" s="110"/>
      <c r="EI339" s="110"/>
      <c r="EJ339" s="110"/>
      <c r="EK339" s="110"/>
      <c r="EL339" s="110"/>
      <c r="EM339" s="110"/>
      <c r="EN339" s="110"/>
      <c r="EO339" s="110"/>
      <c r="EP339" s="110"/>
      <c r="EQ339" s="110"/>
      <c r="ER339" s="110"/>
      <c r="ES339" s="110"/>
      <c r="ET339" s="110"/>
      <c r="EU339" s="110"/>
      <c r="EV339" s="110"/>
      <c r="EW339" s="110"/>
      <c r="EX339" s="110"/>
      <c r="EY339" s="110"/>
      <c r="EZ339" s="110"/>
      <c r="FA339" s="110"/>
      <c r="FB339" s="110"/>
      <c r="FC339" s="110"/>
      <c r="FD339" s="110"/>
      <c r="FE339" s="110"/>
      <c r="FF339" s="110"/>
      <c r="FG339" s="110"/>
      <c r="FH339" s="110"/>
      <c r="FI339" s="110"/>
      <c r="FJ339" s="110"/>
      <c r="FK339" s="110"/>
      <c r="FL339" s="110"/>
      <c r="FM339" s="110"/>
      <c r="FN339" s="110"/>
      <c r="FO339" s="110"/>
      <c r="FP339" s="110"/>
      <c r="FQ339" s="110"/>
      <c r="FR339" s="110"/>
      <c r="FS339" s="110"/>
      <c r="FT339" s="110"/>
      <c r="FU339" s="110"/>
      <c r="FV339" s="110"/>
      <c r="FW339" s="110"/>
      <c r="FX339" s="110"/>
      <c r="FY339" s="110"/>
      <c r="FZ339" s="110"/>
      <c r="GA339" s="110"/>
      <c r="GB339" s="110"/>
      <c r="GC339" s="110"/>
      <c r="GD339" s="110"/>
      <c r="GE339" s="110"/>
      <c r="GF339" s="110"/>
      <c r="GG339" s="110"/>
      <c r="GH339" s="110"/>
      <c r="GI339" s="110"/>
      <c r="GJ339" s="110"/>
      <c r="GK339" s="110"/>
      <c r="GL339" s="110"/>
      <c r="GM339" s="110"/>
      <c r="GN339" s="110"/>
      <c r="GO339" s="110"/>
      <c r="GP339" s="110"/>
      <c r="GQ339" s="110"/>
      <c r="GR339" s="110"/>
      <c r="GS339" s="110"/>
      <c r="GT339" s="110"/>
      <c r="GU339" s="110"/>
      <c r="GV339" s="110"/>
      <c r="GW339" s="110"/>
      <c r="GX339" s="110"/>
      <c r="GY339" s="110"/>
      <c r="GZ339" s="110"/>
      <c r="HA339" s="110"/>
      <c r="HB339" s="110"/>
      <c r="HC339" s="110"/>
      <c r="HD339" s="110"/>
      <c r="HE339" s="110"/>
      <c r="HF339" s="110"/>
      <c r="HG339" s="110"/>
      <c r="HH339" s="110"/>
      <c r="HI339" s="110"/>
      <c r="HJ339" s="110"/>
      <c r="HK339" s="110"/>
      <c r="HL339" s="110"/>
      <c r="HM339" s="110"/>
      <c r="HN339" s="110"/>
      <c r="HO339" s="110"/>
      <c r="HP339" s="110"/>
      <c r="HQ339" s="110"/>
      <c r="HR339" s="110"/>
      <c r="HS339" s="110"/>
      <c r="HT339" s="110"/>
      <c r="HU339" s="110"/>
      <c r="HV339" s="110"/>
      <c r="HW339" s="110"/>
      <c r="HX339" s="110"/>
      <c r="HY339" s="110"/>
      <c r="HZ339" s="110"/>
      <c r="IA339" s="110"/>
      <c r="IB339" s="110"/>
      <c r="IC339" s="110"/>
      <c r="ID339" s="110"/>
      <c r="IE339" s="110"/>
      <c r="IF339" s="110"/>
      <c r="IG339" s="110"/>
      <c r="IH339" s="110"/>
      <c r="II339" s="110"/>
      <c r="IJ339" s="110"/>
      <c r="IK339" s="110"/>
      <c r="IL339" s="154"/>
    </row>
    <row r="340" spans="1:246" s="155" customFormat="1" ht="15.75">
      <c r="A340" s="97"/>
      <c r="B340" s="126" t="s">
        <v>172</v>
      </c>
      <c r="C340" s="136" t="s">
        <v>188</v>
      </c>
      <c r="D340" s="137">
        <f>3.6/100</f>
        <v>0.036000000000000004</v>
      </c>
      <c r="E340" s="138">
        <f>E336*D340</f>
        <v>0.45360000000000006</v>
      </c>
      <c r="F340" s="171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  <c r="BJ340" s="45"/>
      <c r="BK340" s="45"/>
      <c r="BL340" s="45"/>
      <c r="BM340" s="45"/>
      <c r="BN340" s="45"/>
      <c r="BO340" s="45"/>
      <c r="BP340" s="45"/>
      <c r="BQ340" s="45"/>
      <c r="BR340" s="45"/>
      <c r="BS340" s="45"/>
      <c r="BT340" s="45"/>
      <c r="BU340" s="45"/>
      <c r="BV340" s="45"/>
      <c r="BW340" s="45"/>
      <c r="BX340" s="45"/>
      <c r="BY340" s="45"/>
      <c r="BZ340" s="45"/>
      <c r="CA340" s="45"/>
      <c r="CB340" s="45"/>
      <c r="CC340" s="45"/>
      <c r="CD340" s="45"/>
      <c r="CE340" s="45"/>
      <c r="CF340" s="45"/>
      <c r="CG340" s="45"/>
      <c r="CH340" s="45"/>
      <c r="CI340" s="45"/>
      <c r="CJ340" s="45"/>
      <c r="CK340" s="45"/>
      <c r="CL340" s="45"/>
      <c r="CM340" s="45"/>
      <c r="CN340" s="45"/>
      <c r="CO340" s="45"/>
      <c r="CP340" s="45"/>
      <c r="CQ340" s="45"/>
      <c r="CR340" s="45"/>
      <c r="CS340" s="45"/>
      <c r="CT340" s="45"/>
      <c r="CU340" s="45"/>
      <c r="CV340" s="45"/>
      <c r="CW340" s="45"/>
      <c r="CX340" s="45"/>
      <c r="CY340" s="45"/>
      <c r="CZ340" s="45"/>
      <c r="DA340" s="45"/>
      <c r="DB340" s="45"/>
      <c r="DC340" s="45"/>
      <c r="DD340" s="45"/>
      <c r="DE340" s="45"/>
      <c r="DF340" s="45"/>
      <c r="DG340" s="45"/>
      <c r="DH340" s="45"/>
      <c r="DI340" s="45"/>
      <c r="DJ340" s="45"/>
      <c r="DK340" s="45"/>
      <c r="DL340" s="45"/>
      <c r="DM340" s="45"/>
      <c r="DN340" s="45"/>
      <c r="DO340" s="45"/>
      <c r="DP340" s="45"/>
      <c r="DQ340" s="45"/>
      <c r="DR340" s="45"/>
      <c r="DS340" s="45"/>
      <c r="DT340" s="45"/>
      <c r="DU340" s="45"/>
      <c r="DV340" s="45"/>
      <c r="DW340" s="45"/>
      <c r="DX340" s="45"/>
      <c r="DY340" s="45"/>
      <c r="DZ340" s="45"/>
      <c r="EA340" s="45"/>
      <c r="EB340" s="45"/>
      <c r="EC340" s="45"/>
      <c r="ED340" s="45"/>
      <c r="EE340" s="45"/>
      <c r="EF340" s="45"/>
      <c r="EG340" s="45"/>
      <c r="EH340" s="45"/>
      <c r="EI340" s="45"/>
      <c r="EJ340" s="45"/>
      <c r="EK340" s="45"/>
      <c r="EL340" s="45"/>
      <c r="EM340" s="45"/>
      <c r="EN340" s="45"/>
      <c r="EO340" s="45"/>
      <c r="EP340" s="45"/>
      <c r="EQ340" s="45"/>
      <c r="ER340" s="45"/>
      <c r="ES340" s="45"/>
      <c r="ET340" s="45"/>
      <c r="EU340" s="45"/>
      <c r="EV340" s="45"/>
      <c r="EW340" s="45"/>
      <c r="EX340" s="45"/>
      <c r="EY340" s="45"/>
      <c r="EZ340" s="45"/>
      <c r="FA340" s="45"/>
      <c r="FB340" s="45"/>
      <c r="FC340" s="45"/>
      <c r="FD340" s="45"/>
      <c r="FE340" s="45"/>
      <c r="FF340" s="45"/>
      <c r="FG340" s="45"/>
      <c r="FH340" s="45"/>
      <c r="FI340" s="45"/>
      <c r="FJ340" s="45"/>
      <c r="FK340" s="45"/>
      <c r="FL340" s="45"/>
      <c r="FM340" s="45"/>
      <c r="FN340" s="45"/>
      <c r="FO340" s="45"/>
      <c r="FP340" s="45"/>
      <c r="FQ340" s="45"/>
      <c r="FR340" s="45"/>
      <c r="FS340" s="45"/>
      <c r="FT340" s="45"/>
      <c r="FU340" s="45"/>
      <c r="FV340" s="45"/>
      <c r="FW340" s="45"/>
      <c r="FX340" s="45"/>
      <c r="FY340" s="45"/>
      <c r="FZ340" s="45"/>
      <c r="GA340" s="45"/>
      <c r="GB340" s="45"/>
      <c r="GC340" s="45"/>
      <c r="GD340" s="45"/>
      <c r="GE340" s="45"/>
      <c r="GF340" s="45"/>
      <c r="GG340" s="45"/>
      <c r="GH340" s="45"/>
      <c r="GI340" s="45"/>
      <c r="GJ340" s="45"/>
      <c r="GK340" s="45"/>
      <c r="GL340" s="45"/>
      <c r="GM340" s="45"/>
      <c r="GN340" s="45"/>
      <c r="GO340" s="45"/>
      <c r="GP340" s="45"/>
      <c r="GQ340" s="45"/>
      <c r="GR340" s="45"/>
      <c r="GS340" s="45"/>
      <c r="GT340" s="45"/>
      <c r="GU340" s="45"/>
      <c r="GV340" s="45"/>
      <c r="GW340" s="45"/>
      <c r="GX340" s="45"/>
      <c r="GY340" s="45"/>
      <c r="GZ340" s="45"/>
      <c r="HA340" s="45"/>
      <c r="HB340" s="45"/>
      <c r="HC340" s="45"/>
      <c r="HD340" s="45"/>
      <c r="HE340" s="45"/>
      <c r="HF340" s="45"/>
      <c r="HG340" s="45"/>
      <c r="HH340" s="45"/>
      <c r="HI340" s="45"/>
      <c r="HJ340" s="45"/>
      <c r="HK340" s="45"/>
      <c r="HL340" s="45"/>
      <c r="HM340" s="45"/>
      <c r="HN340" s="45"/>
      <c r="HO340" s="45"/>
      <c r="HP340" s="45"/>
      <c r="HQ340" s="45"/>
      <c r="HR340" s="45"/>
      <c r="HS340" s="45"/>
      <c r="HT340" s="45"/>
      <c r="HU340" s="45"/>
      <c r="HV340" s="45"/>
      <c r="HW340" s="45"/>
      <c r="HX340" s="45"/>
      <c r="HY340" s="45"/>
      <c r="HZ340" s="45"/>
      <c r="IA340" s="45"/>
      <c r="IB340" s="45"/>
      <c r="IC340" s="45"/>
      <c r="ID340" s="45"/>
      <c r="IE340" s="45"/>
      <c r="IF340" s="45"/>
      <c r="IG340" s="45"/>
      <c r="IH340" s="45"/>
      <c r="II340" s="45"/>
      <c r="IJ340" s="45"/>
      <c r="IK340" s="45"/>
      <c r="IL340" s="154"/>
    </row>
    <row r="341" spans="1:246" s="155" customFormat="1" ht="15">
      <c r="A341" s="156"/>
      <c r="B341" s="157" t="s">
        <v>57</v>
      </c>
      <c r="C341" s="126" t="s">
        <v>51</v>
      </c>
      <c r="D341" s="137">
        <f>3.6/100</f>
        <v>0.036000000000000004</v>
      </c>
      <c r="E341" s="138">
        <f>D341*E336</f>
        <v>0.45360000000000006</v>
      </c>
      <c r="F341" s="171"/>
      <c r="G341" s="110"/>
      <c r="H341" s="110"/>
      <c r="I341" s="110"/>
      <c r="J341" s="110"/>
      <c r="K341" s="110"/>
      <c r="L341" s="110"/>
      <c r="M341" s="110"/>
      <c r="N341" s="110"/>
      <c r="O341" s="110"/>
      <c r="P341" s="110"/>
      <c r="Q341" s="110"/>
      <c r="R341" s="110"/>
      <c r="S341" s="110"/>
      <c r="T341" s="110"/>
      <c r="U341" s="110"/>
      <c r="V341" s="110"/>
      <c r="W341" s="110"/>
      <c r="X341" s="110"/>
      <c r="Y341" s="110"/>
      <c r="Z341" s="110"/>
      <c r="AA341" s="110"/>
      <c r="AB341" s="110"/>
      <c r="AC341" s="110"/>
      <c r="AD341" s="110"/>
      <c r="AE341" s="110"/>
      <c r="AF341" s="110"/>
      <c r="AG341" s="110"/>
      <c r="AH341" s="110"/>
      <c r="AI341" s="110"/>
      <c r="AJ341" s="110"/>
      <c r="AK341" s="110"/>
      <c r="AL341" s="110"/>
      <c r="AM341" s="110"/>
      <c r="AN341" s="110"/>
      <c r="AO341" s="110"/>
      <c r="AP341" s="110"/>
      <c r="AQ341" s="110"/>
      <c r="AR341" s="110"/>
      <c r="AS341" s="110"/>
      <c r="AT341" s="110"/>
      <c r="AU341" s="110"/>
      <c r="AV341" s="110"/>
      <c r="AW341" s="110"/>
      <c r="AX341" s="110"/>
      <c r="AY341" s="110"/>
      <c r="AZ341" s="110"/>
      <c r="BA341" s="110"/>
      <c r="BB341" s="110"/>
      <c r="BC341" s="110"/>
      <c r="BD341" s="110"/>
      <c r="BE341" s="110"/>
      <c r="BF341" s="110"/>
      <c r="BG341" s="110"/>
      <c r="BH341" s="110"/>
      <c r="BI341" s="110"/>
      <c r="BJ341" s="110"/>
      <c r="BK341" s="110"/>
      <c r="BL341" s="110"/>
      <c r="BM341" s="110"/>
      <c r="BN341" s="110"/>
      <c r="BO341" s="110"/>
      <c r="BP341" s="110"/>
      <c r="BQ341" s="110"/>
      <c r="BR341" s="110"/>
      <c r="BS341" s="110"/>
      <c r="BT341" s="110"/>
      <c r="BU341" s="110"/>
      <c r="BV341" s="110"/>
      <c r="BW341" s="110"/>
      <c r="BX341" s="110"/>
      <c r="BY341" s="110"/>
      <c r="BZ341" s="110"/>
      <c r="CA341" s="110"/>
      <c r="CB341" s="110"/>
      <c r="CC341" s="110"/>
      <c r="CD341" s="110"/>
      <c r="CE341" s="110"/>
      <c r="CF341" s="110"/>
      <c r="CG341" s="110"/>
      <c r="CH341" s="110"/>
      <c r="CI341" s="110"/>
      <c r="CJ341" s="110"/>
      <c r="CK341" s="110"/>
      <c r="CL341" s="110"/>
      <c r="CM341" s="110"/>
      <c r="CN341" s="110"/>
      <c r="CO341" s="110"/>
      <c r="CP341" s="110"/>
      <c r="CQ341" s="110"/>
      <c r="CR341" s="110"/>
      <c r="CS341" s="110"/>
      <c r="CT341" s="110"/>
      <c r="CU341" s="110"/>
      <c r="CV341" s="110"/>
      <c r="CW341" s="110"/>
      <c r="CX341" s="110"/>
      <c r="CY341" s="110"/>
      <c r="CZ341" s="110"/>
      <c r="DA341" s="110"/>
      <c r="DB341" s="110"/>
      <c r="DC341" s="110"/>
      <c r="DD341" s="110"/>
      <c r="DE341" s="110"/>
      <c r="DF341" s="110"/>
      <c r="DG341" s="110"/>
      <c r="DH341" s="110"/>
      <c r="DI341" s="110"/>
      <c r="DJ341" s="110"/>
      <c r="DK341" s="110"/>
      <c r="DL341" s="110"/>
      <c r="DM341" s="110"/>
      <c r="DN341" s="110"/>
      <c r="DO341" s="110"/>
      <c r="DP341" s="110"/>
      <c r="DQ341" s="110"/>
      <c r="DR341" s="110"/>
      <c r="DS341" s="110"/>
      <c r="DT341" s="110"/>
      <c r="DU341" s="110"/>
      <c r="DV341" s="110"/>
      <c r="DW341" s="110"/>
      <c r="DX341" s="110"/>
      <c r="DY341" s="110"/>
      <c r="DZ341" s="110"/>
      <c r="EA341" s="110"/>
      <c r="EB341" s="110"/>
      <c r="EC341" s="110"/>
      <c r="ED341" s="110"/>
      <c r="EE341" s="110"/>
      <c r="EF341" s="110"/>
      <c r="EG341" s="110"/>
      <c r="EH341" s="110"/>
      <c r="EI341" s="110"/>
      <c r="EJ341" s="110"/>
      <c r="EK341" s="110"/>
      <c r="EL341" s="110"/>
      <c r="EM341" s="110"/>
      <c r="EN341" s="110"/>
      <c r="EO341" s="110"/>
      <c r="EP341" s="110"/>
      <c r="EQ341" s="110"/>
      <c r="ER341" s="110"/>
      <c r="ES341" s="110"/>
      <c r="ET341" s="110"/>
      <c r="EU341" s="110"/>
      <c r="EV341" s="110"/>
      <c r="EW341" s="110"/>
      <c r="EX341" s="110"/>
      <c r="EY341" s="110"/>
      <c r="EZ341" s="110"/>
      <c r="FA341" s="110"/>
      <c r="FB341" s="110"/>
      <c r="FC341" s="110"/>
      <c r="FD341" s="110"/>
      <c r="FE341" s="110"/>
      <c r="FF341" s="110"/>
      <c r="FG341" s="110"/>
      <c r="FH341" s="110"/>
      <c r="FI341" s="110"/>
      <c r="FJ341" s="110"/>
      <c r="FK341" s="110"/>
      <c r="FL341" s="110"/>
      <c r="FM341" s="110"/>
      <c r="FN341" s="110"/>
      <c r="FO341" s="110"/>
      <c r="FP341" s="110"/>
      <c r="FQ341" s="110"/>
      <c r="FR341" s="110"/>
      <c r="FS341" s="110"/>
      <c r="FT341" s="110"/>
      <c r="FU341" s="110"/>
      <c r="FV341" s="110"/>
      <c r="FW341" s="110"/>
      <c r="FX341" s="110"/>
      <c r="FY341" s="110"/>
      <c r="FZ341" s="110"/>
      <c r="GA341" s="110"/>
      <c r="GB341" s="110"/>
      <c r="GC341" s="110"/>
      <c r="GD341" s="110"/>
      <c r="GE341" s="110"/>
      <c r="GF341" s="110"/>
      <c r="GG341" s="110"/>
      <c r="GH341" s="110"/>
      <c r="GI341" s="110"/>
      <c r="GJ341" s="110"/>
      <c r="GK341" s="110"/>
      <c r="GL341" s="110"/>
      <c r="GM341" s="110"/>
      <c r="GN341" s="110"/>
      <c r="GO341" s="110"/>
      <c r="GP341" s="110"/>
      <c r="GQ341" s="110"/>
      <c r="GR341" s="110"/>
      <c r="GS341" s="110"/>
      <c r="GT341" s="110"/>
      <c r="GU341" s="110"/>
      <c r="GV341" s="110"/>
      <c r="GW341" s="110"/>
      <c r="GX341" s="110"/>
      <c r="GY341" s="110"/>
      <c r="GZ341" s="110"/>
      <c r="HA341" s="110"/>
      <c r="HB341" s="110"/>
      <c r="HC341" s="110"/>
      <c r="HD341" s="110"/>
      <c r="HE341" s="110"/>
      <c r="HF341" s="110"/>
      <c r="HG341" s="110"/>
      <c r="HH341" s="110"/>
      <c r="HI341" s="110"/>
      <c r="HJ341" s="110"/>
      <c r="HK341" s="110"/>
      <c r="HL341" s="110"/>
      <c r="HM341" s="110"/>
      <c r="HN341" s="110"/>
      <c r="HO341" s="110"/>
      <c r="HP341" s="110"/>
      <c r="HQ341" s="110"/>
      <c r="HR341" s="110"/>
      <c r="HS341" s="110"/>
      <c r="HT341" s="110"/>
      <c r="HU341" s="110"/>
      <c r="HV341" s="110"/>
      <c r="HW341" s="110"/>
      <c r="HX341" s="110"/>
      <c r="HY341" s="110"/>
      <c r="HZ341" s="110"/>
      <c r="IA341" s="110"/>
      <c r="IB341" s="110"/>
      <c r="IC341" s="110"/>
      <c r="ID341" s="110"/>
      <c r="IE341" s="110"/>
      <c r="IF341" s="110"/>
      <c r="IG341" s="110"/>
      <c r="IH341" s="110"/>
      <c r="II341" s="110"/>
      <c r="IJ341" s="110"/>
      <c r="IK341" s="110"/>
      <c r="IL341" s="154"/>
    </row>
    <row r="342" spans="1:6" s="45" customFormat="1" ht="15">
      <c r="A342" s="226" t="s">
        <v>256</v>
      </c>
      <c r="B342" s="227"/>
      <c r="C342" s="227"/>
      <c r="D342" s="227"/>
      <c r="E342" s="228"/>
      <c r="F342" s="171"/>
    </row>
    <row r="343" spans="1:6" s="110" customFormat="1" ht="45">
      <c r="A343" s="78">
        <v>1</v>
      </c>
      <c r="B343" s="97" t="s">
        <v>288</v>
      </c>
      <c r="C343" s="37" t="s">
        <v>188</v>
      </c>
      <c r="D343" s="97"/>
      <c r="E343" s="41">
        <v>6</v>
      </c>
      <c r="F343" s="171"/>
    </row>
    <row r="344" spans="1:6" s="110" customFormat="1" ht="15">
      <c r="A344" s="97"/>
      <c r="B344" s="97" t="s">
        <v>139</v>
      </c>
      <c r="C344" s="100" t="s">
        <v>58</v>
      </c>
      <c r="D344" s="97">
        <v>23.8</v>
      </c>
      <c r="E344" s="41">
        <f>E343*D344</f>
        <v>142.8</v>
      </c>
      <c r="F344" s="171"/>
    </row>
    <row r="345" spans="1:6" s="110" customFormat="1" ht="15">
      <c r="A345" s="97"/>
      <c r="B345" s="97" t="s">
        <v>148</v>
      </c>
      <c r="C345" s="37" t="s">
        <v>59</v>
      </c>
      <c r="D345" s="97">
        <v>2.1</v>
      </c>
      <c r="E345" s="41">
        <f>E343*D345</f>
        <v>12.600000000000001</v>
      </c>
      <c r="F345" s="171"/>
    </row>
    <row r="346" spans="1:6" s="110" customFormat="1" ht="15.75">
      <c r="A346" s="97"/>
      <c r="B346" s="97" t="s">
        <v>257</v>
      </c>
      <c r="C346" s="37" t="s">
        <v>188</v>
      </c>
      <c r="D346" s="97">
        <v>1.05</v>
      </c>
      <c r="E346" s="41">
        <f>E343*D346</f>
        <v>6.300000000000001</v>
      </c>
      <c r="F346" s="171"/>
    </row>
    <row r="347" spans="1:6" s="110" customFormat="1" ht="15">
      <c r="A347" s="97"/>
      <c r="B347" s="97" t="s">
        <v>157</v>
      </c>
      <c r="C347" s="37" t="s">
        <v>144</v>
      </c>
      <c r="D347" s="97">
        <v>1.96</v>
      </c>
      <c r="E347" s="41">
        <f>E343*D347</f>
        <v>11.76</v>
      </c>
      <c r="F347" s="171"/>
    </row>
    <row r="348" spans="1:6" s="110" customFormat="1" ht="15.75">
      <c r="A348" s="97"/>
      <c r="B348" s="97" t="s">
        <v>158</v>
      </c>
      <c r="C348" s="37" t="s">
        <v>174</v>
      </c>
      <c r="D348" s="97">
        <v>3.38</v>
      </c>
      <c r="E348" s="41">
        <f>E343*D348</f>
        <v>20.28</v>
      </c>
      <c r="F348" s="171"/>
    </row>
    <row r="349" spans="1:6" s="110" customFormat="1" ht="15">
      <c r="A349" s="97"/>
      <c r="B349" s="97" t="s">
        <v>175</v>
      </c>
      <c r="C349" s="37" t="s">
        <v>144</v>
      </c>
      <c r="D349" s="97">
        <v>4.38</v>
      </c>
      <c r="E349" s="41">
        <f>E343*D349</f>
        <v>26.28</v>
      </c>
      <c r="F349" s="171"/>
    </row>
    <row r="350" spans="1:6" s="110" customFormat="1" ht="15">
      <c r="A350" s="97"/>
      <c r="B350" s="97" t="s">
        <v>176</v>
      </c>
      <c r="C350" s="37" t="s">
        <v>144</v>
      </c>
      <c r="D350" s="97">
        <v>7.2</v>
      </c>
      <c r="E350" s="41">
        <f>E343*D350</f>
        <v>43.2</v>
      </c>
      <c r="F350" s="171"/>
    </row>
    <row r="351" spans="1:6" s="110" customFormat="1" ht="15">
      <c r="A351" s="97"/>
      <c r="B351" s="97" t="s">
        <v>190</v>
      </c>
      <c r="C351" s="37" t="s">
        <v>155</v>
      </c>
      <c r="D351" s="97" t="s">
        <v>140</v>
      </c>
      <c r="E351" s="41">
        <v>100</v>
      </c>
      <c r="F351" s="171"/>
    </row>
    <row r="352" spans="1:6" s="110" customFormat="1" ht="15">
      <c r="A352" s="97"/>
      <c r="B352" s="97" t="s">
        <v>189</v>
      </c>
      <c r="C352" s="37" t="s">
        <v>155</v>
      </c>
      <c r="D352" s="97" t="s">
        <v>140</v>
      </c>
      <c r="E352" s="41">
        <v>35</v>
      </c>
      <c r="F352" s="171"/>
    </row>
    <row r="353" spans="1:6" s="110" customFormat="1" ht="15">
      <c r="A353" s="97"/>
      <c r="B353" s="97" t="s">
        <v>145</v>
      </c>
      <c r="C353" s="37" t="s">
        <v>51</v>
      </c>
      <c r="D353" s="97">
        <v>3.44</v>
      </c>
      <c r="E353" s="41">
        <f>E343*D353</f>
        <v>20.64</v>
      </c>
      <c r="F353" s="171"/>
    </row>
    <row r="354" spans="1:6" s="110" customFormat="1" ht="30">
      <c r="A354" s="78">
        <f>A343+1</f>
        <v>2</v>
      </c>
      <c r="B354" s="97" t="s">
        <v>177</v>
      </c>
      <c r="C354" s="97" t="s">
        <v>174</v>
      </c>
      <c r="D354" s="97"/>
      <c r="E354" s="41">
        <v>75</v>
      </c>
      <c r="F354" s="171"/>
    </row>
    <row r="355" spans="1:6" s="110" customFormat="1" ht="15">
      <c r="A355" s="42"/>
      <c r="B355" s="97" t="s">
        <v>139</v>
      </c>
      <c r="C355" s="97" t="s">
        <v>58</v>
      </c>
      <c r="D355" s="97">
        <f>3.03/100</f>
        <v>0.030299999999999997</v>
      </c>
      <c r="E355" s="41">
        <f>D355*E354</f>
        <v>2.2725</v>
      </c>
      <c r="F355" s="171"/>
    </row>
    <row r="356" spans="1:6" s="110" customFormat="1" ht="15">
      <c r="A356" s="97"/>
      <c r="B356" s="97" t="s">
        <v>56</v>
      </c>
      <c r="C356" s="97" t="s">
        <v>59</v>
      </c>
      <c r="D356" s="97">
        <f>0.41/100</f>
        <v>0.0040999999999999995</v>
      </c>
      <c r="E356" s="41">
        <f>E354*D356</f>
        <v>0.30749999999999994</v>
      </c>
      <c r="F356" s="171"/>
    </row>
    <row r="357" spans="1:6" s="110" customFormat="1" ht="15">
      <c r="A357" s="97"/>
      <c r="B357" s="97" t="s">
        <v>178</v>
      </c>
      <c r="C357" s="97" t="s">
        <v>144</v>
      </c>
      <c r="D357" s="97">
        <f>23.1/100</f>
        <v>0.231</v>
      </c>
      <c r="E357" s="41">
        <f>E354*D357</f>
        <v>17.325</v>
      </c>
      <c r="F357" s="171"/>
    </row>
    <row r="358" spans="1:6" s="110" customFormat="1" ht="15">
      <c r="A358" s="97"/>
      <c r="B358" s="97" t="s">
        <v>145</v>
      </c>
      <c r="C358" s="97" t="s">
        <v>51</v>
      </c>
      <c r="D358" s="97">
        <f>0.04/100</f>
        <v>0.0004</v>
      </c>
      <c r="E358" s="41">
        <f>E354*D358</f>
        <v>0.030000000000000002</v>
      </c>
      <c r="F358" s="171"/>
    </row>
    <row r="359" spans="1:6" s="110" customFormat="1" ht="30">
      <c r="A359" s="78">
        <f>A354+1</f>
        <v>3</v>
      </c>
      <c r="B359" s="97" t="s">
        <v>179</v>
      </c>
      <c r="C359" s="97" t="s">
        <v>174</v>
      </c>
      <c r="D359" s="97"/>
      <c r="E359" s="41">
        <f>E354+0</f>
        <v>75</v>
      </c>
      <c r="F359" s="171"/>
    </row>
    <row r="360" spans="1:6" s="110" customFormat="1" ht="15">
      <c r="A360" s="42"/>
      <c r="B360" s="97" t="s">
        <v>139</v>
      </c>
      <c r="C360" s="97" t="s">
        <v>58</v>
      </c>
      <c r="D360" s="97">
        <f>4.24/100</f>
        <v>0.0424</v>
      </c>
      <c r="E360" s="41">
        <f>D360*E359</f>
        <v>3.18</v>
      </c>
      <c r="F360" s="171"/>
    </row>
    <row r="361" spans="1:6" s="110" customFormat="1" ht="15">
      <c r="A361" s="42"/>
      <c r="B361" s="97" t="s">
        <v>56</v>
      </c>
      <c r="C361" s="97" t="s">
        <v>59</v>
      </c>
      <c r="D361" s="97">
        <f>0.21/100</f>
        <v>0.0021</v>
      </c>
      <c r="E361" s="41">
        <f>E359*D361</f>
        <v>0.1575</v>
      </c>
      <c r="F361" s="171"/>
    </row>
    <row r="362" spans="1:6" s="110" customFormat="1" ht="15">
      <c r="A362" s="42"/>
      <c r="B362" s="97" t="s">
        <v>180</v>
      </c>
      <c r="C362" s="97" t="s">
        <v>144</v>
      </c>
      <c r="D362" s="97">
        <f>0.15/100</f>
        <v>0.0015</v>
      </c>
      <c r="E362" s="41">
        <f>E359*D362</f>
        <v>0.1125</v>
      </c>
      <c r="F362" s="171"/>
    </row>
    <row r="363" spans="1:6" s="110" customFormat="1" ht="60">
      <c r="A363" s="78">
        <f>A359+1</f>
        <v>4</v>
      </c>
      <c r="B363" s="135" t="s">
        <v>258</v>
      </c>
      <c r="C363" s="135" t="s">
        <v>174</v>
      </c>
      <c r="D363" s="133"/>
      <c r="E363" s="134">
        <v>75</v>
      </c>
      <c r="F363" s="171"/>
    </row>
    <row r="364" spans="1:6" s="110" customFormat="1" ht="15">
      <c r="A364" s="42"/>
      <c r="B364" s="97" t="s">
        <v>139</v>
      </c>
      <c r="C364" s="97" t="s">
        <v>58</v>
      </c>
      <c r="D364" s="133">
        <f>43.9/100</f>
        <v>0.439</v>
      </c>
      <c r="E364" s="134">
        <f>D364*E363</f>
        <v>32.925</v>
      </c>
      <c r="F364" s="171"/>
    </row>
    <row r="365" spans="1:6" s="110" customFormat="1" ht="15">
      <c r="A365" s="42"/>
      <c r="B365" s="97" t="s">
        <v>56</v>
      </c>
      <c r="C365" s="97" t="s">
        <v>59</v>
      </c>
      <c r="D365" s="133">
        <f>3.54/100</f>
        <v>0.0354</v>
      </c>
      <c r="E365" s="134">
        <f>E363*D365</f>
        <v>2.6550000000000002</v>
      </c>
      <c r="F365" s="171"/>
    </row>
    <row r="366" spans="1:6" s="110" customFormat="1" ht="30">
      <c r="A366" s="42"/>
      <c r="B366" s="135" t="s">
        <v>259</v>
      </c>
      <c r="C366" s="135" t="s">
        <v>174</v>
      </c>
      <c r="D366" s="133">
        <v>1.12</v>
      </c>
      <c r="E366" s="134">
        <f>E363*D366</f>
        <v>84.00000000000001</v>
      </c>
      <c r="F366" s="171"/>
    </row>
    <row r="367" spans="1:6" s="110" customFormat="1" ht="30">
      <c r="A367" s="42"/>
      <c r="B367" s="135" t="s">
        <v>260</v>
      </c>
      <c r="C367" s="135" t="s">
        <v>174</v>
      </c>
      <c r="D367" s="133" t="s">
        <v>140</v>
      </c>
      <c r="E367" s="134">
        <v>9.4</v>
      </c>
      <c r="F367" s="171"/>
    </row>
    <row r="368" spans="1:6" s="110" customFormat="1" ht="15">
      <c r="A368" s="42"/>
      <c r="B368" s="133" t="s">
        <v>267</v>
      </c>
      <c r="C368" s="133" t="s">
        <v>144</v>
      </c>
      <c r="D368" s="134">
        <f>10/100</f>
        <v>0.1</v>
      </c>
      <c r="E368" s="134">
        <f>D368*E363</f>
        <v>7.5</v>
      </c>
      <c r="F368" s="171"/>
    </row>
    <row r="369" spans="1:6" s="110" customFormat="1" ht="15">
      <c r="A369" s="42"/>
      <c r="B369" s="133" t="s">
        <v>159</v>
      </c>
      <c r="C369" s="133" t="s">
        <v>144</v>
      </c>
      <c r="D369" s="133">
        <f>10.6/100</f>
        <v>0.106</v>
      </c>
      <c r="E369" s="134">
        <f>D369*E363</f>
        <v>7.95</v>
      </c>
      <c r="F369" s="171"/>
    </row>
    <row r="370" spans="1:6" s="110" customFormat="1" ht="15">
      <c r="A370" s="42"/>
      <c r="B370" s="97" t="s">
        <v>145</v>
      </c>
      <c r="C370" s="135" t="s">
        <v>51</v>
      </c>
      <c r="D370" s="133">
        <f>8.28/100</f>
        <v>0.0828</v>
      </c>
      <c r="E370" s="134">
        <f>D370*E363</f>
        <v>6.21</v>
      </c>
      <c r="F370" s="171"/>
    </row>
    <row r="371" spans="1:6" s="110" customFormat="1" ht="30">
      <c r="A371" s="78">
        <f>A363+1</f>
        <v>5</v>
      </c>
      <c r="B371" s="135" t="s">
        <v>261</v>
      </c>
      <c r="C371" s="135" t="s">
        <v>174</v>
      </c>
      <c r="D371" s="133"/>
      <c r="E371" s="134">
        <v>30</v>
      </c>
      <c r="F371" s="171"/>
    </row>
    <row r="372" spans="1:6" s="110" customFormat="1" ht="15">
      <c r="A372" s="42"/>
      <c r="B372" s="97" t="s">
        <v>139</v>
      </c>
      <c r="C372" s="97" t="s">
        <v>58</v>
      </c>
      <c r="D372" s="133">
        <f>43.9/100</f>
        <v>0.439</v>
      </c>
      <c r="E372" s="134">
        <f>D372*E371</f>
        <v>13.17</v>
      </c>
      <c r="F372" s="171"/>
    </row>
    <row r="373" spans="1:6" s="110" customFormat="1" ht="15">
      <c r="A373" s="42"/>
      <c r="B373" s="97" t="s">
        <v>56</v>
      </c>
      <c r="C373" s="97" t="s">
        <v>59</v>
      </c>
      <c r="D373" s="133">
        <f>3.54/100</f>
        <v>0.0354</v>
      </c>
      <c r="E373" s="134">
        <f>E371*D373</f>
        <v>1.062</v>
      </c>
      <c r="F373" s="171"/>
    </row>
    <row r="374" spans="1:6" s="110" customFormat="1" ht="30">
      <c r="A374" s="42"/>
      <c r="B374" s="135" t="s">
        <v>262</v>
      </c>
      <c r="C374" s="135" t="s">
        <v>174</v>
      </c>
      <c r="D374" s="133">
        <v>1.18</v>
      </c>
      <c r="E374" s="134">
        <f>E371*D374</f>
        <v>35.4</v>
      </c>
      <c r="F374" s="171"/>
    </row>
    <row r="375" spans="1:6" s="110" customFormat="1" ht="15">
      <c r="A375" s="42"/>
      <c r="B375" s="133" t="s">
        <v>267</v>
      </c>
      <c r="C375" s="133" t="s">
        <v>144</v>
      </c>
      <c r="D375" s="134">
        <f>10/100</f>
        <v>0.1</v>
      </c>
      <c r="E375" s="134">
        <f>D375*E371</f>
        <v>3</v>
      </c>
      <c r="F375" s="171"/>
    </row>
    <row r="376" spans="1:6" s="110" customFormat="1" ht="15">
      <c r="A376" s="42"/>
      <c r="B376" s="133" t="s">
        <v>159</v>
      </c>
      <c r="C376" s="133" t="s">
        <v>144</v>
      </c>
      <c r="D376" s="133">
        <f>10.6/100</f>
        <v>0.106</v>
      </c>
      <c r="E376" s="134">
        <f>D376*E371</f>
        <v>3.1799999999999997</v>
      </c>
      <c r="F376" s="171"/>
    </row>
    <row r="377" spans="1:6" s="110" customFormat="1" ht="15">
      <c r="A377" s="42"/>
      <c r="B377" s="97" t="s">
        <v>145</v>
      </c>
      <c r="C377" s="135" t="s">
        <v>51</v>
      </c>
      <c r="D377" s="133">
        <f>8.28/100</f>
        <v>0.0828</v>
      </c>
      <c r="E377" s="134">
        <f>D377*E371</f>
        <v>2.484</v>
      </c>
      <c r="F377" s="171"/>
    </row>
    <row r="378" spans="1:6" s="110" customFormat="1" ht="30">
      <c r="A378" s="173">
        <f>A371+1</f>
        <v>6</v>
      </c>
      <c r="B378" s="97" t="s">
        <v>181</v>
      </c>
      <c r="C378" s="97" t="s">
        <v>138</v>
      </c>
      <c r="D378" s="97"/>
      <c r="E378" s="41">
        <v>30</v>
      </c>
      <c r="F378" s="171"/>
    </row>
    <row r="379" spans="1:6" s="110" customFormat="1" ht="15">
      <c r="A379" s="42"/>
      <c r="B379" s="97" t="s">
        <v>139</v>
      </c>
      <c r="C379" s="97" t="s">
        <v>58</v>
      </c>
      <c r="D379" s="97">
        <f>28.6/100</f>
        <v>0.28600000000000003</v>
      </c>
      <c r="E379" s="41">
        <f>D379*E378</f>
        <v>8.580000000000002</v>
      </c>
      <c r="F379" s="171"/>
    </row>
    <row r="380" spans="1:6" s="110" customFormat="1" ht="15">
      <c r="A380" s="42"/>
      <c r="B380" s="97" t="s">
        <v>56</v>
      </c>
      <c r="C380" s="97" t="s">
        <v>59</v>
      </c>
      <c r="D380" s="97">
        <f>0.41/100</f>
        <v>0.0040999999999999995</v>
      </c>
      <c r="E380" s="41">
        <f>D380*E378</f>
        <v>0.12299999999999998</v>
      </c>
      <c r="F380" s="171"/>
    </row>
    <row r="381" spans="1:6" s="110" customFormat="1" ht="15">
      <c r="A381" s="42"/>
      <c r="B381" s="97" t="s">
        <v>182</v>
      </c>
      <c r="C381" s="97" t="s">
        <v>138</v>
      </c>
      <c r="D381" s="41">
        <v>1</v>
      </c>
      <c r="E381" s="41">
        <f>D381*E378</f>
        <v>30</v>
      </c>
      <c r="F381" s="171"/>
    </row>
    <row r="382" spans="1:6" s="110" customFormat="1" ht="15">
      <c r="A382" s="42"/>
      <c r="B382" s="97" t="s">
        <v>263</v>
      </c>
      <c r="C382" s="97" t="s">
        <v>155</v>
      </c>
      <c r="D382" s="75">
        <v>5</v>
      </c>
      <c r="E382" s="41">
        <f>E378*D382</f>
        <v>150</v>
      </c>
      <c r="F382" s="171"/>
    </row>
    <row r="383" spans="1:6" s="110" customFormat="1" ht="15">
      <c r="A383" s="42"/>
      <c r="B383" s="97" t="s">
        <v>183</v>
      </c>
      <c r="C383" s="97" t="s">
        <v>144</v>
      </c>
      <c r="D383" s="75">
        <f>3.8/100</f>
        <v>0.038</v>
      </c>
      <c r="E383" s="41">
        <f>D383*E378</f>
        <v>1.14</v>
      </c>
      <c r="F383" s="171"/>
    </row>
    <row r="384" spans="1:6" s="110" customFormat="1" ht="15">
      <c r="A384" s="42"/>
      <c r="B384" s="97" t="s">
        <v>251</v>
      </c>
      <c r="C384" s="97" t="s">
        <v>144</v>
      </c>
      <c r="D384" s="97">
        <f>3.8/100</f>
        <v>0.038</v>
      </c>
      <c r="E384" s="41">
        <f>D384*E378</f>
        <v>1.14</v>
      </c>
      <c r="F384" s="171"/>
    </row>
    <row r="385" spans="1:6" s="110" customFormat="1" ht="15">
      <c r="A385" s="42"/>
      <c r="B385" s="133" t="s">
        <v>267</v>
      </c>
      <c r="C385" s="133" t="s">
        <v>144</v>
      </c>
      <c r="D385" s="134">
        <f>169/100</f>
        <v>1.69</v>
      </c>
      <c r="E385" s="134">
        <f>E378*D385</f>
        <v>50.699999999999996</v>
      </c>
      <c r="F385" s="171"/>
    </row>
    <row r="386" spans="1:6" s="110" customFormat="1" ht="30">
      <c r="A386" s="78">
        <f>A378+1</f>
        <v>7</v>
      </c>
      <c r="B386" s="97" t="s">
        <v>264</v>
      </c>
      <c r="C386" s="97" t="s">
        <v>138</v>
      </c>
      <c r="D386" s="97"/>
      <c r="E386" s="41">
        <v>29</v>
      </c>
      <c r="F386" s="171"/>
    </row>
    <row r="387" spans="1:6" s="110" customFormat="1" ht="15">
      <c r="A387" s="42"/>
      <c r="B387" s="97" t="s">
        <v>139</v>
      </c>
      <c r="C387" s="97" t="s">
        <v>58</v>
      </c>
      <c r="D387" s="97">
        <f>28.6/100</f>
        <v>0.28600000000000003</v>
      </c>
      <c r="E387" s="41">
        <f>D387*E386</f>
        <v>8.294</v>
      </c>
      <c r="F387" s="171"/>
    </row>
    <row r="388" spans="1:6" s="110" customFormat="1" ht="15">
      <c r="A388" s="42"/>
      <c r="B388" s="97" t="s">
        <v>56</v>
      </c>
      <c r="C388" s="97" t="s">
        <v>59</v>
      </c>
      <c r="D388" s="97">
        <f>0.41/100</f>
        <v>0.0040999999999999995</v>
      </c>
      <c r="E388" s="41">
        <f>D388*E386</f>
        <v>0.11889999999999998</v>
      </c>
      <c r="F388" s="171"/>
    </row>
    <row r="389" spans="1:6" s="110" customFormat="1" ht="30">
      <c r="A389" s="42"/>
      <c r="B389" s="97" t="s">
        <v>265</v>
      </c>
      <c r="C389" s="97" t="s">
        <v>138</v>
      </c>
      <c r="D389" s="41">
        <v>1</v>
      </c>
      <c r="E389" s="41">
        <f>D389*E386</f>
        <v>29</v>
      </c>
      <c r="F389" s="171"/>
    </row>
    <row r="390" spans="1:6" s="110" customFormat="1" ht="15">
      <c r="A390" s="42"/>
      <c r="B390" s="97" t="s">
        <v>266</v>
      </c>
      <c r="C390" s="97" t="s">
        <v>155</v>
      </c>
      <c r="D390" s="75">
        <v>2</v>
      </c>
      <c r="E390" s="41">
        <f>E386*D390</f>
        <v>58</v>
      </c>
      <c r="F390" s="171"/>
    </row>
    <row r="391" spans="1:6" s="110" customFormat="1" ht="15">
      <c r="A391" s="42"/>
      <c r="B391" s="97" t="s">
        <v>183</v>
      </c>
      <c r="C391" s="97" t="s">
        <v>144</v>
      </c>
      <c r="D391" s="75">
        <f>3.8/100</f>
        <v>0.038</v>
      </c>
      <c r="E391" s="41">
        <f>D391*E386</f>
        <v>1.1019999999999999</v>
      </c>
      <c r="F391" s="171"/>
    </row>
    <row r="392" spans="1:6" s="110" customFormat="1" ht="15">
      <c r="A392" s="42"/>
      <c r="B392" s="97" t="s">
        <v>251</v>
      </c>
      <c r="C392" s="97" t="s">
        <v>144</v>
      </c>
      <c r="D392" s="97">
        <f>3.8/100</f>
        <v>0.038</v>
      </c>
      <c r="E392" s="41">
        <f>D392*E386</f>
        <v>1.1019999999999999</v>
      </c>
      <c r="F392" s="171"/>
    </row>
    <row r="393" spans="1:6" s="110" customFormat="1" ht="15">
      <c r="A393" s="42"/>
      <c r="B393" s="133" t="s">
        <v>267</v>
      </c>
      <c r="C393" s="133" t="s">
        <v>144</v>
      </c>
      <c r="D393" s="134">
        <f>169/100</f>
        <v>1.69</v>
      </c>
      <c r="E393" s="134">
        <f>E386*D393</f>
        <v>49.01</v>
      </c>
      <c r="F393" s="171"/>
    </row>
    <row r="394" spans="1:6" s="110" customFormat="1" ht="30">
      <c r="A394" s="78">
        <f>A386+1</f>
        <v>8</v>
      </c>
      <c r="B394" s="97" t="s">
        <v>184</v>
      </c>
      <c r="C394" s="48" t="s">
        <v>155</v>
      </c>
      <c r="D394" s="48"/>
      <c r="E394" s="150">
        <v>18</v>
      </c>
      <c r="F394" s="171"/>
    </row>
    <row r="395" spans="1:6" s="110" customFormat="1" ht="15">
      <c r="A395" s="42"/>
      <c r="B395" s="48" t="s">
        <v>139</v>
      </c>
      <c r="C395" s="48" t="s">
        <v>58</v>
      </c>
      <c r="D395" s="48">
        <v>1.51</v>
      </c>
      <c r="E395" s="48">
        <f>E394*D395</f>
        <v>27.18</v>
      </c>
      <c r="F395" s="171"/>
    </row>
    <row r="396" spans="1:6" s="110" customFormat="1" ht="15">
      <c r="A396" s="42"/>
      <c r="B396" s="97" t="s">
        <v>56</v>
      </c>
      <c r="C396" s="97" t="s">
        <v>59</v>
      </c>
      <c r="D396" s="97">
        <v>0.02</v>
      </c>
      <c r="E396" s="41">
        <f>D396*E394</f>
        <v>0.36</v>
      </c>
      <c r="F396" s="171"/>
    </row>
    <row r="397" spans="1:6" s="110" customFormat="1" ht="30">
      <c r="A397" s="42"/>
      <c r="B397" s="97" t="s">
        <v>185</v>
      </c>
      <c r="C397" s="48" t="s">
        <v>155</v>
      </c>
      <c r="D397" s="48">
        <v>1</v>
      </c>
      <c r="E397" s="49">
        <f>D397*E394</f>
        <v>18</v>
      </c>
      <c r="F397" s="171"/>
    </row>
    <row r="398" spans="1:6" s="110" customFormat="1" ht="15">
      <c r="A398" s="42"/>
      <c r="B398" s="48" t="s">
        <v>145</v>
      </c>
      <c r="C398" s="48" t="s">
        <v>51</v>
      </c>
      <c r="D398" s="48">
        <f>0.29</f>
        <v>0.29</v>
      </c>
      <c r="E398" s="48">
        <f>E394*D398</f>
        <v>5.22</v>
      </c>
      <c r="F398" s="171"/>
    </row>
    <row r="399" spans="1:6" s="110" customFormat="1" ht="30">
      <c r="A399" s="78">
        <f>A394+1</f>
        <v>9</v>
      </c>
      <c r="B399" s="97" t="s">
        <v>186</v>
      </c>
      <c r="C399" s="97" t="s">
        <v>155</v>
      </c>
      <c r="D399" s="97"/>
      <c r="E399" s="41">
        <v>6</v>
      </c>
      <c r="F399" s="171"/>
    </row>
    <row r="400" spans="1:6" s="110" customFormat="1" ht="15">
      <c r="A400" s="42"/>
      <c r="B400" s="97" t="s">
        <v>139</v>
      </c>
      <c r="C400" s="97" t="s">
        <v>58</v>
      </c>
      <c r="D400" s="97">
        <v>2.7</v>
      </c>
      <c r="E400" s="41">
        <f>D400*E399</f>
        <v>16.200000000000003</v>
      </c>
      <c r="F400" s="171"/>
    </row>
    <row r="401" spans="1:6" s="110" customFormat="1" ht="15">
      <c r="A401" s="42"/>
      <c r="B401" s="97" t="s">
        <v>56</v>
      </c>
      <c r="C401" s="97" t="s">
        <v>59</v>
      </c>
      <c r="D401" s="97">
        <v>0.45</v>
      </c>
      <c r="E401" s="41">
        <f>D401*E399</f>
        <v>2.7</v>
      </c>
      <c r="F401" s="171"/>
    </row>
    <row r="402" spans="1:6" s="110" customFormat="1" ht="30">
      <c r="A402" s="42"/>
      <c r="B402" s="97" t="s">
        <v>187</v>
      </c>
      <c r="C402" s="97" t="s">
        <v>155</v>
      </c>
      <c r="D402" s="97">
        <v>1</v>
      </c>
      <c r="E402" s="41">
        <f>D402*E399</f>
        <v>6</v>
      </c>
      <c r="F402" s="171"/>
    </row>
    <row r="403" spans="1:6" s="110" customFormat="1" ht="15">
      <c r="A403" s="42"/>
      <c r="B403" s="97" t="s">
        <v>145</v>
      </c>
      <c r="C403" s="97" t="s">
        <v>51</v>
      </c>
      <c r="D403" s="97">
        <v>0.14</v>
      </c>
      <c r="E403" s="41">
        <f>D403*E399</f>
        <v>0.8400000000000001</v>
      </c>
      <c r="F403" s="171"/>
    </row>
    <row r="404" spans="1:6" s="45" customFormat="1" ht="45">
      <c r="A404" s="78">
        <f>A399+1</f>
        <v>10</v>
      </c>
      <c r="B404" s="97" t="s">
        <v>370</v>
      </c>
      <c r="C404" s="48" t="s">
        <v>174</v>
      </c>
      <c r="D404" s="48"/>
      <c r="E404" s="101">
        <v>6</v>
      </c>
      <c r="F404" s="171"/>
    </row>
    <row r="405" spans="1:6" s="45" customFormat="1" ht="15">
      <c r="A405" s="97"/>
      <c r="B405" s="48" t="s">
        <v>197</v>
      </c>
      <c r="C405" s="48" t="s">
        <v>58</v>
      </c>
      <c r="D405" s="128">
        <f>359.5/100</f>
        <v>3.595</v>
      </c>
      <c r="E405" s="49">
        <f>E404*D405</f>
        <v>21.57</v>
      </c>
      <c r="F405" s="171"/>
    </row>
    <row r="406" spans="1:6" s="45" customFormat="1" ht="15">
      <c r="A406" s="97"/>
      <c r="B406" s="129" t="s">
        <v>198</v>
      </c>
      <c r="C406" s="130" t="s">
        <v>51</v>
      </c>
      <c r="D406" s="128">
        <f>3.89/100</f>
        <v>0.038900000000000004</v>
      </c>
      <c r="E406" s="131">
        <f>D406*E404</f>
        <v>0.23340000000000002</v>
      </c>
      <c r="F406" s="171"/>
    </row>
    <row r="407" spans="1:6" s="45" customFormat="1" ht="15">
      <c r="A407" s="97"/>
      <c r="B407" s="132" t="s">
        <v>250</v>
      </c>
      <c r="C407" s="130" t="s">
        <v>138</v>
      </c>
      <c r="D407" s="132">
        <v>6.6</v>
      </c>
      <c r="E407" s="131">
        <f>D407*E404</f>
        <v>39.599999999999994</v>
      </c>
      <c r="F407" s="171"/>
    </row>
    <row r="408" spans="1:6" s="45" customFormat="1" ht="15">
      <c r="A408" s="97"/>
      <c r="B408" s="132" t="s">
        <v>199</v>
      </c>
      <c r="C408" s="130" t="s">
        <v>200</v>
      </c>
      <c r="D408" s="132" t="s">
        <v>140</v>
      </c>
      <c r="E408" s="131">
        <v>1</v>
      </c>
      <c r="F408" s="171"/>
    </row>
    <row r="409" spans="1:6" s="45" customFormat="1" ht="15.75">
      <c r="A409" s="97"/>
      <c r="B409" s="132" t="s">
        <v>369</v>
      </c>
      <c r="C409" s="130" t="s">
        <v>174</v>
      </c>
      <c r="D409" s="128">
        <v>1.03</v>
      </c>
      <c r="E409" s="131">
        <f>D409*E404</f>
        <v>6.18</v>
      </c>
      <c r="F409" s="171"/>
    </row>
    <row r="410" spans="1:6" s="45" customFormat="1" ht="15">
      <c r="A410" s="48"/>
      <c r="B410" s="48" t="s">
        <v>202</v>
      </c>
      <c r="C410" s="48" t="s">
        <v>51</v>
      </c>
      <c r="D410" s="48">
        <f>40.5/100</f>
        <v>0.405</v>
      </c>
      <c r="E410" s="49">
        <f>E405*D410</f>
        <v>8.735850000000001</v>
      </c>
      <c r="F410" s="171"/>
    </row>
    <row r="411" spans="1:6" s="45" customFormat="1" ht="75">
      <c r="A411" s="173">
        <f>A404+1</f>
        <v>11</v>
      </c>
      <c r="B411" s="97" t="s">
        <v>371</v>
      </c>
      <c r="C411" s="48" t="s">
        <v>174</v>
      </c>
      <c r="D411" s="48"/>
      <c r="E411" s="49">
        <f>E404</f>
        <v>6</v>
      </c>
      <c r="F411" s="171"/>
    </row>
    <row r="412" spans="1:6" s="45" customFormat="1" ht="15">
      <c r="A412" s="48"/>
      <c r="B412" s="48" t="s">
        <v>139</v>
      </c>
      <c r="C412" s="48" t="s">
        <v>58</v>
      </c>
      <c r="D412" s="48">
        <f>85.6/100</f>
        <v>0.856</v>
      </c>
      <c r="E412" s="49">
        <f>E411*D412</f>
        <v>5.136</v>
      </c>
      <c r="F412" s="171"/>
    </row>
    <row r="413" spans="1:6" s="45" customFormat="1" ht="15">
      <c r="A413" s="48"/>
      <c r="B413" s="48" t="s">
        <v>148</v>
      </c>
      <c r="C413" s="48" t="s">
        <v>51</v>
      </c>
      <c r="D413" s="48">
        <f>1.2/100</f>
        <v>0.012</v>
      </c>
      <c r="E413" s="109">
        <f>E411*D413</f>
        <v>0.07200000000000001</v>
      </c>
      <c r="F413" s="171"/>
    </row>
    <row r="414" spans="1:6" s="45" customFormat="1" ht="15">
      <c r="A414" s="48"/>
      <c r="B414" s="48" t="s">
        <v>372</v>
      </c>
      <c r="C414" s="48" t="s">
        <v>144</v>
      </c>
      <c r="D414" s="48">
        <v>0.63</v>
      </c>
      <c r="E414" s="49">
        <f>E411*D414</f>
        <v>3.7800000000000002</v>
      </c>
      <c r="F414" s="171"/>
    </row>
    <row r="415" spans="1:6" s="45" customFormat="1" ht="15">
      <c r="A415" s="48"/>
      <c r="B415" s="48" t="s">
        <v>247</v>
      </c>
      <c r="C415" s="48" t="s">
        <v>144</v>
      </c>
      <c r="D415" s="48">
        <f>92/100</f>
        <v>0.92</v>
      </c>
      <c r="E415" s="49">
        <f>E411*D415</f>
        <v>5.5200000000000005</v>
      </c>
      <c r="F415" s="171"/>
    </row>
    <row r="416" spans="1:6" s="45" customFormat="1" ht="15">
      <c r="A416" s="48"/>
      <c r="B416" s="48" t="s">
        <v>145</v>
      </c>
      <c r="C416" s="48" t="s">
        <v>51</v>
      </c>
      <c r="D416" s="48">
        <f>1.8/100</f>
        <v>0.018000000000000002</v>
      </c>
      <c r="E416" s="49">
        <f>E411*D416</f>
        <v>0.10800000000000001</v>
      </c>
      <c r="F416" s="171"/>
    </row>
    <row r="417" spans="1:247" s="47" customFormat="1" ht="30">
      <c r="A417" s="115">
        <f>A411+1</f>
        <v>12</v>
      </c>
      <c r="B417" s="158" t="s">
        <v>383</v>
      </c>
      <c r="C417" s="112" t="s">
        <v>188</v>
      </c>
      <c r="D417" s="114"/>
      <c r="E417" s="79">
        <v>3</v>
      </c>
      <c r="F417" s="171"/>
      <c r="G417" s="144"/>
      <c r="H417" s="144"/>
      <c r="I417" s="144"/>
      <c r="J417" s="144"/>
      <c r="K417" s="144"/>
      <c r="L417" s="144"/>
      <c r="M417" s="144"/>
      <c r="N417" s="144"/>
      <c r="O417" s="144"/>
      <c r="P417" s="144"/>
      <c r="Q417" s="144"/>
      <c r="R417" s="144"/>
      <c r="S417" s="144"/>
      <c r="T417" s="144"/>
      <c r="U417" s="144"/>
      <c r="V417" s="144"/>
      <c r="W417" s="144"/>
      <c r="X417" s="144"/>
      <c r="Y417" s="144"/>
      <c r="Z417" s="144"/>
      <c r="AA417" s="144"/>
      <c r="AB417" s="144"/>
      <c r="AC417" s="144"/>
      <c r="AD417" s="144"/>
      <c r="AE417" s="144"/>
      <c r="AF417" s="144"/>
      <c r="AG417" s="144"/>
      <c r="AH417" s="144"/>
      <c r="AI417" s="144"/>
      <c r="AJ417" s="144"/>
      <c r="AK417" s="144"/>
      <c r="AL417" s="144"/>
      <c r="AM417" s="144"/>
      <c r="AN417" s="144"/>
      <c r="AO417" s="144"/>
      <c r="AP417" s="144"/>
      <c r="AQ417" s="144"/>
      <c r="AR417" s="144"/>
      <c r="AS417" s="144"/>
      <c r="AT417" s="144"/>
      <c r="AU417" s="144"/>
      <c r="AV417" s="144"/>
      <c r="AW417" s="144"/>
      <c r="AX417" s="144"/>
      <c r="AY417" s="144"/>
      <c r="AZ417" s="144"/>
      <c r="BA417" s="144"/>
      <c r="BB417" s="144"/>
      <c r="BC417" s="144"/>
      <c r="BD417" s="144"/>
      <c r="BE417" s="144"/>
      <c r="BF417" s="144"/>
      <c r="BG417" s="144"/>
      <c r="BH417" s="144"/>
      <c r="BI417" s="144"/>
      <c r="BJ417" s="144"/>
      <c r="BK417" s="144"/>
      <c r="BL417" s="144"/>
      <c r="BM417" s="144"/>
      <c r="BN417" s="144"/>
      <c r="BO417" s="144"/>
      <c r="BP417" s="144"/>
      <c r="BQ417" s="144"/>
      <c r="BR417" s="144"/>
      <c r="BS417" s="144"/>
      <c r="BT417" s="144"/>
      <c r="BU417" s="144"/>
      <c r="BV417" s="144"/>
      <c r="BW417" s="144"/>
      <c r="BX417" s="144"/>
      <c r="BY417" s="144"/>
      <c r="BZ417" s="144"/>
      <c r="CA417" s="144"/>
      <c r="CB417" s="144"/>
      <c r="CC417" s="144"/>
      <c r="CD417" s="144"/>
      <c r="CE417" s="144"/>
      <c r="CF417" s="144"/>
      <c r="CG417" s="144"/>
      <c r="CH417" s="144"/>
      <c r="CI417" s="144"/>
      <c r="CJ417" s="144"/>
      <c r="CK417" s="144"/>
      <c r="CL417" s="144"/>
      <c r="CM417" s="144"/>
      <c r="CN417" s="144"/>
      <c r="CO417" s="144"/>
      <c r="CP417" s="144"/>
      <c r="CQ417" s="144"/>
      <c r="CR417" s="144"/>
      <c r="CS417" s="144"/>
      <c r="CT417" s="144"/>
      <c r="CU417" s="144"/>
      <c r="CV417" s="144"/>
      <c r="CW417" s="144"/>
      <c r="CX417" s="144"/>
      <c r="CY417" s="144"/>
      <c r="CZ417" s="144"/>
      <c r="DA417" s="144"/>
      <c r="DB417" s="144"/>
      <c r="DC417" s="144"/>
      <c r="DD417" s="144"/>
      <c r="DE417" s="144"/>
      <c r="DF417" s="144"/>
      <c r="DG417" s="144"/>
      <c r="DH417" s="144"/>
      <c r="DI417" s="144"/>
      <c r="DJ417" s="144"/>
      <c r="DK417" s="144"/>
      <c r="DL417" s="144"/>
      <c r="DM417" s="144"/>
      <c r="DN417" s="144"/>
      <c r="DO417" s="144"/>
      <c r="DP417" s="144"/>
      <c r="DQ417" s="144"/>
      <c r="DR417" s="144"/>
      <c r="DS417" s="144"/>
      <c r="DT417" s="144"/>
      <c r="DU417" s="144"/>
      <c r="DV417" s="144"/>
      <c r="DW417" s="144"/>
      <c r="DX417" s="144"/>
      <c r="DY417" s="144"/>
      <c r="DZ417" s="144"/>
      <c r="EA417" s="144"/>
      <c r="EB417" s="144"/>
      <c r="EC417" s="144"/>
      <c r="ED417" s="144"/>
      <c r="EE417" s="144"/>
      <c r="EF417" s="144"/>
      <c r="EG417" s="144"/>
      <c r="EH417" s="144"/>
      <c r="EI417" s="144"/>
      <c r="EJ417" s="144"/>
      <c r="EK417" s="144"/>
      <c r="EL417" s="144"/>
      <c r="EM417" s="144"/>
      <c r="EN417" s="144"/>
      <c r="EO417" s="144"/>
      <c r="EP417" s="144"/>
      <c r="EQ417" s="144"/>
      <c r="ER417" s="144"/>
      <c r="ES417" s="144"/>
      <c r="ET417" s="144"/>
      <c r="EU417" s="144"/>
      <c r="EV417" s="144"/>
      <c r="EW417" s="144"/>
      <c r="EX417" s="144"/>
      <c r="EY417" s="144"/>
      <c r="EZ417" s="144"/>
      <c r="FA417" s="144"/>
      <c r="FB417" s="144"/>
      <c r="FC417" s="144"/>
      <c r="FD417" s="144"/>
      <c r="FE417" s="144"/>
      <c r="FF417" s="144"/>
      <c r="FG417" s="144"/>
      <c r="FH417" s="144"/>
      <c r="FI417" s="144"/>
      <c r="FJ417" s="144"/>
      <c r="FK417" s="144"/>
      <c r="FL417" s="144"/>
      <c r="FM417" s="144"/>
      <c r="FN417" s="144"/>
      <c r="FO417" s="144"/>
      <c r="FP417" s="144"/>
      <c r="FQ417" s="144"/>
      <c r="FR417" s="144"/>
      <c r="FS417" s="144"/>
      <c r="FT417" s="144"/>
      <c r="FU417" s="144"/>
      <c r="FV417" s="144"/>
      <c r="FW417" s="144"/>
      <c r="FX417" s="144"/>
      <c r="FY417" s="144"/>
      <c r="FZ417" s="144"/>
      <c r="GA417" s="144"/>
      <c r="GB417" s="144"/>
      <c r="GC417" s="144"/>
      <c r="GD417" s="144"/>
      <c r="GE417" s="144"/>
      <c r="GF417" s="144"/>
      <c r="GG417" s="144"/>
      <c r="GH417" s="144"/>
      <c r="GI417" s="144"/>
      <c r="GJ417" s="144"/>
      <c r="GK417" s="144"/>
      <c r="GL417" s="144"/>
      <c r="GM417" s="144"/>
      <c r="GN417" s="144"/>
      <c r="GO417" s="144"/>
      <c r="GP417" s="144"/>
      <c r="GQ417" s="144"/>
      <c r="GR417" s="144"/>
      <c r="GS417" s="144"/>
      <c r="GT417" s="144"/>
      <c r="GU417" s="144"/>
      <c r="GV417" s="144"/>
      <c r="GW417" s="144"/>
      <c r="GX417" s="144"/>
      <c r="GY417" s="144"/>
      <c r="GZ417" s="144"/>
      <c r="HA417" s="144"/>
      <c r="HB417" s="144"/>
      <c r="HC417" s="144"/>
      <c r="HD417" s="144"/>
      <c r="HE417" s="144"/>
      <c r="HF417" s="144"/>
      <c r="HG417" s="144"/>
      <c r="HH417" s="144"/>
      <c r="HI417" s="144"/>
      <c r="HJ417" s="144"/>
      <c r="HK417" s="144"/>
      <c r="HL417" s="144"/>
      <c r="HM417" s="144"/>
      <c r="HN417" s="144"/>
      <c r="HO417" s="144"/>
      <c r="HP417" s="144"/>
      <c r="HQ417" s="144"/>
      <c r="HR417" s="144"/>
      <c r="HS417" s="144"/>
      <c r="HT417" s="144"/>
      <c r="HU417" s="144"/>
      <c r="HV417" s="144"/>
      <c r="HW417" s="144"/>
      <c r="HX417" s="144"/>
      <c r="HY417" s="144"/>
      <c r="HZ417" s="144"/>
      <c r="IA417" s="144"/>
      <c r="IB417" s="144"/>
      <c r="IC417" s="144"/>
      <c r="ID417" s="144"/>
      <c r="IE417" s="144"/>
      <c r="IF417" s="144"/>
      <c r="IG417" s="144"/>
      <c r="IH417" s="144"/>
      <c r="II417" s="144"/>
      <c r="IJ417" s="144"/>
      <c r="IK417" s="144"/>
      <c r="IL417" s="144"/>
      <c r="IM417" s="144"/>
    </row>
    <row r="418" spans="1:247" s="47" customFormat="1" ht="15">
      <c r="A418" s="115"/>
      <c r="B418" s="79" t="s">
        <v>137</v>
      </c>
      <c r="C418" s="114" t="s">
        <v>193</v>
      </c>
      <c r="D418" s="114">
        <v>0.89</v>
      </c>
      <c r="E418" s="79">
        <f>E417*D418</f>
        <v>2.67</v>
      </c>
      <c r="F418" s="171"/>
      <c r="G418" s="144"/>
      <c r="H418" s="144"/>
      <c r="I418" s="144"/>
      <c r="J418" s="144"/>
      <c r="K418" s="144"/>
      <c r="L418" s="144"/>
      <c r="M418" s="144"/>
      <c r="N418" s="144"/>
      <c r="O418" s="144"/>
      <c r="P418" s="144"/>
      <c r="Q418" s="144"/>
      <c r="R418" s="144"/>
      <c r="S418" s="144"/>
      <c r="T418" s="144"/>
      <c r="U418" s="144"/>
      <c r="V418" s="144"/>
      <c r="W418" s="144"/>
      <c r="X418" s="144"/>
      <c r="Y418" s="144"/>
      <c r="Z418" s="144"/>
      <c r="AA418" s="144"/>
      <c r="AB418" s="144"/>
      <c r="AC418" s="144"/>
      <c r="AD418" s="144"/>
      <c r="AE418" s="144"/>
      <c r="AF418" s="144"/>
      <c r="AG418" s="144"/>
      <c r="AH418" s="144"/>
      <c r="AI418" s="144"/>
      <c r="AJ418" s="144"/>
      <c r="AK418" s="144"/>
      <c r="AL418" s="144"/>
      <c r="AM418" s="144"/>
      <c r="AN418" s="144"/>
      <c r="AO418" s="144"/>
      <c r="AP418" s="144"/>
      <c r="AQ418" s="144"/>
      <c r="AR418" s="144"/>
      <c r="AS418" s="144"/>
      <c r="AT418" s="144"/>
      <c r="AU418" s="144"/>
      <c r="AV418" s="144"/>
      <c r="AW418" s="144"/>
      <c r="AX418" s="144"/>
      <c r="AY418" s="144"/>
      <c r="AZ418" s="144"/>
      <c r="BA418" s="144"/>
      <c r="BB418" s="144"/>
      <c r="BC418" s="144"/>
      <c r="BD418" s="144"/>
      <c r="BE418" s="144"/>
      <c r="BF418" s="144"/>
      <c r="BG418" s="144"/>
      <c r="BH418" s="144"/>
      <c r="BI418" s="144"/>
      <c r="BJ418" s="144"/>
      <c r="BK418" s="144"/>
      <c r="BL418" s="144"/>
      <c r="BM418" s="144"/>
      <c r="BN418" s="144"/>
      <c r="BO418" s="144"/>
      <c r="BP418" s="144"/>
      <c r="BQ418" s="144"/>
      <c r="BR418" s="144"/>
      <c r="BS418" s="144"/>
      <c r="BT418" s="144"/>
      <c r="BU418" s="144"/>
      <c r="BV418" s="144"/>
      <c r="BW418" s="144"/>
      <c r="BX418" s="144"/>
      <c r="BY418" s="144"/>
      <c r="BZ418" s="144"/>
      <c r="CA418" s="144"/>
      <c r="CB418" s="144"/>
      <c r="CC418" s="144"/>
      <c r="CD418" s="144"/>
      <c r="CE418" s="144"/>
      <c r="CF418" s="144"/>
      <c r="CG418" s="144"/>
      <c r="CH418" s="144"/>
      <c r="CI418" s="144"/>
      <c r="CJ418" s="144"/>
      <c r="CK418" s="144"/>
      <c r="CL418" s="144"/>
      <c r="CM418" s="144"/>
      <c r="CN418" s="144"/>
      <c r="CO418" s="144"/>
      <c r="CP418" s="144"/>
      <c r="CQ418" s="144"/>
      <c r="CR418" s="144"/>
      <c r="CS418" s="144"/>
      <c r="CT418" s="144"/>
      <c r="CU418" s="144"/>
      <c r="CV418" s="144"/>
      <c r="CW418" s="144"/>
      <c r="CX418" s="144"/>
      <c r="CY418" s="144"/>
      <c r="CZ418" s="144"/>
      <c r="DA418" s="144"/>
      <c r="DB418" s="144"/>
      <c r="DC418" s="144"/>
      <c r="DD418" s="144"/>
      <c r="DE418" s="144"/>
      <c r="DF418" s="144"/>
      <c r="DG418" s="144"/>
      <c r="DH418" s="144"/>
      <c r="DI418" s="144"/>
      <c r="DJ418" s="144"/>
      <c r="DK418" s="144"/>
      <c r="DL418" s="144"/>
      <c r="DM418" s="144"/>
      <c r="DN418" s="144"/>
      <c r="DO418" s="144"/>
      <c r="DP418" s="144"/>
      <c r="DQ418" s="144"/>
      <c r="DR418" s="144"/>
      <c r="DS418" s="144"/>
      <c r="DT418" s="144"/>
      <c r="DU418" s="144"/>
      <c r="DV418" s="144"/>
      <c r="DW418" s="144"/>
      <c r="DX418" s="144"/>
      <c r="DY418" s="144"/>
      <c r="DZ418" s="144"/>
      <c r="EA418" s="144"/>
      <c r="EB418" s="144"/>
      <c r="EC418" s="144"/>
      <c r="ED418" s="144"/>
      <c r="EE418" s="144"/>
      <c r="EF418" s="144"/>
      <c r="EG418" s="144"/>
      <c r="EH418" s="144"/>
      <c r="EI418" s="144"/>
      <c r="EJ418" s="144"/>
      <c r="EK418" s="144"/>
      <c r="EL418" s="144"/>
      <c r="EM418" s="144"/>
      <c r="EN418" s="144"/>
      <c r="EO418" s="144"/>
      <c r="EP418" s="144"/>
      <c r="EQ418" s="144"/>
      <c r="ER418" s="144"/>
      <c r="ES418" s="144"/>
      <c r="ET418" s="144"/>
      <c r="EU418" s="144"/>
      <c r="EV418" s="144"/>
      <c r="EW418" s="144"/>
      <c r="EX418" s="144"/>
      <c r="EY418" s="144"/>
      <c r="EZ418" s="144"/>
      <c r="FA418" s="144"/>
      <c r="FB418" s="144"/>
      <c r="FC418" s="144"/>
      <c r="FD418" s="144"/>
      <c r="FE418" s="144"/>
      <c r="FF418" s="144"/>
      <c r="FG418" s="144"/>
      <c r="FH418" s="144"/>
      <c r="FI418" s="144"/>
      <c r="FJ418" s="144"/>
      <c r="FK418" s="144"/>
      <c r="FL418" s="144"/>
      <c r="FM418" s="144"/>
      <c r="FN418" s="144"/>
      <c r="FO418" s="144"/>
      <c r="FP418" s="144"/>
      <c r="FQ418" s="144"/>
      <c r="FR418" s="144"/>
      <c r="FS418" s="144"/>
      <c r="FT418" s="144"/>
      <c r="FU418" s="144"/>
      <c r="FV418" s="144"/>
      <c r="FW418" s="144"/>
      <c r="FX418" s="144"/>
      <c r="FY418" s="144"/>
      <c r="FZ418" s="144"/>
      <c r="GA418" s="144"/>
      <c r="GB418" s="144"/>
      <c r="GC418" s="144"/>
      <c r="GD418" s="144"/>
      <c r="GE418" s="144"/>
      <c r="GF418" s="144"/>
      <c r="GG418" s="144"/>
      <c r="GH418" s="144"/>
      <c r="GI418" s="144"/>
      <c r="GJ418" s="144"/>
      <c r="GK418" s="144"/>
      <c r="GL418" s="144"/>
      <c r="GM418" s="144"/>
      <c r="GN418" s="144"/>
      <c r="GO418" s="144"/>
      <c r="GP418" s="144"/>
      <c r="GQ418" s="144"/>
      <c r="GR418" s="144"/>
      <c r="GS418" s="144"/>
      <c r="GT418" s="144"/>
      <c r="GU418" s="144"/>
      <c r="GV418" s="144"/>
      <c r="GW418" s="144"/>
      <c r="GX418" s="144"/>
      <c r="GY418" s="144"/>
      <c r="GZ418" s="144"/>
      <c r="HA418" s="144"/>
      <c r="HB418" s="144"/>
      <c r="HC418" s="144"/>
      <c r="HD418" s="144"/>
      <c r="HE418" s="144"/>
      <c r="HF418" s="144"/>
      <c r="HG418" s="144"/>
      <c r="HH418" s="144"/>
      <c r="HI418" s="144"/>
      <c r="HJ418" s="144"/>
      <c r="HK418" s="144"/>
      <c r="HL418" s="144"/>
      <c r="HM418" s="144"/>
      <c r="HN418" s="144"/>
      <c r="HO418" s="144"/>
      <c r="HP418" s="144"/>
      <c r="HQ418" s="144"/>
      <c r="HR418" s="144"/>
      <c r="HS418" s="144"/>
      <c r="HT418" s="144"/>
      <c r="HU418" s="144"/>
      <c r="HV418" s="144"/>
      <c r="HW418" s="144"/>
      <c r="HX418" s="144"/>
      <c r="HY418" s="144"/>
      <c r="HZ418" s="144"/>
      <c r="IA418" s="144"/>
      <c r="IB418" s="144"/>
      <c r="IC418" s="144"/>
      <c r="ID418" s="144"/>
      <c r="IE418" s="144"/>
      <c r="IF418" s="144"/>
      <c r="IG418" s="144"/>
      <c r="IH418" s="144"/>
      <c r="II418" s="144"/>
      <c r="IJ418" s="144"/>
      <c r="IK418" s="144"/>
      <c r="IL418" s="144"/>
      <c r="IM418" s="144"/>
    </row>
    <row r="419" spans="1:247" s="47" customFormat="1" ht="15">
      <c r="A419" s="115"/>
      <c r="B419" s="79" t="s">
        <v>142</v>
      </c>
      <c r="C419" s="114" t="s">
        <v>51</v>
      </c>
      <c r="D419" s="114">
        <v>0.37</v>
      </c>
      <c r="E419" s="79">
        <f>E417*D419</f>
        <v>1.1099999999999999</v>
      </c>
      <c r="F419" s="171"/>
      <c r="G419" s="144"/>
      <c r="H419" s="144"/>
      <c r="I419" s="144"/>
      <c r="J419" s="144"/>
      <c r="K419" s="144"/>
      <c r="L419" s="144"/>
      <c r="M419" s="144"/>
      <c r="N419" s="144"/>
      <c r="O419" s="144"/>
      <c r="P419" s="144"/>
      <c r="Q419" s="144"/>
      <c r="R419" s="144"/>
      <c r="S419" s="144"/>
      <c r="T419" s="144"/>
      <c r="U419" s="144"/>
      <c r="V419" s="144"/>
      <c r="W419" s="144"/>
      <c r="X419" s="144"/>
      <c r="Y419" s="144"/>
      <c r="Z419" s="144"/>
      <c r="AA419" s="144"/>
      <c r="AB419" s="144"/>
      <c r="AC419" s="144"/>
      <c r="AD419" s="144"/>
      <c r="AE419" s="144"/>
      <c r="AF419" s="144"/>
      <c r="AG419" s="144"/>
      <c r="AH419" s="144"/>
      <c r="AI419" s="144"/>
      <c r="AJ419" s="144"/>
      <c r="AK419" s="144"/>
      <c r="AL419" s="144"/>
      <c r="AM419" s="144"/>
      <c r="AN419" s="144"/>
      <c r="AO419" s="144"/>
      <c r="AP419" s="144"/>
      <c r="AQ419" s="144"/>
      <c r="AR419" s="144"/>
      <c r="AS419" s="144"/>
      <c r="AT419" s="144"/>
      <c r="AU419" s="144"/>
      <c r="AV419" s="144"/>
      <c r="AW419" s="144"/>
      <c r="AX419" s="144"/>
      <c r="AY419" s="144"/>
      <c r="AZ419" s="144"/>
      <c r="BA419" s="144"/>
      <c r="BB419" s="144"/>
      <c r="BC419" s="144"/>
      <c r="BD419" s="144"/>
      <c r="BE419" s="144"/>
      <c r="BF419" s="144"/>
      <c r="BG419" s="144"/>
      <c r="BH419" s="144"/>
      <c r="BI419" s="144"/>
      <c r="BJ419" s="144"/>
      <c r="BK419" s="144"/>
      <c r="BL419" s="144"/>
      <c r="BM419" s="144"/>
      <c r="BN419" s="144"/>
      <c r="BO419" s="144"/>
      <c r="BP419" s="144"/>
      <c r="BQ419" s="144"/>
      <c r="BR419" s="144"/>
      <c r="BS419" s="144"/>
      <c r="BT419" s="144"/>
      <c r="BU419" s="144"/>
      <c r="BV419" s="144"/>
      <c r="BW419" s="144"/>
      <c r="BX419" s="144"/>
      <c r="BY419" s="144"/>
      <c r="BZ419" s="144"/>
      <c r="CA419" s="144"/>
      <c r="CB419" s="144"/>
      <c r="CC419" s="144"/>
      <c r="CD419" s="144"/>
      <c r="CE419" s="144"/>
      <c r="CF419" s="144"/>
      <c r="CG419" s="144"/>
      <c r="CH419" s="144"/>
      <c r="CI419" s="144"/>
      <c r="CJ419" s="144"/>
      <c r="CK419" s="144"/>
      <c r="CL419" s="144"/>
      <c r="CM419" s="144"/>
      <c r="CN419" s="144"/>
      <c r="CO419" s="144"/>
      <c r="CP419" s="144"/>
      <c r="CQ419" s="144"/>
      <c r="CR419" s="144"/>
      <c r="CS419" s="144"/>
      <c r="CT419" s="144"/>
      <c r="CU419" s="144"/>
      <c r="CV419" s="144"/>
      <c r="CW419" s="144"/>
      <c r="CX419" s="144"/>
      <c r="CY419" s="144"/>
      <c r="CZ419" s="144"/>
      <c r="DA419" s="144"/>
      <c r="DB419" s="144"/>
      <c r="DC419" s="144"/>
      <c r="DD419" s="144"/>
      <c r="DE419" s="144"/>
      <c r="DF419" s="144"/>
      <c r="DG419" s="144"/>
      <c r="DH419" s="144"/>
      <c r="DI419" s="144"/>
      <c r="DJ419" s="144"/>
      <c r="DK419" s="144"/>
      <c r="DL419" s="144"/>
      <c r="DM419" s="144"/>
      <c r="DN419" s="144"/>
      <c r="DO419" s="144"/>
      <c r="DP419" s="144"/>
      <c r="DQ419" s="144"/>
      <c r="DR419" s="144"/>
      <c r="DS419" s="144"/>
      <c r="DT419" s="144"/>
      <c r="DU419" s="144"/>
      <c r="DV419" s="144"/>
      <c r="DW419" s="144"/>
      <c r="DX419" s="144"/>
      <c r="DY419" s="144"/>
      <c r="DZ419" s="144"/>
      <c r="EA419" s="144"/>
      <c r="EB419" s="144"/>
      <c r="EC419" s="144"/>
      <c r="ED419" s="144"/>
      <c r="EE419" s="144"/>
      <c r="EF419" s="144"/>
      <c r="EG419" s="144"/>
      <c r="EH419" s="144"/>
      <c r="EI419" s="144"/>
      <c r="EJ419" s="144"/>
      <c r="EK419" s="144"/>
      <c r="EL419" s="144"/>
      <c r="EM419" s="144"/>
      <c r="EN419" s="144"/>
      <c r="EO419" s="144"/>
      <c r="EP419" s="144"/>
      <c r="EQ419" s="144"/>
      <c r="ER419" s="144"/>
      <c r="ES419" s="144"/>
      <c r="ET419" s="144"/>
      <c r="EU419" s="144"/>
      <c r="EV419" s="144"/>
      <c r="EW419" s="144"/>
      <c r="EX419" s="144"/>
      <c r="EY419" s="144"/>
      <c r="EZ419" s="144"/>
      <c r="FA419" s="144"/>
      <c r="FB419" s="144"/>
      <c r="FC419" s="144"/>
      <c r="FD419" s="144"/>
      <c r="FE419" s="144"/>
      <c r="FF419" s="144"/>
      <c r="FG419" s="144"/>
      <c r="FH419" s="144"/>
      <c r="FI419" s="144"/>
      <c r="FJ419" s="144"/>
      <c r="FK419" s="144"/>
      <c r="FL419" s="144"/>
      <c r="FM419" s="144"/>
      <c r="FN419" s="144"/>
      <c r="FO419" s="144"/>
      <c r="FP419" s="144"/>
      <c r="FQ419" s="144"/>
      <c r="FR419" s="144"/>
      <c r="FS419" s="144"/>
      <c r="FT419" s="144"/>
      <c r="FU419" s="144"/>
      <c r="FV419" s="144"/>
      <c r="FW419" s="144"/>
      <c r="FX419" s="144"/>
      <c r="FY419" s="144"/>
      <c r="FZ419" s="144"/>
      <c r="GA419" s="144"/>
      <c r="GB419" s="144"/>
      <c r="GC419" s="144"/>
      <c r="GD419" s="144"/>
      <c r="GE419" s="144"/>
      <c r="GF419" s="144"/>
      <c r="GG419" s="144"/>
      <c r="GH419" s="144"/>
      <c r="GI419" s="144"/>
      <c r="GJ419" s="144"/>
      <c r="GK419" s="144"/>
      <c r="GL419" s="144"/>
      <c r="GM419" s="144"/>
      <c r="GN419" s="144"/>
      <c r="GO419" s="144"/>
      <c r="GP419" s="144"/>
      <c r="GQ419" s="144"/>
      <c r="GR419" s="144"/>
      <c r="GS419" s="144"/>
      <c r="GT419" s="144"/>
      <c r="GU419" s="144"/>
      <c r="GV419" s="144"/>
      <c r="GW419" s="144"/>
      <c r="GX419" s="144"/>
      <c r="GY419" s="144"/>
      <c r="GZ419" s="144"/>
      <c r="HA419" s="144"/>
      <c r="HB419" s="144"/>
      <c r="HC419" s="144"/>
      <c r="HD419" s="144"/>
      <c r="HE419" s="144"/>
      <c r="HF419" s="144"/>
      <c r="HG419" s="144"/>
      <c r="HH419" s="144"/>
      <c r="HI419" s="144"/>
      <c r="HJ419" s="144"/>
      <c r="HK419" s="144"/>
      <c r="HL419" s="144"/>
      <c r="HM419" s="144"/>
      <c r="HN419" s="144"/>
      <c r="HO419" s="144"/>
      <c r="HP419" s="144"/>
      <c r="HQ419" s="144"/>
      <c r="HR419" s="144"/>
      <c r="HS419" s="144"/>
      <c r="HT419" s="144"/>
      <c r="HU419" s="144"/>
      <c r="HV419" s="144"/>
      <c r="HW419" s="144"/>
      <c r="HX419" s="144"/>
      <c r="HY419" s="144"/>
      <c r="HZ419" s="144"/>
      <c r="IA419" s="144"/>
      <c r="IB419" s="144"/>
      <c r="IC419" s="144"/>
      <c r="ID419" s="144"/>
      <c r="IE419" s="144"/>
      <c r="IF419" s="144"/>
      <c r="IG419" s="144"/>
      <c r="IH419" s="144"/>
      <c r="II419" s="144"/>
      <c r="IJ419" s="144"/>
      <c r="IK419" s="144"/>
      <c r="IL419" s="144"/>
      <c r="IM419" s="144"/>
    </row>
    <row r="420" spans="1:247" s="47" customFormat="1" ht="15.75">
      <c r="A420" s="115"/>
      <c r="B420" s="80" t="s">
        <v>219</v>
      </c>
      <c r="C420" s="79" t="s">
        <v>188</v>
      </c>
      <c r="D420" s="79">
        <v>1.15</v>
      </c>
      <c r="E420" s="79">
        <f>E417*D420</f>
        <v>3.4499999999999997</v>
      </c>
      <c r="F420" s="171"/>
      <c r="G420" s="144"/>
      <c r="H420" s="144"/>
      <c r="I420" s="144"/>
      <c r="J420" s="144"/>
      <c r="K420" s="144"/>
      <c r="L420" s="144"/>
      <c r="M420" s="144"/>
      <c r="N420" s="144"/>
      <c r="O420" s="144"/>
      <c r="P420" s="144"/>
      <c r="Q420" s="144"/>
      <c r="R420" s="144"/>
      <c r="S420" s="144"/>
      <c r="T420" s="144"/>
      <c r="U420" s="144"/>
      <c r="V420" s="144"/>
      <c r="W420" s="144"/>
      <c r="X420" s="144"/>
      <c r="Y420" s="144"/>
      <c r="Z420" s="144"/>
      <c r="AA420" s="144"/>
      <c r="AB420" s="144"/>
      <c r="AC420" s="144"/>
      <c r="AD420" s="144"/>
      <c r="AE420" s="144"/>
      <c r="AF420" s="144"/>
      <c r="AG420" s="144"/>
      <c r="AH420" s="144"/>
      <c r="AI420" s="144"/>
      <c r="AJ420" s="144"/>
      <c r="AK420" s="144"/>
      <c r="AL420" s="144"/>
      <c r="AM420" s="144"/>
      <c r="AN420" s="144"/>
      <c r="AO420" s="144"/>
      <c r="AP420" s="144"/>
      <c r="AQ420" s="144"/>
      <c r="AR420" s="144"/>
      <c r="AS420" s="144"/>
      <c r="AT420" s="144"/>
      <c r="AU420" s="144"/>
      <c r="AV420" s="144"/>
      <c r="AW420" s="144"/>
      <c r="AX420" s="144"/>
      <c r="AY420" s="144"/>
      <c r="AZ420" s="144"/>
      <c r="BA420" s="144"/>
      <c r="BB420" s="144"/>
      <c r="BC420" s="144"/>
      <c r="BD420" s="144"/>
      <c r="BE420" s="144"/>
      <c r="BF420" s="144"/>
      <c r="BG420" s="144"/>
      <c r="BH420" s="144"/>
      <c r="BI420" s="144"/>
      <c r="BJ420" s="144"/>
      <c r="BK420" s="144"/>
      <c r="BL420" s="144"/>
      <c r="BM420" s="144"/>
      <c r="BN420" s="144"/>
      <c r="BO420" s="144"/>
      <c r="BP420" s="144"/>
      <c r="BQ420" s="144"/>
      <c r="BR420" s="144"/>
      <c r="BS420" s="144"/>
      <c r="BT420" s="144"/>
      <c r="BU420" s="144"/>
      <c r="BV420" s="144"/>
      <c r="BW420" s="144"/>
      <c r="BX420" s="144"/>
      <c r="BY420" s="144"/>
      <c r="BZ420" s="144"/>
      <c r="CA420" s="144"/>
      <c r="CB420" s="144"/>
      <c r="CC420" s="144"/>
      <c r="CD420" s="144"/>
      <c r="CE420" s="144"/>
      <c r="CF420" s="144"/>
      <c r="CG420" s="144"/>
      <c r="CH420" s="144"/>
      <c r="CI420" s="144"/>
      <c r="CJ420" s="144"/>
      <c r="CK420" s="144"/>
      <c r="CL420" s="144"/>
      <c r="CM420" s="144"/>
      <c r="CN420" s="144"/>
      <c r="CO420" s="144"/>
      <c r="CP420" s="144"/>
      <c r="CQ420" s="144"/>
      <c r="CR420" s="144"/>
      <c r="CS420" s="144"/>
      <c r="CT420" s="144"/>
      <c r="CU420" s="144"/>
      <c r="CV420" s="144"/>
      <c r="CW420" s="144"/>
      <c r="CX420" s="144"/>
      <c r="CY420" s="144"/>
      <c r="CZ420" s="144"/>
      <c r="DA420" s="144"/>
      <c r="DB420" s="144"/>
      <c r="DC420" s="144"/>
      <c r="DD420" s="144"/>
      <c r="DE420" s="144"/>
      <c r="DF420" s="144"/>
      <c r="DG420" s="144"/>
      <c r="DH420" s="144"/>
      <c r="DI420" s="144"/>
      <c r="DJ420" s="144"/>
      <c r="DK420" s="144"/>
      <c r="DL420" s="144"/>
      <c r="DM420" s="144"/>
      <c r="DN420" s="144"/>
      <c r="DO420" s="144"/>
      <c r="DP420" s="144"/>
      <c r="DQ420" s="144"/>
      <c r="DR420" s="144"/>
      <c r="DS420" s="144"/>
      <c r="DT420" s="144"/>
      <c r="DU420" s="144"/>
      <c r="DV420" s="144"/>
      <c r="DW420" s="144"/>
      <c r="DX420" s="144"/>
      <c r="DY420" s="144"/>
      <c r="DZ420" s="144"/>
      <c r="EA420" s="144"/>
      <c r="EB420" s="144"/>
      <c r="EC420" s="144"/>
      <c r="ED420" s="144"/>
      <c r="EE420" s="144"/>
      <c r="EF420" s="144"/>
      <c r="EG420" s="144"/>
      <c r="EH420" s="144"/>
      <c r="EI420" s="144"/>
      <c r="EJ420" s="144"/>
      <c r="EK420" s="144"/>
      <c r="EL420" s="144"/>
      <c r="EM420" s="144"/>
      <c r="EN420" s="144"/>
      <c r="EO420" s="144"/>
      <c r="EP420" s="144"/>
      <c r="EQ420" s="144"/>
      <c r="ER420" s="144"/>
      <c r="ES420" s="144"/>
      <c r="ET420" s="144"/>
      <c r="EU420" s="144"/>
      <c r="EV420" s="144"/>
      <c r="EW420" s="144"/>
      <c r="EX420" s="144"/>
      <c r="EY420" s="144"/>
      <c r="EZ420" s="144"/>
      <c r="FA420" s="144"/>
      <c r="FB420" s="144"/>
      <c r="FC420" s="144"/>
      <c r="FD420" s="144"/>
      <c r="FE420" s="144"/>
      <c r="FF420" s="144"/>
      <c r="FG420" s="144"/>
      <c r="FH420" s="144"/>
      <c r="FI420" s="144"/>
      <c r="FJ420" s="144"/>
      <c r="FK420" s="144"/>
      <c r="FL420" s="144"/>
      <c r="FM420" s="144"/>
      <c r="FN420" s="144"/>
      <c r="FO420" s="144"/>
      <c r="FP420" s="144"/>
      <c r="FQ420" s="144"/>
      <c r="FR420" s="144"/>
      <c r="FS420" s="144"/>
      <c r="FT420" s="144"/>
      <c r="FU420" s="144"/>
      <c r="FV420" s="144"/>
      <c r="FW420" s="144"/>
      <c r="FX420" s="144"/>
      <c r="FY420" s="144"/>
      <c r="FZ420" s="144"/>
      <c r="GA420" s="144"/>
      <c r="GB420" s="144"/>
      <c r="GC420" s="144"/>
      <c r="GD420" s="144"/>
      <c r="GE420" s="144"/>
      <c r="GF420" s="144"/>
      <c r="GG420" s="144"/>
      <c r="GH420" s="144"/>
      <c r="GI420" s="144"/>
      <c r="GJ420" s="144"/>
      <c r="GK420" s="144"/>
      <c r="GL420" s="144"/>
      <c r="GM420" s="144"/>
      <c r="GN420" s="144"/>
      <c r="GO420" s="144"/>
      <c r="GP420" s="144"/>
      <c r="GQ420" s="144"/>
      <c r="GR420" s="144"/>
      <c r="GS420" s="144"/>
      <c r="GT420" s="144"/>
      <c r="GU420" s="144"/>
      <c r="GV420" s="144"/>
      <c r="GW420" s="144"/>
      <c r="GX420" s="144"/>
      <c r="GY420" s="144"/>
      <c r="GZ420" s="144"/>
      <c r="HA420" s="144"/>
      <c r="HB420" s="144"/>
      <c r="HC420" s="144"/>
      <c r="HD420" s="144"/>
      <c r="HE420" s="144"/>
      <c r="HF420" s="144"/>
      <c r="HG420" s="144"/>
      <c r="HH420" s="144"/>
      <c r="HI420" s="144"/>
      <c r="HJ420" s="144"/>
      <c r="HK420" s="144"/>
      <c r="HL420" s="144"/>
      <c r="HM420" s="144"/>
      <c r="HN420" s="144"/>
      <c r="HO420" s="144"/>
      <c r="HP420" s="144"/>
      <c r="HQ420" s="144"/>
      <c r="HR420" s="144"/>
      <c r="HS420" s="144"/>
      <c r="HT420" s="144"/>
      <c r="HU420" s="144"/>
      <c r="HV420" s="144"/>
      <c r="HW420" s="144"/>
      <c r="HX420" s="144"/>
      <c r="HY420" s="144"/>
      <c r="HZ420" s="144"/>
      <c r="IA420" s="144"/>
      <c r="IB420" s="144"/>
      <c r="IC420" s="144"/>
      <c r="ID420" s="144"/>
      <c r="IE420" s="144"/>
      <c r="IF420" s="144"/>
      <c r="IG420" s="144"/>
      <c r="IH420" s="144"/>
      <c r="II420" s="144"/>
      <c r="IJ420" s="144"/>
      <c r="IK420" s="144"/>
      <c r="IL420" s="144"/>
      <c r="IM420" s="144"/>
    </row>
    <row r="421" spans="1:247" s="47" customFormat="1" ht="15">
      <c r="A421" s="115"/>
      <c r="B421" s="79" t="s">
        <v>166</v>
      </c>
      <c r="C421" s="114" t="s">
        <v>51</v>
      </c>
      <c r="D421" s="79">
        <v>0.02</v>
      </c>
      <c r="E421" s="79">
        <f>E417*D421</f>
        <v>0.06</v>
      </c>
      <c r="F421" s="171"/>
      <c r="G421" s="144"/>
      <c r="H421" s="144"/>
      <c r="I421" s="144"/>
      <c r="J421" s="144"/>
      <c r="K421" s="144"/>
      <c r="L421" s="144"/>
      <c r="M421" s="144"/>
      <c r="N421" s="144"/>
      <c r="O421" s="144"/>
      <c r="P421" s="144"/>
      <c r="Q421" s="144"/>
      <c r="R421" s="144"/>
      <c r="S421" s="144"/>
      <c r="T421" s="144"/>
      <c r="U421" s="144"/>
      <c r="V421" s="144"/>
      <c r="W421" s="144"/>
      <c r="X421" s="144"/>
      <c r="Y421" s="144"/>
      <c r="Z421" s="144"/>
      <c r="AA421" s="144"/>
      <c r="AB421" s="144"/>
      <c r="AC421" s="144"/>
      <c r="AD421" s="144"/>
      <c r="AE421" s="144"/>
      <c r="AF421" s="144"/>
      <c r="AG421" s="144"/>
      <c r="AH421" s="144"/>
      <c r="AI421" s="144"/>
      <c r="AJ421" s="144"/>
      <c r="AK421" s="144"/>
      <c r="AL421" s="144"/>
      <c r="AM421" s="144"/>
      <c r="AN421" s="144"/>
      <c r="AO421" s="144"/>
      <c r="AP421" s="144"/>
      <c r="AQ421" s="144"/>
      <c r="AR421" s="144"/>
      <c r="AS421" s="144"/>
      <c r="AT421" s="144"/>
      <c r="AU421" s="144"/>
      <c r="AV421" s="144"/>
      <c r="AW421" s="144"/>
      <c r="AX421" s="144"/>
      <c r="AY421" s="144"/>
      <c r="AZ421" s="144"/>
      <c r="BA421" s="144"/>
      <c r="BB421" s="144"/>
      <c r="BC421" s="144"/>
      <c r="BD421" s="144"/>
      <c r="BE421" s="144"/>
      <c r="BF421" s="144"/>
      <c r="BG421" s="144"/>
      <c r="BH421" s="144"/>
      <c r="BI421" s="144"/>
      <c r="BJ421" s="144"/>
      <c r="BK421" s="144"/>
      <c r="BL421" s="144"/>
      <c r="BM421" s="144"/>
      <c r="BN421" s="144"/>
      <c r="BO421" s="144"/>
      <c r="BP421" s="144"/>
      <c r="BQ421" s="144"/>
      <c r="BR421" s="144"/>
      <c r="BS421" s="144"/>
      <c r="BT421" s="144"/>
      <c r="BU421" s="144"/>
      <c r="BV421" s="144"/>
      <c r="BW421" s="144"/>
      <c r="BX421" s="144"/>
      <c r="BY421" s="144"/>
      <c r="BZ421" s="144"/>
      <c r="CA421" s="144"/>
      <c r="CB421" s="144"/>
      <c r="CC421" s="144"/>
      <c r="CD421" s="144"/>
      <c r="CE421" s="144"/>
      <c r="CF421" s="144"/>
      <c r="CG421" s="144"/>
      <c r="CH421" s="144"/>
      <c r="CI421" s="144"/>
      <c r="CJ421" s="144"/>
      <c r="CK421" s="144"/>
      <c r="CL421" s="144"/>
      <c r="CM421" s="144"/>
      <c r="CN421" s="144"/>
      <c r="CO421" s="144"/>
      <c r="CP421" s="144"/>
      <c r="CQ421" s="144"/>
      <c r="CR421" s="144"/>
      <c r="CS421" s="144"/>
      <c r="CT421" s="144"/>
      <c r="CU421" s="144"/>
      <c r="CV421" s="144"/>
      <c r="CW421" s="144"/>
      <c r="CX421" s="144"/>
      <c r="CY421" s="144"/>
      <c r="CZ421" s="144"/>
      <c r="DA421" s="144"/>
      <c r="DB421" s="144"/>
      <c r="DC421" s="144"/>
      <c r="DD421" s="144"/>
      <c r="DE421" s="144"/>
      <c r="DF421" s="144"/>
      <c r="DG421" s="144"/>
      <c r="DH421" s="144"/>
      <c r="DI421" s="144"/>
      <c r="DJ421" s="144"/>
      <c r="DK421" s="144"/>
      <c r="DL421" s="144"/>
      <c r="DM421" s="144"/>
      <c r="DN421" s="144"/>
      <c r="DO421" s="144"/>
      <c r="DP421" s="144"/>
      <c r="DQ421" s="144"/>
      <c r="DR421" s="144"/>
      <c r="DS421" s="144"/>
      <c r="DT421" s="144"/>
      <c r="DU421" s="144"/>
      <c r="DV421" s="144"/>
      <c r="DW421" s="144"/>
      <c r="DX421" s="144"/>
      <c r="DY421" s="144"/>
      <c r="DZ421" s="144"/>
      <c r="EA421" s="144"/>
      <c r="EB421" s="144"/>
      <c r="EC421" s="144"/>
      <c r="ED421" s="144"/>
      <c r="EE421" s="144"/>
      <c r="EF421" s="144"/>
      <c r="EG421" s="144"/>
      <c r="EH421" s="144"/>
      <c r="EI421" s="144"/>
      <c r="EJ421" s="144"/>
      <c r="EK421" s="144"/>
      <c r="EL421" s="144"/>
      <c r="EM421" s="144"/>
      <c r="EN421" s="144"/>
      <c r="EO421" s="144"/>
      <c r="EP421" s="144"/>
      <c r="EQ421" s="144"/>
      <c r="ER421" s="144"/>
      <c r="ES421" s="144"/>
      <c r="ET421" s="144"/>
      <c r="EU421" s="144"/>
      <c r="EV421" s="144"/>
      <c r="EW421" s="144"/>
      <c r="EX421" s="144"/>
      <c r="EY421" s="144"/>
      <c r="EZ421" s="144"/>
      <c r="FA421" s="144"/>
      <c r="FB421" s="144"/>
      <c r="FC421" s="144"/>
      <c r="FD421" s="144"/>
      <c r="FE421" s="144"/>
      <c r="FF421" s="144"/>
      <c r="FG421" s="144"/>
      <c r="FH421" s="144"/>
      <c r="FI421" s="144"/>
      <c r="FJ421" s="144"/>
      <c r="FK421" s="144"/>
      <c r="FL421" s="144"/>
      <c r="FM421" s="144"/>
      <c r="FN421" s="144"/>
      <c r="FO421" s="144"/>
      <c r="FP421" s="144"/>
      <c r="FQ421" s="144"/>
      <c r="FR421" s="144"/>
      <c r="FS421" s="144"/>
      <c r="FT421" s="144"/>
      <c r="FU421" s="144"/>
      <c r="FV421" s="144"/>
      <c r="FW421" s="144"/>
      <c r="FX421" s="144"/>
      <c r="FY421" s="144"/>
      <c r="FZ421" s="144"/>
      <c r="GA421" s="144"/>
      <c r="GB421" s="144"/>
      <c r="GC421" s="144"/>
      <c r="GD421" s="144"/>
      <c r="GE421" s="144"/>
      <c r="GF421" s="144"/>
      <c r="GG421" s="144"/>
      <c r="GH421" s="144"/>
      <c r="GI421" s="144"/>
      <c r="GJ421" s="144"/>
      <c r="GK421" s="144"/>
      <c r="GL421" s="144"/>
      <c r="GM421" s="144"/>
      <c r="GN421" s="144"/>
      <c r="GO421" s="144"/>
      <c r="GP421" s="144"/>
      <c r="GQ421" s="144"/>
      <c r="GR421" s="144"/>
      <c r="GS421" s="144"/>
      <c r="GT421" s="144"/>
      <c r="GU421" s="144"/>
      <c r="GV421" s="144"/>
      <c r="GW421" s="144"/>
      <c r="GX421" s="144"/>
      <c r="GY421" s="144"/>
      <c r="GZ421" s="144"/>
      <c r="HA421" s="144"/>
      <c r="HB421" s="144"/>
      <c r="HC421" s="144"/>
      <c r="HD421" s="144"/>
      <c r="HE421" s="144"/>
      <c r="HF421" s="144"/>
      <c r="HG421" s="144"/>
      <c r="HH421" s="144"/>
      <c r="HI421" s="144"/>
      <c r="HJ421" s="144"/>
      <c r="HK421" s="144"/>
      <c r="HL421" s="144"/>
      <c r="HM421" s="144"/>
      <c r="HN421" s="144"/>
      <c r="HO421" s="144"/>
      <c r="HP421" s="144"/>
      <c r="HQ421" s="144"/>
      <c r="HR421" s="144"/>
      <c r="HS421" s="144"/>
      <c r="HT421" s="144"/>
      <c r="HU421" s="144"/>
      <c r="HV421" s="144"/>
      <c r="HW421" s="144"/>
      <c r="HX421" s="144"/>
      <c r="HY421" s="144"/>
      <c r="HZ421" s="144"/>
      <c r="IA421" s="144"/>
      <c r="IB421" s="144"/>
      <c r="IC421" s="144"/>
      <c r="ID421" s="144"/>
      <c r="IE421" s="144"/>
      <c r="IF421" s="144"/>
      <c r="IG421" s="144"/>
      <c r="IH421" s="144"/>
      <c r="II421" s="144"/>
      <c r="IJ421" s="144"/>
      <c r="IK421" s="144"/>
      <c r="IL421" s="144"/>
      <c r="IM421" s="144"/>
    </row>
    <row r="422" spans="1:6" s="110" customFormat="1" ht="30">
      <c r="A422" s="115">
        <f>A417+1</f>
        <v>13</v>
      </c>
      <c r="B422" s="97" t="s">
        <v>334</v>
      </c>
      <c r="C422" s="37" t="s">
        <v>188</v>
      </c>
      <c r="D422" s="97"/>
      <c r="E422" s="41">
        <f>E417</f>
        <v>3</v>
      </c>
      <c r="F422" s="171"/>
    </row>
    <row r="423" spans="1:6" s="110" customFormat="1" ht="15">
      <c r="A423" s="42"/>
      <c r="B423" s="37" t="s">
        <v>317</v>
      </c>
      <c r="C423" s="37" t="s">
        <v>152</v>
      </c>
      <c r="D423" s="97">
        <f>12.9/1000</f>
        <v>0.0129</v>
      </c>
      <c r="E423" s="75">
        <f>D423*E422</f>
        <v>0.0387</v>
      </c>
      <c r="F423" s="171"/>
    </row>
    <row r="424" spans="1:247" s="47" customFormat="1" ht="45">
      <c r="A424" s="177">
        <f>A422+1</f>
        <v>14</v>
      </c>
      <c r="B424" s="158" t="s">
        <v>373</v>
      </c>
      <c r="C424" s="158" t="s">
        <v>188</v>
      </c>
      <c r="D424" s="159"/>
      <c r="E424" s="178">
        <f>30*0.1</f>
        <v>3</v>
      </c>
      <c r="F424" s="171"/>
      <c r="G424" s="144"/>
      <c r="H424" s="144"/>
      <c r="I424" s="144"/>
      <c r="J424" s="144"/>
      <c r="K424" s="144"/>
      <c r="L424" s="144"/>
      <c r="M424" s="144"/>
      <c r="N424" s="144"/>
      <c r="O424" s="144"/>
      <c r="P424" s="144"/>
      <c r="Q424" s="144"/>
      <c r="R424" s="144"/>
      <c r="S424" s="144"/>
      <c r="T424" s="144"/>
      <c r="U424" s="144"/>
      <c r="V424" s="144"/>
      <c r="W424" s="144"/>
      <c r="X424" s="144"/>
      <c r="Y424" s="144"/>
      <c r="Z424" s="144"/>
      <c r="AA424" s="144"/>
      <c r="AB424" s="144"/>
      <c r="AC424" s="144"/>
      <c r="AD424" s="144"/>
      <c r="AE424" s="144"/>
      <c r="AF424" s="144"/>
      <c r="AG424" s="144"/>
      <c r="AH424" s="144"/>
      <c r="AI424" s="144"/>
      <c r="AJ424" s="144"/>
      <c r="AK424" s="144"/>
      <c r="AL424" s="144"/>
      <c r="AM424" s="144"/>
      <c r="AN424" s="144"/>
      <c r="AO424" s="144"/>
      <c r="AP424" s="144"/>
      <c r="AQ424" s="144"/>
      <c r="AR424" s="144"/>
      <c r="AS424" s="144"/>
      <c r="AT424" s="144"/>
      <c r="AU424" s="144"/>
      <c r="AV424" s="144"/>
      <c r="AW424" s="144"/>
      <c r="AX424" s="144"/>
      <c r="AY424" s="144"/>
      <c r="AZ424" s="144"/>
      <c r="BA424" s="144"/>
      <c r="BB424" s="144"/>
      <c r="BC424" s="144"/>
      <c r="BD424" s="144"/>
      <c r="BE424" s="144"/>
      <c r="BF424" s="144"/>
      <c r="BG424" s="144"/>
      <c r="BH424" s="144"/>
      <c r="BI424" s="144"/>
      <c r="BJ424" s="144"/>
      <c r="BK424" s="144"/>
      <c r="BL424" s="144"/>
      <c r="BM424" s="144"/>
      <c r="BN424" s="144"/>
      <c r="BO424" s="144"/>
      <c r="BP424" s="144"/>
      <c r="BQ424" s="144"/>
      <c r="BR424" s="144"/>
      <c r="BS424" s="144"/>
      <c r="BT424" s="144"/>
      <c r="BU424" s="144"/>
      <c r="BV424" s="144"/>
      <c r="BW424" s="144"/>
      <c r="BX424" s="144"/>
      <c r="BY424" s="144"/>
      <c r="BZ424" s="144"/>
      <c r="CA424" s="144"/>
      <c r="CB424" s="144"/>
      <c r="CC424" s="144"/>
      <c r="CD424" s="144"/>
      <c r="CE424" s="144"/>
      <c r="CF424" s="144"/>
      <c r="CG424" s="144"/>
      <c r="CH424" s="144"/>
      <c r="CI424" s="144"/>
      <c r="CJ424" s="144"/>
      <c r="CK424" s="144"/>
      <c r="CL424" s="144"/>
      <c r="CM424" s="144"/>
      <c r="CN424" s="144"/>
      <c r="CO424" s="144"/>
      <c r="CP424" s="144"/>
      <c r="CQ424" s="144"/>
      <c r="CR424" s="144"/>
      <c r="CS424" s="144"/>
      <c r="CT424" s="144"/>
      <c r="CU424" s="144"/>
      <c r="CV424" s="144"/>
      <c r="CW424" s="144"/>
      <c r="CX424" s="144"/>
      <c r="CY424" s="144"/>
      <c r="CZ424" s="144"/>
      <c r="DA424" s="144"/>
      <c r="DB424" s="144"/>
      <c r="DC424" s="144"/>
      <c r="DD424" s="144"/>
      <c r="DE424" s="144"/>
      <c r="DF424" s="144"/>
      <c r="DG424" s="144"/>
      <c r="DH424" s="144"/>
      <c r="DI424" s="144"/>
      <c r="DJ424" s="144"/>
      <c r="DK424" s="144"/>
      <c r="DL424" s="144"/>
      <c r="DM424" s="144"/>
      <c r="DN424" s="144"/>
      <c r="DO424" s="144"/>
      <c r="DP424" s="144"/>
      <c r="DQ424" s="144"/>
      <c r="DR424" s="144"/>
      <c r="DS424" s="144"/>
      <c r="DT424" s="144"/>
      <c r="DU424" s="144"/>
      <c r="DV424" s="144"/>
      <c r="DW424" s="144"/>
      <c r="DX424" s="144"/>
      <c r="DY424" s="144"/>
      <c r="DZ424" s="144"/>
      <c r="EA424" s="144"/>
      <c r="EB424" s="144"/>
      <c r="EC424" s="144"/>
      <c r="ED424" s="144"/>
      <c r="EE424" s="144"/>
      <c r="EF424" s="144"/>
      <c r="EG424" s="144"/>
      <c r="EH424" s="144"/>
      <c r="EI424" s="144"/>
      <c r="EJ424" s="144"/>
      <c r="EK424" s="144"/>
      <c r="EL424" s="144"/>
      <c r="EM424" s="144"/>
      <c r="EN424" s="144"/>
      <c r="EO424" s="144"/>
      <c r="EP424" s="144"/>
      <c r="EQ424" s="144"/>
      <c r="ER424" s="144"/>
      <c r="ES424" s="144"/>
      <c r="ET424" s="144"/>
      <c r="EU424" s="144"/>
      <c r="EV424" s="144"/>
      <c r="EW424" s="144"/>
      <c r="EX424" s="144"/>
      <c r="EY424" s="144"/>
      <c r="EZ424" s="144"/>
      <c r="FA424" s="144"/>
      <c r="FB424" s="144"/>
      <c r="FC424" s="144"/>
      <c r="FD424" s="144"/>
      <c r="FE424" s="144"/>
      <c r="FF424" s="144"/>
      <c r="FG424" s="144"/>
      <c r="FH424" s="144"/>
      <c r="FI424" s="144"/>
      <c r="FJ424" s="144"/>
      <c r="FK424" s="144"/>
      <c r="FL424" s="144"/>
      <c r="FM424" s="144"/>
      <c r="FN424" s="144"/>
      <c r="FO424" s="144"/>
      <c r="FP424" s="144"/>
      <c r="FQ424" s="144"/>
      <c r="FR424" s="144"/>
      <c r="FS424" s="144"/>
      <c r="FT424" s="144"/>
      <c r="FU424" s="144"/>
      <c r="FV424" s="144"/>
      <c r="FW424" s="144"/>
      <c r="FX424" s="144"/>
      <c r="FY424" s="144"/>
      <c r="FZ424" s="144"/>
      <c r="GA424" s="144"/>
      <c r="GB424" s="144"/>
      <c r="GC424" s="144"/>
      <c r="GD424" s="144"/>
      <c r="GE424" s="144"/>
      <c r="GF424" s="144"/>
      <c r="GG424" s="144"/>
      <c r="GH424" s="144"/>
      <c r="GI424" s="144"/>
      <c r="GJ424" s="144"/>
      <c r="GK424" s="144"/>
      <c r="GL424" s="144"/>
      <c r="GM424" s="144"/>
      <c r="GN424" s="144"/>
      <c r="GO424" s="144"/>
      <c r="GP424" s="144"/>
      <c r="GQ424" s="144"/>
      <c r="GR424" s="144"/>
      <c r="GS424" s="144"/>
      <c r="GT424" s="144"/>
      <c r="GU424" s="144"/>
      <c r="GV424" s="144"/>
      <c r="GW424" s="144"/>
      <c r="GX424" s="144"/>
      <c r="GY424" s="144"/>
      <c r="GZ424" s="144"/>
      <c r="HA424" s="144"/>
      <c r="HB424" s="144"/>
      <c r="HC424" s="144"/>
      <c r="HD424" s="144"/>
      <c r="HE424" s="144"/>
      <c r="HF424" s="144"/>
      <c r="HG424" s="144"/>
      <c r="HH424" s="144"/>
      <c r="HI424" s="144"/>
      <c r="HJ424" s="144"/>
      <c r="HK424" s="144"/>
      <c r="HL424" s="144"/>
      <c r="HM424" s="144"/>
      <c r="HN424" s="144"/>
      <c r="HO424" s="144"/>
      <c r="HP424" s="144"/>
      <c r="HQ424" s="144"/>
      <c r="HR424" s="144"/>
      <c r="HS424" s="144"/>
      <c r="HT424" s="144"/>
      <c r="HU424" s="144"/>
      <c r="HV424" s="144"/>
      <c r="HW424" s="144"/>
      <c r="HX424" s="144"/>
      <c r="HY424" s="144"/>
      <c r="HZ424" s="144"/>
      <c r="IA424" s="144"/>
      <c r="IB424" s="144"/>
      <c r="IC424" s="144"/>
      <c r="ID424" s="144"/>
      <c r="IE424" s="144"/>
      <c r="IF424" s="144"/>
      <c r="IG424" s="144"/>
      <c r="IH424" s="144"/>
      <c r="II424" s="144"/>
      <c r="IJ424" s="144"/>
      <c r="IK424" s="144"/>
      <c r="IL424" s="144"/>
      <c r="IM424" s="144"/>
    </row>
    <row r="425" spans="1:247" s="47" customFormat="1" ht="30">
      <c r="A425" s="158"/>
      <c r="B425" s="158" t="s">
        <v>220</v>
      </c>
      <c r="C425" s="158" t="s">
        <v>58</v>
      </c>
      <c r="D425" s="158">
        <f>(0.294+16*0.0046)*10+0.0117*10</f>
        <v>3.7929999999999997</v>
      </c>
      <c r="E425" s="159">
        <f>E424*D425</f>
        <v>11.379</v>
      </c>
      <c r="F425" s="171"/>
      <c r="G425" s="144"/>
      <c r="H425" s="144"/>
      <c r="I425" s="144"/>
      <c r="J425" s="144"/>
      <c r="K425" s="144"/>
      <c r="L425" s="144"/>
      <c r="M425" s="144"/>
      <c r="N425" s="144"/>
      <c r="O425" s="144"/>
      <c r="P425" s="144"/>
      <c r="Q425" s="144"/>
      <c r="R425" s="144"/>
      <c r="S425" s="144"/>
      <c r="T425" s="144"/>
      <c r="U425" s="144"/>
      <c r="V425" s="144"/>
      <c r="W425" s="144"/>
      <c r="X425" s="144"/>
      <c r="Y425" s="144"/>
      <c r="Z425" s="144"/>
      <c r="AA425" s="144"/>
      <c r="AB425" s="144"/>
      <c r="AC425" s="144"/>
      <c r="AD425" s="144"/>
      <c r="AE425" s="144"/>
      <c r="AF425" s="144"/>
      <c r="AG425" s="144"/>
      <c r="AH425" s="144"/>
      <c r="AI425" s="144"/>
      <c r="AJ425" s="144"/>
      <c r="AK425" s="144"/>
      <c r="AL425" s="144"/>
      <c r="AM425" s="144"/>
      <c r="AN425" s="144"/>
      <c r="AO425" s="144"/>
      <c r="AP425" s="144"/>
      <c r="AQ425" s="144"/>
      <c r="AR425" s="144"/>
      <c r="AS425" s="144"/>
      <c r="AT425" s="144"/>
      <c r="AU425" s="144"/>
      <c r="AV425" s="144"/>
      <c r="AW425" s="144"/>
      <c r="AX425" s="144"/>
      <c r="AY425" s="144"/>
      <c r="AZ425" s="144"/>
      <c r="BA425" s="144"/>
      <c r="BB425" s="144"/>
      <c r="BC425" s="144"/>
      <c r="BD425" s="144"/>
      <c r="BE425" s="144"/>
      <c r="BF425" s="144"/>
      <c r="BG425" s="144"/>
      <c r="BH425" s="144"/>
      <c r="BI425" s="144"/>
      <c r="BJ425" s="144"/>
      <c r="BK425" s="144"/>
      <c r="BL425" s="144"/>
      <c r="BM425" s="144"/>
      <c r="BN425" s="144"/>
      <c r="BO425" s="144"/>
      <c r="BP425" s="144"/>
      <c r="BQ425" s="144"/>
      <c r="BR425" s="144"/>
      <c r="BS425" s="144"/>
      <c r="BT425" s="144"/>
      <c r="BU425" s="144"/>
      <c r="BV425" s="144"/>
      <c r="BW425" s="144"/>
      <c r="BX425" s="144"/>
      <c r="BY425" s="144"/>
      <c r="BZ425" s="144"/>
      <c r="CA425" s="144"/>
      <c r="CB425" s="144"/>
      <c r="CC425" s="144"/>
      <c r="CD425" s="144"/>
      <c r="CE425" s="144"/>
      <c r="CF425" s="144"/>
      <c r="CG425" s="144"/>
      <c r="CH425" s="144"/>
      <c r="CI425" s="144"/>
      <c r="CJ425" s="144"/>
      <c r="CK425" s="144"/>
      <c r="CL425" s="144"/>
      <c r="CM425" s="144"/>
      <c r="CN425" s="144"/>
      <c r="CO425" s="144"/>
      <c r="CP425" s="144"/>
      <c r="CQ425" s="144"/>
      <c r="CR425" s="144"/>
      <c r="CS425" s="144"/>
      <c r="CT425" s="144"/>
      <c r="CU425" s="144"/>
      <c r="CV425" s="144"/>
      <c r="CW425" s="144"/>
      <c r="CX425" s="144"/>
      <c r="CY425" s="144"/>
      <c r="CZ425" s="144"/>
      <c r="DA425" s="144"/>
      <c r="DB425" s="144"/>
      <c r="DC425" s="144"/>
      <c r="DD425" s="144"/>
      <c r="DE425" s="144"/>
      <c r="DF425" s="144"/>
      <c r="DG425" s="144"/>
      <c r="DH425" s="144"/>
      <c r="DI425" s="144"/>
      <c r="DJ425" s="144"/>
      <c r="DK425" s="144"/>
      <c r="DL425" s="144"/>
      <c r="DM425" s="144"/>
      <c r="DN425" s="144"/>
      <c r="DO425" s="144"/>
      <c r="DP425" s="144"/>
      <c r="DQ425" s="144"/>
      <c r="DR425" s="144"/>
      <c r="DS425" s="144"/>
      <c r="DT425" s="144"/>
      <c r="DU425" s="144"/>
      <c r="DV425" s="144"/>
      <c r="DW425" s="144"/>
      <c r="DX425" s="144"/>
      <c r="DY425" s="144"/>
      <c r="DZ425" s="144"/>
      <c r="EA425" s="144"/>
      <c r="EB425" s="144"/>
      <c r="EC425" s="144"/>
      <c r="ED425" s="144"/>
      <c r="EE425" s="144"/>
      <c r="EF425" s="144"/>
      <c r="EG425" s="144"/>
      <c r="EH425" s="144"/>
      <c r="EI425" s="144"/>
      <c r="EJ425" s="144"/>
      <c r="EK425" s="144"/>
      <c r="EL425" s="144"/>
      <c r="EM425" s="144"/>
      <c r="EN425" s="144"/>
      <c r="EO425" s="144"/>
      <c r="EP425" s="144"/>
      <c r="EQ425" s="144"/>
      <c r="ER425" s="144"/>
      <c r="ES425" s="144"/>
      <c r="ET425" s="144"/>
      <c r="EU425" s="144"/>
      <c r="EV425" s="144"/>
      <c r="EW425" s="144"/>
      <c r="EX425" s="144"/>
      <c r="EY425" s="144"/>
      <c r="EZ425" s="144"/>
      <c r="FA425" s="144"/>
      <c r="FB425" s="144"/>
      <c r="FC425" s="144"/>
      <c r="FD425" s="144"/>
      <c r="FE425" s="144"/>
      <c r="FF425" s="144"/>
      <c r="FG425" s="144"/>
      <c r="FH425" s="144"/>
      <c r="FI425" s="144"/>
      <c r="FJ425" s="144"/>
      <c r="FK425" s="144"/>
      <c r="FL425" s="144"/>
      <c r="FM425" s="144"/>
      <c r="FN425" s="144"/>
      <c r="FO425" s="144"/>
      <c r="FP425" s="144"/>
      <c r="FQ425" s="144"/>
      <c r="FR425" s="144"/>
      <c r="FS425" s="144"/>
      <c r="FT425" s="144"/>
      <c r="FU425" s="144"/>
      <c r="FV425" s="144"/>
      <c r="FW425" s="144"/>
      <c r="FX425" s="144"/>
      <c r="FY425" s="144"/>
      <c r="FZ425" s="144"/>
      <c r="GA425" s="144"/>
      <c r="GB425" s="144"/>
      <c r="GC425" s="144"/>
      <c r="GD425" s="144"/>
      <c r="GE425" s="144"/>
      <c r="GF425" s="144"/>
      <c r="GG425" s="144"/>
      <c r="GH425" s="144"/>
      <c r="GI425" s="144"/>
      <c r="GJ425" s="144"/>
      <c r="GK425" s="144"/>
      <c r="GL425" s="144"/>
      <c r="GM425" s="144"/>
      <c r="GN425" s="144"/>
      <c r="GO425" s="144"/>
      <c r="GP425" s="144"/>
      <c r="GQ425" s="144"/>
      <c r="GR425" s="144"/>
      <c r="GS425" s="144"/>
      <c r="GT425" s="144"/>
      <c r="GU425" s="144"/>
      <c r="GV425" s="144"/>
      <c r="GW425" s="144"/>
      <c r="GX425" s="144"/>
      <c r="GY425" s="144"/>
      <c r="GZ425" s="144"/>
      <c r="HA425" s="144"/>
      <c r="HB425" s="144"/>
      <c r="HC425" s="144"/>
      <c r="HD425" s="144"/>
      <c r="HE425" s="144"/>
      <c r="HF425" s="144"/>
      <c r="HG425" s="144"/>
      <c r="HH425" s="144"/>
      <c r="HI425" s="144"/>
      <c r="HJ425" s="144"/>
      <c r="HK425" s="144"/>
      <c r="HL425" s="144"/>
      <c r="HM425" s="144"/>
      <c r="HN425" s="144"/>
      <c r="HO425" s="144"/>
      <c r="HP425" s="144"/>
      <c r="HQ425" s="144"/>
      <c r="HR425" s="144"/>
      <c r="HS425" s="144"/>
      <c r="HT425" s="144"/>
      <c r="HU425" s="144"/>
      <c r="HV425" s="144"/>
      <c r="HW425" s="144"/>
      <c r="HX425" s="144"/>
      <c r="HY425" s="144"/>
      <c r="HZ425" s="144"/>
      <c r="IA425" s="144"/>
      <c r="IB425" s="144"/>
      <c r="IC425" s="144"/>
      <c r="ID425" s="144"/>
      <c r="IE425" s="144"/>
      <c r="IF425" s="144"/>
      <c r="IG425" s="144"/>
      <c r="IH425" s="144"/>
      <c r="II425" s="144"/>
      <c r="IJ425" s="144"/>
      <c r="IK425" s="144"/>
      <c r="IL425" s="144"/>
      <c r="IM425" s="144"/>
    </row>
    <row r="426" spans="1:247" s="47" customFormat="1" ht="15">
      <c r="A426" s="158"/>
      <c r="B426" s="158" t="s">
        <v>221</v>
      </c>
      <c r="C426" s="158" t="s">
        <v>51</v>
      </c>
      <c r="D426" s="158">
        <f>(0.0112+16*0.0028)*10</f>
        <v>0.56</v>
      </c>
      <c r="E426" s="159">
        <f>E424*D426</f>
        <v>1.6800000000000002</v>
      </c>
      <c r="F426" s="171"/>
      <c r="G426" s="144"/>
      <c r="H426" s="144"/>
      <c r="I426" s="144"/>
      <c r="J426" s="144"/>
      <c r="K426" s="144"/>
      <c r="L426" s="144"/>
      <c r="M426" s="144"/>
      <c r="N426" s="144"/>
      <c r="O426" s="144"/>
      <c r="P426" s="144"/>
      <c r="Q426" s="144"/>
      <c r="R426" s="144"/>
      <c r="S426" s="144"/>
      <c r="T426" s="144"/>
      <c r="U426" s="144"/>
      <c r="V426" s="144"/>
      <c r="W426" s="144"/>
      <c r="X426" s="144"/>
      <c r="Y426" s="144"/>
      <c r="Z426" s="144"/>
      <c r="AA426" s="144"/>
      <c r="AB426" s="144"/>
      <c r="AC426" s="144"/>
      <c r="AD426" s="144"/>
      <c r="AE426" s="144"/>
      <c r="AF426" s="144"/>
      <c r="AG426" s="144"/>
      <c r="AH426" s="144"/>
      <c r="AI426" s="144"/>
      <c r="AJ426" s="144"/>
      <c r="AK426" s="144"/>
      <c r="AL426" s="144"/>
      <c r="AM426" s="144"/>
      <c r="AN426" s="144"/>
      <c r="AO426" s="144"/>
      <c r="AP426" s="144"/>
      <c r="AQ426" s="144"/>
      <c r="AR426" s="144"/>
      <c r="AS426" s="144"/>
      <c r="AT426" s="144"/>
      <c r="AU426" s="144"/>
      <c r="AV426" s="144"/>
      <c r="AW426" s="144"/>
      <c r="AX426" s="144"/>
      <c r="AY426" s="144"/>
      <c r="AZ426" s="144"/>
      <c r="BA426" s="144"/>
      <c r="BB426" s="144"/>
      <c r="BC426" s="144"/>
      <c r="BD426" s="144"/>
      <c r="BE426" s="144"/>
      <c r="BF426" s="144"/>
      <c r="BG426" s="144"/>
      <c r="BH426" s="144"/>
      <c r="BI426" s="144"/>
      <c r="BJ426" s="144"/>
      <c r="BK426" s="144"/>
      <c r="BL426" s="144"/>
      <c r="BM426" s="144"/>
      <c r="BN426" s="144"/>
      <c r="BO426" s="144"/>
      <c r="BP426" s="144"/>
      <c r="BQ426" s="144"/>
      <c r="BR426" s="144"/>
      <c r="BS426" s="144"/>
      <c r="BT426" s="144"/>
      <c r="BU426" s="144"/>
      <c r="BV426" s="144"/>
      <c r="BW426" s="144"/>
      <c r="BX426" s="144"/>
      <c r="BY426" s="144"/>
      <c r="BZ426" s="144"/>
      <c r="CA426" s="144"/>
      <c r="CB426" s="144"/>
      <c r="CC426" s="144"/>
      <c r="CD426" s="144"/>
      <c r="CE426" s="144"/>
      <c r="CF426" s="144"/>
      <c r="CG426" s="144"/>
      <c r="CH426" s="144"/>
      <c r="CI426" s="144"/>
      <c r="CJ426" s="144"/>
      <c r="CK426" s="144"/>
      <c r="CL426" s="144"/>
      <c r="CM426" s="144"/>
      <c r="CN426" s="144"/>
      <c r="CO426" s="144"/>
      <c r="CP426" s="144"/>
      <c r="CQ426" s="144"/>
      <c r="CR426" s="144"/>
      <c r="CS426" s="144"/>
      <c r="CT426" s="144"/>
      <c r="CU426" s="144"/>
      <c r="CV426" s="144"/>
      <c r="CW426" s="144"/>
      <c r="CX426" s="144"/>
      <c r="CY426" s="144"/>
      <c r="CZ426" s="144"/>
      <c r="DA426" s="144"/>
      <c r="DB426" s="144"/>
      <c r="DC426" s="144"/>
      <c r="DD426" s="144"/>
      <c r="DE426" s="144"/>
      <c r="DF426" s="144"/>
      <c r="DG426" s="144"/>
      <c r="DH426" s="144"/>
      <c r="DI426" s="144"/>
      <c r="DJ426" s="144"/>
      <c r="DK426" s="144"/>
      <c r="DL426" s="144"/>
      <c r="DM426" s="144"/>
      <c r="DN426" s="144"/>
      <c r="DO426" s="144"/>
      <c r="DP426" s="144"/>
      <c r="DQ426" s="144"/>
      <c r="DR426" s="144"/>
      <c r="DS426" s="144"/>
      <c r="DT426" s="144"/>
      <c r="DU426" s="144"/>
      <c r="DV426" s="144"/>
      <c r="DW426" s="144"/>
      <c r="DX426" s="144"/>
      <c r="DY426" s="144"/>
      <c r="DZ426" s="144"/>
      <c r="EA426" s="144"/>
      <c r="EB426" s="144"/>
      <c r="EC426" s="144"/>
      <c r="ED426" s="144"/>
      <c r="EE426" s="144"/>
      <c r="EF426" s="144"/>
      <c r="EG426" s="144"/>
      <c r="EH426" s="144"/>
      <c r="EI426" s="144"/>
      <c r="EJ426" s="144"/>
      <c r="EK426" s="144"/>
      <c r="EL426" s="144"/>
      <c r="EM426" s="144"/>
      <c r="EN426" s="144"/>
      <c r="EO426" s="144"/>
      <c r="EP426" s="144"/>
      <c r="EQ426" s="144"/>
      <c r="ER426" s="144"/>
      <c r="ES426" s="144"/>
      <c r="ET426" s="144"/>
      <c r="EU426" s="144"/>
      <c r="EV426" s="144"/>
      <c r="EW426" s="144"/>
      <c r="EX426" s="144"/>
      <c r="EY426" s="144"/>
      <c r="EZ426" s="144"/>
      <c r="FA426" s="144"/>
      <c r="FB426" s="144"/>
      <c r="FC426" s="144"/>
      <c r="FD426" s="144"/>
      <c r="FE426" s="144"/>
      <c r="FF426" s="144"/>
      <c r="FG426" s="144"/>
      <c r="FH426" s="144"/>
      <c r="FI426" s="144"/>
      <c r="FJ426" s="144"/>
      <c r="FK426" s="144"/>
      <c r="FL426" s="144"/>
      <c r="FM426" s="144"/>
      <c r="FN426" s="144"/>
      <c r="FO426" s="144"/>
      <c r="FP426" s="144"/>
      <c r="FQ426" s="144"/>
      <c r="FR426" s="144"/>
      <c r="FS426" s="144"/>
      <c r="FT426" s="144"/>
      <c r="FU426" s="144"/>
      <c r="FV426" s="144"/>
      <c r="FW426" s="144"/>
      <c r="FX426" s="144"/>
      <c r="FY426" s="144"/>
      <c r="FZ426" s="144"/>
      <c r="GA426" s="144"/>
      <c r="GB426" s="144"/>
      <c r="GC426" s="144"/>
      <c r="GD426" s="144"/>
      <c r="GE426" s="144"/>
      <c r="GF426" s="144"/>
      <c r="GG426" s="144"/>
      <c r="GH426" s="144"/>
      <c r="GI426" s="144"/>
      <c r="GJ426" s="144"/>
      <c r="GK426" s="144"/>
      <c r="GL426" s="144"/>
      <c r="GM426" s="144"/>
      <c r="GN426" s="144"/>
      <c r="GO426" s="144"/>
      <c r="GP426" s="144"/>
      <c r="GQ426" s="144"/>
      <c r="GR426" s="144"/>
      <c r="GS426" s="144"/>
      <c r="GT426" s="144"/>
      <c r="GU426" s="144"/>
      <c r="GV426" s="144"/>
      <c r="GW426" s="144"/>
      <c r="GX426" s="144"/>
      <c r="GY426" s="144"/>
      <c r="GZ426" s="144"/>
      <c r="HA426" s="144"/>
      <c r="HB426" s="144"/>
      <c r="HC426" s="144"/>
      <c r="HD426" s="144"/>
      <c r="HE426" s="144"/>
      <c r="HF426" s="144"/>
      <c r="HG426" s="144"/>
      <c r="HH426" s="144"/>
      <c r="HI426" s="144"/>
      <c r="HJ426" s="144"/>
      <c r="HK426" s="144"/>
      <c r="HL426" s="144"/>
      <c r="HM426" s="144"/>
      <c r="HN426" s="144"/>
      <c r="HO426" s="144"/>
      <c r="HP426" s="144"/>
      <c r="HQ426" s="144"/>
      <c r="HR426" s="144"/>
      <c r="HS426" s="144"/>
      <c r="HT426" s="144"/>
      <c r="HU426" s="144"/>
      <c r="HV426" s="144"/>
      <c r="HW426" s="144"/>
      <c r="HX426" s="144"/>
      <c r="HY426" s="144"/>
      <c r="HZ426" s="144"/>
      <c r="IA426" s="144"/>
      <c r="IB426" s="144"/>
      <c r="IC426" s="144"/>
      <c r="ID426" s="144"/>
      <c r="IE426" s="144"/>
      <c r="IF426" s="144"/>
      <c r="IG426" s="144"/>
      <c r="IH426" s="144"/>
      <c r="II426" s="144"/>
      <c r="IJ426" s="144"/>
      <c r="IK426" s="144"/>
      <c r="IL426" s="144"/>
      <c r="IM426" s="144"/>
    </row>
    <row r="427" spans="1:247" s="47" customFormat="1" ht="15.75">
      <c r="A427" s="158"/>
      <c r="B427" s="158" t="s">
        <v>252</v>
      </c>
      <c r="C427" s="158" t="s">
        <v>188</v>
      </c>
      <c r="D427" s="160">
        <f>(0.0204+0.0051*16)*10</f>
        <v>1.02</v>
      </c>
      <c r="E427" s="159">
        <f>D427*E424</f>
        <v>3.06</v>
      </c>
      <c r="F427" s="171"/>
      <c r="G427" s="144"/>
      <c r="H427" s="144"/>
      <c r="I427" s="144"/>
      <c r="J427" s="144"/>
      <c r="K427" s="144"/>
      <c r="L427" s="144"/>
      <c r="M427" s="144"/>
      <c r="N427" s="144"/>
      <c r="O427" s="144"/>
      <c r="P427" s="144"/>
      <c r="Q427" s="144"/>
      <c r="R427" s="144"/>
      <c r="S427" s="144"/>
      <c r="T427" s="144"/>
      <c r="U427" s="144"/>
      <c r="V427" s="144"/>
      <c r="W427" s="144"/>
      <c r="X427" s="144"/>
      <c r="Y427" s="144"/>
      <c r="Z427" s="144"/>
      <c r="AA427" s="144"/>
      <c r="AB427" s="144"/>
      <c r="AC427" s="144"/>
      <c r="AD427" s="144"/>
      <c r="AE427" s="144"/>
      <c r="AF427" s="144"/>
      <c r="AG427" s="144"/>
      <c r="AH427" s="144"/>
      <c r="AI427" s="144"/>
      <c r="AJ427" s="144"/>
      <c r="AK427" s="144"/>
      <c r="AL427" s="144"/>
      <c r="AM427" s="144"/>
      <c r="AN427" s="144"/>
      <c r="AO427" s="144"/>
      <c r="AP427" s="144"/>
      <c r="AQ427" s="144"/>
      <c r="AR427" s="144"/>
      <c r="AS427" s="144"/>
      <c r="AT427" s="144"/>
      <c r="AU427" s="144"/>
      <c r="AV427" s="144"/>
      <c r="AW427" s="144"/>
      <c r="AX427" s="144"/>
      <c r="AY427" s="144"/>
      <c r="AZ427" s="144"/>
      <c r="BA427" s="144"/>
      <c r="BB427" s="144"/>
      <c r="BC427" s="144"/>
      <c r="BD427" s="144"/>
      <c r="BE427" s="144"/>
      <c r="BF427" s="144"/>
      <c r="BG427" s="144"/>
      <c r="BH427" s="144"/>
      <c r="BI427" s="144"/>
      <c r="BJ427" s="144"/>
      <c r="BK427" s="144"/>
      <c r="BL427" s="144"/>
      <c r="BM427" s="144"/>
      <c r="BN427" s="144"/>
      <c r="BO427" s="144"/>
      <c r="BP427" s="144"/>
      <c r="BQ427" s="144"/>
      <c r="BR427" s="144"/>
      <c r="BS427" s="144"/>
      <c r="BT427" s="144"/>
      <c r="BU427" s="144"/>
      <c r="BV427" s="144"/>
      <c r="BW427" s="144"/>
      <c r="BX427" s="144"/>
      <c r="BY427" s="144"/>
      <c r="BZ427" s="144"/>
      <c r="CA427" s="144"/>
      <c r="CB427" s="144"/>
      <c r="CC427" s="144"/>
      <c r="CD427" s="144"/>
      <c r="CE427" s="144"/>
      <c r="CF427" s="144"/>
      <c r="CG427" s="144"/>
      <c r="CH427" s="144"/>
      <c r="CI427" s="144"/>
      <c r="CJ427" s="144"/>
      <c r="CK427" s="144"/>
      <c r="CL427" s="144"/>
      <c r="CM427" s="144"/>
      <c r="CN427" s="144"/>
      <c r="CO427" s="144"/>
      <c r="CP427" s="144"/>
      <c r="CQ427" s="144"/>
      <c r="CR427" s="144"/>
      <c r="CS427" s="144"/>
      <c r="CT427" s="144"/>
      <c r="CU427" s="144"/>
      <c r="CV427" s="144"/>
      <c r="CW427" s="144"/>
      <c r="CX427" s="144"/>
      <c r="CY427" s="144"/>
      <c r="CZ427" s="144"/>
      <c r="DA427" s="144"/>
      <c r="DB427" s="144"/>
      <c r="DC427" s="144"/>
      <c r="DD427" s="144"/>
      <c r="DE427" s="144"/>
      <c r="DF427" s="144"/>
      <c r="DG427" s="144"/>
      <c r="DH427" s="144"/>
      <c r="DI427" s="144"/>
      <c r="DJ427" s="144"/>
      <c r="DK427" s="144"/>
      <c r="DL427" s="144"/>
      <c r="DM427" s="144"/>
      <c r="DN427" s="144"/>
      <c r="DO427" s="144"/>
      <c r="DP427" s="144"/>
      <c r="DQ427" s="144"/>
      <c r="DR427" s="144"/>
      <c r="DS427" s="144"/>
      <c r="DT427" s="144"/>
      <c r="DU427" s="144"/>
      <c r="DV427" s="144"/>
      <c r="DW427" s="144"/>
      <c r="DX427" s="144"/>
      <c r="DY427" s="144"/>
      <c r="DZ427" s="144"/>
      <c r="EA427" s="144"/>
      <c r="EB427" s="144"/>
      <c r="EC427" s="144"/>
      <c r="ED427" s="144"/>
      <c r="EE427" s="144"/>
      <c r="EF427" s="144"/>
      <c r="EG427" s="144"/>
      <c r="EH427" s="144"/>
      <c r="EI427" s="144"/>
      <c r="EJ427" s="144"/>
      <c r="EK427" s="144"/>
      <c r="EL427" s="144"/>
      <c r="EM427" s="144"/>
      <c r="EN427" s="144"/>
      <c r="EO427" s="144"/>
      <c r="EP427" s="144"/>
      <c r="EQ427" s="144"/>
      <c r="ER427" s="144"/>
      <c r="ES427" s="144"/>
      <c r="ET427" s="144"/>
      <c r="EU427" s="144"/>
      <c r="EV427" s="144"/>
      <c r="EW427" s="144"/>
      <c r="EX427" s="144"/>
      <c r="EY427" s="144"/>
      <c r="EZ427" s="144"/>
      <c r="FA427" s="144"/>
      <c r="FB427" s="144"/>
      <c r="FC427" s="144"/>
      <c r="FD427" s="144"/>
      <c r="FE427" s="144"/>
      <c r="FF427" s="144"/>
      <c r="FG427" s="144"/>
      <c r="FH427" s="144"/>
      <c r="FI427" s="144"/>
      <c r="FJ427" s="144"/>
      <c r="FK427" s="144"/>
      <c r="FL427" s="144"/>
      <c r="FM427" s="144"/>
      <c r="FN427" s="144"/>
      <c r="FO427" s="144"/>
      <c r="FP427" s="144"/>
      <c r="FQ427" s="144"/>
      <c r="FR427" s="144"/>
      <c r="FS427" s="144"/>
      <c r="FT427" s="144"/>
      <c r="FU427" s="144"/>
      <c r="FV427" s="144"/>
      <c r="FW427" s="144"/>
      <c r="FX427" s="144"/>
      <c r="FY427" s="144"/>
      <c r="FZ427" s="144"/>
      <c r="GA427" s="144"/>
      <c r="GB427" s="144"/>
      <c r="GC427" s="144"/>
      <c r="GD427" s="144"/>
      <c r="GE427" s="144"/>
      <c r="GF427" s="144"/>
      <c r="GG427" s="144"/>
      <c r="GH427" s="144"/>
      <c r="GI427" s="144"/>
      <c r="GJ427" s="144"/>
      <c r="GK427" s="144"/>
      <c r="GL427" s="144"/>
      <c r="GM427" s="144"/>
      <c r="GN427" s="144"/>
      <c r="GO427" s="144"/>
      <c r="GP427" s="144"/>
      <c r="GQ427" s="144"/>
      <c r="GR427" s="144"/>
      <c r="GS427" s="144"/>
      <c r="GT427" s="144"/>
      <c r="GU427" s="144"/>
      <c r="GV427" s="144"/>
      <c r="GW427" s="144"/>
      <c r="GX427" s="144"/>
      <c r="GY427" s="144"/>
      <c r="GZ427" s="144"/>
      <c r="HA427" s="144"/>
      <c r="HB427" s="144"/>
      <c r="HC427" s="144"/>
      <c r="HD427" s="144"/>
      <c r="HE427" s="144"/>
      <c r="HF427" s="144"/>
      <c r="HG427" s="144"/>
      <c r="HH427" s="144"/>
      <c r="HI427" s="144"/>
      <c r="HJ427" s="144"/>
      <c r="HK427" s="144"/>
      <c r="HL427" s="144"/>
      <c r="HM427" s="144"/>
      <c r="HN427" s="144"/>
      <c r="HO427" s="144"/>
      <c r="HP427" s="144"/>
      <c r="HQ427" s="144"/>
      <c r="HR427" s="144"/>
      <c r="HS427" s="144"/>
      <c r="HT427" s="144"/>
      <c r="HU427" s="144"/>
      <c r="HV427" s="144"/>
      <c r="HW427" s="144"/>
      <c r="HX427" s="144"/>
      <c r="HY427" s="144"/>
      <c r="HZ427" s="144"/>
      <c r="IA427" s="144"/>
      <c r="IB427" s="144"/>
      <c r="IC427" s="144"/>
      <c r="ID427" s="144"/>
      <c r="IE427" s="144"/>
      <c r="IF427" s="144"/>
      <c r="IG427" s="144"/>
      <c r="IH427" s="144"/>
      <c r="II427" s="144"/>
      <c r="IJ427" s="144"/>
      <c r="IK427" s="144"/>
      <c r="IL427" s="144"/>
      <c r="IM427" s="144"/>
    </row>
    <row r="428" spans="1:6" s="110" customFormat="1" ht="15.75">
      <c r="A428" s="97"/>
      <c r="B428" s="97" t="s">
        <v>342</v>
      </c>
      <c r="C428" s="97" t="s">
        <v>174</v>
      </c>
      <c r="D428" s="41" t="s">
        <v>140</v>
      </c>
      <c r="E428" s="41">
        <v>30</v>
      </c>
      <c r="F428" s="171"/>
    </row>
    <row r="429" spans="1:247" s="47" customFormat="1" ht="15">
      <c r="A429" s="158"/>
      <c r="B429" s="158" t="s">
        <v>222</v>
      </c>
      <c r="C429" s="158" t="s">
        <v>51</v>
      </c>
      <c r="D429" s="159">
        <f>0.0636*10</f>
        <v>0.636</v>
      </c>
      <c r="E429" s="159">
        <f>D429*E424</f>
        <v>1.908</v>
      </c>
      <c r="F429" s="171"/>
      <c r="G429" s="144"/>
      <c r="H429" s="144"/>
      <c r="I429" s="144"/>
      <c r="J429" s="144"/>
      <c r="K429" s="144"/>
      <c r="L429" s="144"/>
      <c r="M429" s="144"/>
      <c r="N429" s="144"/>
      <c r="O429" s="144"/>
      <c r="P429" s="144"/>
      <c r="Q429" s="144"/>
      <c r="R429" s="144"/>
      <c r="S429" s="144"/>
      <c r="T429" s="144"/>
      <c r="U429" s="144"/>
      <c r="V429" s="144"/>
      <c r="W429" s="144"/>
      <c r="X429" s="144"/>
      <c r="Y429" s="144"/>
      <c r="Z429" s="144"/>
      <c r="AA429" s="144"/>
      <c r="AB429" s="144"/>
      <c r="AC429" s="144"/>
      <c r="AD429" s="144"/>
      <c r="AE429" s="144"/>
      <c r="AF429" s="144"/>
      <c r="AG429" s="144"/>
      <c r="AH429" s="144"/>
      <c r="AI429" s="144"/>
      <c r="AJ429" s="144"/>
      <c r="AK429" s="144"/>
      <c r="AL429" s="144"/>
      <c r="AM429" s="144"/>
      <c r="AN429" s="144"/>
      <c r="AO429" s="144"/>
      <c r="AP429" s="144"/>
      <c r="AQ429" s="144"/>
      <c r="AR429" s="144"/>
      <c r="AS429" s="144"/>
      <c r="AT429" s="144"/>
      <c r="AU429" s="144"/>
      <c r="AV429" s="144"/>
      <c r="AW429" s="144"/>
      <c r="AX429" s="144"/>
      <c r="AY429" s="144"/>
      <c r="AZ429" s="144"/>
      <c r="BA429" s="144"/>
      <c r="BB429" s="144"/>
      <c r="BC429" s="144"/>
      <c r="BD429" s="144"/>
      <c r="BE429" s="144"/>
      <c r="BF429" s="144"/>
      <c r="BG429" s="144"/>
      <c r="BH429" s="144"/>
      <c r="BI429" s="144"/>
      <c r="BJ429" s="144"/>
      <c r="BK429" s="144"/>
      <c r="BL429" s="144"/>
      <c r="BM429" s="144"/>
      <c r="BN429" s="144"/>
      <c r="BO429" s="144"/>
      <c r="BP429" s="144"/>
      <c r="BQ429" s="144"/>
      <c r="BR429" s="144"/>
      <c r="BS429" s="144"/>
      <c r="BT429" s="144"/>
      <c r="BU429" s="144"/>
      <c r="BV429" s="144"/>
      <c r="BW429" s="144"/>
      <c r="BX429" s="144"/>
      <c r="BY429" s="144"/>
      <c r="BZ429" s="144"/>
      <c r="CA429" s="144"/>
      <c r="CB429" s="144"/>
      <c r="CC429" s="144"/>
      <c r="CD429" s="144"/>
      <c r="CE429" s="144"/>
      <c r="CF429" s="144"/>
      <c r="CG429" s="144"/>
      <c r="CH429" s="144"/>
      <c r="CI429" s="144"/>
      <c r="CJ429" s="144"/>
      <c r="CK429" s="144"/>
      <c r="CL429" s="144"/>
      <c r="CM429" s="144"/>
      <c r="CN429" s="144"/>
      <c r="CO429" s="144"/>
      <c r="CP429" s="144"/>
      <c r="CQ429" s="144"/>
      <c r="CR429" s="144"/>
      <c r="CS429" s="144"/>
      <c r="CT429" s="144"/>
      <c r="CU429" s="144"/>
      <c r="CV429" s="144"/>
      <c r="CW429" s="144"/>
      <c r="CX429" s="144"/>
      <c r="CY429" s="144"/>
      <c r="CZ429" s="144"/>
      <c r="DA429" s="144"/>
      <c r="DB429" s="144"/>
      <c r="DC429" s="144"/>
      <c r="DD429" s="144"/>
      <c r="DE429" s="144"/>
      <c r="DF429" s="144"/>
      <c r="DG429" s="144"/>
      <c r="DH429" s="144"/>
      <c r="DI429" s="144"/>
      <c r="DJ429" s="144"/>
      <c r="DK429" s="144"/>
      <c r="DL429" s="144"/>
      <c r="DM429" s="144"/>
      <c r="DN429" s="144"/>
      <c r="DO429" s="144"/>
      <c r="DP429" s="144"/>
      <c r="DQ429" s="144"/>
      <c r="DR429" s="144"/>
      <c r="DS429" s="144"/>
      <c r="DT429" s="144"/>
      <c r="DU429" s="144"/>
      <c r="DV429" s="144"/>
      <c r="DW429" s="144"/>
      <c r="DX429" s="144"/>
      <c r="DY429" s="144"/>
      <c r="DZ429" s="144"/>
      <c r="EA429" s="144"/>
      <c r="EB429" s="144"/>
      <c r="EC429" s="144"/>
      <c r="ED429" s="144"/>
      <c r="EE429" s="144"/>
      <c r="EF429" s="144"/>
      <c r="EG429" s="144"/>
      <c r="EH429" s="144"/>
      <c r="EI429" s="144"/>
      <c r="EJ429" s="144"/>
      <c r="EK429" s="144"/>
      <c r="EL429" s="144"/>
      <c r="EM429" s="144"/>
      <c r="EN429" s="144"/>
      <c r="EO429" s="144"/>
      <c r="EP429" s="144"/>
      <c r="EQ429" s="144"/>
      <c r="ER429" s="144"/>
      <c r="ES429" s="144"/>
      <c r="ET429" s="144"/>
      <c r="EU429" s="144"/>
      <c r="EV429" s="144"/>
      <c r="EW429" s="144"/>
      <c r="EX429" s="144"/>
      <c r="EY429" s="144"/>
      <c r="EZ429" s="144"/>
      <c r="FA429" s="144"/>
      <c r="FB429" s="144"/>
      <c r="FC429" s="144"/>
      <c r="FD429" s="144"/>
      <c r="FE429" s="144"/>
      <c r="FF429" s="144"/>
      <c r="FG429" s="144"/>
      <c r="FH429" s="144"/>
      <c r="FI429" s="144"/>
      <c r="FJ429" s="144"/>
      <c r="FK429" s="144"/>
      <c r="FL429" s="144"/>
      <c r="FM429" s="144"/>
      <c r="FN429" s="144"/>
      <c r="FO429" s="144"/>
      <c r="FP429" s="144"/>
      <c r="FQ429" s="144"/>
      <c r="FR429" s="144"/>
      <c r="FS429" s="144"/>
      <c r="FT429" s="144"/>
      <c r="FU429" s="144"/>
      <c r="FV429" s="144"/>
      <c r="FW429" s="144"/>
      <c r="FX429" s="144"/>
      <c r="FY429" s="144"/>
      <c r="FZ429" s="144"/>
      <c r="GA429" s="144"/>
      <c r="GB429" s="144"/>
      <c r="GC429" s="144"/>
      <c r="GD429" s="144"/>
      <c r="GE429" s="144"/>
      <c r="GF429" s="144"/>
      <c r="GG429" s="144"/>
      <c r="GH429" s="144"/>
      <c r="GI429" s="144"/>
      <c r="GJ429" s="144"/>
      <c r="GK429" s="144"/>
      <c r="GL429" s="144"/>
      <c r="GM429" s="144"/>
      <c r="GN429" s="144"/>
      <c r="GO429" s="144"/>
      <c r="GP429" s="144"/>
      <c r="GQ429" s="144"/>
      <c r="GR429" s="144"/>
      <c r="GS429" s="144"/>
      <c r="GT429" s="144"/>
      <c r="GU429" s="144"/>
      <c r="GV429" s="144"/>
      <c r="GW429" s="144"/>
      <c r="GX429" s="144"/>
      <c r="GY429" s="144"/>
      <c r="GZ429" s="144"/>
      <c r="HA429" s="144"/>
      <c r="HB429" s="144"/>
      <c r="HC429" s="144"/>
      <c r="HD429" s="144"/>
      <c r="HE429" s="144"/>
      <c r="HF429" s="144"/>
      <c r="HG429" s="144"/>
      <c r="HH429" s="144"/>
      <c r="HI429" s="144"/>
      <c r="HJ429" s="144"/>
      <c r="HK429" s="144"/>
      <c r="HL429" s="144"/>
      <c r="HM429" s="144"/>
      <c r="HN429" s="144"/>
      <c r="HO429" s="144"/>
      <c r="HP429" s="144"/>
      <c r="HQ429" s="144"/>
      <c r="HR429" s="144"/>
      <c r="HS429" s="144"/>
      <c r="HT429" s="144"/>
      <c r="HU429" s="144"/>
      <c r="HV429" s="144"/>
      <c r="HW429" s="144"/>
      <c r="HX429" s="144"/>
      <c r="HY429" s="144"/>
      <c r="HZ429" s="144"/>
      <c r="IA429" s="144"/>
      <c r="IB429" s="144"/>
      <c r="IC429" s="144"/>
      <c r="ID429" s="144"/>
      <c r="IE429" s="144"/>
      <c r="IF429" s="144"/>
      <c r="IG429" s="144"/>
      <c r="IH429" s="144"/>
      <c r="II429" s="144"/>
      <c r="IJ429" s="144"/>
      <c r="IK429" s="144"/>
      <c r="IL429" s="144"/>
      <c r="IM429" s="144"/>
    </row>
    <row r="430" spans="1:247" s="47" customFormat="1" ht="30">
      <c r="A430" s="179">
        <f>A424+1</f>
        <v>15</v>
      </c>
      <c r="B430" s="37" t="s">
        <v>374</v>
      </c>
      <c r="C430" s="97" t="s">
        <v>174</v>
      </c>
      <c r="D430" s="76"/>
      <c r="E430" s="41">
        <f>E428</f>
        <v>30</v>
      </c>
      <c r="F430" s="171"/>
      <c r="G430" s="144"/>
      <c r="H430" s="144"/>
      <c r="I430" s="144"/>
      <c r="J430" s="144"/>
      <c r="K430" s="144"/>
      <c r="L430" s="144"/>
      <c r="M430" s="144"/>
      <c r="N430" s="144"/>
      <c r="O430" s="144"/>
      <c r="P430" s="144"/>
      <c r="Q430" s="144"/>
      <c r="R430" s="144"/>
      <c r="S430" s="144"/>
      <c r="T430" s="144"/>
      <c r="U430" s="144"/>
      <c r="V430" s="144"/>
      <c r="W430" s="144"/>
      <c r="X430" s="144"/>
      <c r="Y430" s="144"/>
      <c r="Z430" s="144"/>
      <c r="AA430" s="144"/>
      <c r="AB430" s="144"/>
      <c r="AC430" s="144"/>
      <c r="AD430" s="144"/>
      <c r="AE430" s="144"/>
      <c r="AF430" s="144"/>
      <c r="AG430" s="144"/>
      <c r="AH430" s="144"/>
      <c r="AI430" s="144"/>
      <c r="AJ430" s="144"/>
      <c r="AK430" s="144"/>
      <c r="AL430" s="144"/>
      <c r="AM430" s="144"/>
      <c r="AN430" s="144"/>
      <c r="AO430" s="144"/>
      <c r="AP430" s="144"/>
      <c r="AQ430" s="144"/>
      <c r="AR430" s="144"/>
      <c r="AS430" s="144"/>
      <c r="AT430" s="144"/>
      <c r="AU430" s="144"/>
      <c r="AV430" s="144"/>
      <c r="AW430" s="144"/>
      <c r="AX430" s="144"/>
      <c r="AY430" s="144"/>
      <c r="AZ430" s="144"/>
      <c r="BA430" s="144"/>
      <c r="BB430" s="144"/>
      <c r="BC430" s="144"/>
      <c r="BD430" s="144"/>
      <c r="BE430" s="144"/>
      <c r="BF430" s="144"/>
      <c r="BG430" s="144"/>
      <c r="BH430" s="144"/>
      <c r="BI430" s="144"/>
      <c r="BJ430" s="144"/>
      <c r="BK430" s="144"/>
      <c r="BL430" s="144"/>
      <c r="BM430" s="144"/>
      <c r="BN430" s="144"/>
      <c r="BO430" s="144"/>
      <c r="BP430" s="144"/>
      <c r="BQ430" s="144"/>
      <c r="BR430" s="144"/>
      <c r="BS430" s="144"/>
      <c r="BT430" s="144"/>
      <c r="BU430" s="144"/>
      <c r="BV430" s="144"/>
      <c r="BW430" s="144"/>
      <c r="BX430" s="144"/>
      <c r="BY430" s="144"/>
      <c r="BZ430" s="144"/>
      <c r="CA430" s="144"/>
      <c r="CB430" s="144"/>
      <c r="CC430" s="144"/>
      <c r="CD430" s="144"/>
      <c r="CE430" s="144"/>
      <c r="CF430" s="144"/>
      <c r="CG430" s="144"/>
      <c r="CH430" s="144"/>
      <c r="CI430" s="144"/>
      <c r="CJ430" s="144"/>
      <c r="CK430" s="144"/>
      <c r="CL430" s="144"/>
      <c r="CM430" s="144"/>
      <c r="CN430" s="144"/>
      <c r="CO430" s="144"/>
      <c r="CP430" s="144"/>
      <c r="CQ430" s="144"/>
      <c r="CR430" s="144"/>
      <c r="CS430" s="144"/>
      <c r="CT430" s="144"/>
      <c r="CU430" s="144"/>
      <c r="CV430" s="144"/>
      <c r="CW430" s="144"/>
      <c r="CX430" s="144"/>
      <c r="CY430" s="144"/>
      <c r="CZ430" s="144"/>
      <c r="DA430" s="144"/>
      <c r="DB430" s="144"/>
      <c r="DC430" s="144"/>
      <c r="DD430" s="144"/>
      <c r="DE430" s="144"/>
      <c r="DF430" s="144"/>
      <c r="DG430" s="144"/>
      <c r="DH430" s="144"/>
      <c r="DI430" s="144"/>
      <c r="DJ430" s="144"/>
      <c r="DK430" s="144"/>
      <c r="DL430" s="144"/>
      <c r="DM430" s="144"/>
      <c r="DN430" s="144"/>
      <c r="DO430" s="144"/>
      <c r="DP430" s="144"/>
      <c r="DQ430" s="144"/>
      <c r="DR430" s="144"/>
      <c r="DS430" s="144"/>
      <c r="DT430" s="144"/>
      <c r="DU430" s="144"/>
      <c r="DV430" s="144"/>
      <c r="DW430" s="144"/>
      <c r="DX430" s="144"/>
      <c r="DY430" s="144"/>
      <c r="DZ430" s="144"/>
      <c r="EA430" s="144"/>
      <c r="EB430" s="144"/>
      <c r="EC430" s="144"/>
      <c r="ED430" s="144"/>
      <c r="EE430" s="144"/>
      <c r="EF430" s="144"/>
      <c r="EG430" s="144"/>
      <c r="EH430" s="144"/>
      <c r="EI430" s="144"/>
      <c r="EJ430" s="144"/>
      <c r="EK430" s="144"/>
      <c r="EL430" s="144"/>
      <c r="EM430" s="144"/>
      <c r="EN430" s="144"/>
      <c r="EO430" s="144"/>
      <c r="EP430" s="144"/>
      <c r="EQ430" s="144"/>
      <c r="ER430" s="144"/>
      <c r="ES430" s="144"/>
      <c r="ET430" s="144"/>
      <c r="EU430" s="144"/>
      <c r="EV430" s="144"/>
      <c r="EW430" s="144"/>
      <c r="EX430" s="144"/>
      <c r="EY430" s="144"/>
      <c r="EZ430" s="144"/>
      <c r="FA430" s="144"/>
      <c r="FB430" s="144"/>
      <c r="FC430" s="144"/>
      <c r="FD430" s="144"/>
      <c r="FE430" s="144"/>
      <c r="FF430" s="144"/>
      <c r="FG430" s="144"/>
      <c r="FH430" s="144"/>
      <c r="FI430" s="144"/>
      <c r="FJ430" s="144"/>
      <c r="FK430" s="144"/>
      <c r="FL430" s="144"/>
      <c r="FM430" s="144"/>
      <c r="FN430" s="144"/>
      <c r="FO430" s="144"/>
      <c r="FP430" s="144"/>
      <c r="FQ430" s="144"/>
      <c r="FR430" s="144"/>
      <c r="FS430" s="144"/>
      <c r="FT430" s="144"/>
      <c r="FU430" s="144"/>
      <c r="FV430" s="144"/>
      <c r="FW430" s="144"/>
      <c r="FX430" s="144"/>
      <c r="FY430" s="144"/>
      <c r="FZ430" s="144"/>
      <c r="GA430" s="144"/>
      <c r="GB430" s="144"/>
      <c r="GC430" s="144"/>
      <c r="GD430" s="144"/>
      <c r="GE430" s="144"/>
      <c r="GF430" s="144"/>
      <c r="GG430" s="144"/>
      <c r="GH430" s="144"/>
      <c r="GI430" s="144"/>
      <c r="GJ430" s="144"/>
      <c r="GK430" s="144"/>
      <c r="GL430" s="144"/>
      <c r="GM430" s="144"/>
      <c r="GN430" s="144"/>
      <c r="GO430" s="144"/>
      <c r="GP430" s="144"/>
      <c r="GQ430" s="144"/>
      <c r="GR430" s="144"/>
      <c r="GS430" s="144"/>
      <c r="GT430" s="144"/>
      <c r="GU430" s="144"/>
      <c r="GV430" s="144"/>
      <c r="GW430" s="144"/>
      <c r="GX430" s="144"/>
      <c r="GY430" s="144"/>
      <c r="GZ430" s="144"/>
      <c r="HA430" s="144"/>
      <c r="HB430" s="144"/>
      <c r="HC430" s="144"/>
      <c r="HD430" s="144"/>
      <c r="HE430" s="144"/>
      <c r="HF430" s="144"/>
      <c r="HG430" s="144"/>
      <c r="HH430" s="144"/>
      <c r="HI430" s="144"/>
      <c r="HJ430" s="144"/>
      <c r="HK430" s="144"/>
      <c r="HL430" s="144"/>
      <c r="HM430" s="144"/>
      <c r="HN430" s="144"/>
      <c r="HO430" s="144"/>
      <c r="HP430" s="144"/>
      <c r="HQ430" s="144"/>
      <c r="HR430" s="144"/>
      <c r="HS430" s="144"/>
      <c r="HT430" s="144"/>
      <c r="HU430" s="144"/>
      <c r="HV430" s="144"/>
      <c r="HW430" s="144"/>
      <c r="HX430" s="144"/>
      <c r="HY430" s="144"/>
      <c r="HZ430" s="144"/>
      <c r="IA430" s="144"/>
      <c r="IB430" s="144"/>
      <c r="IC430" s="144"/>
      <c r="ID430" s="144"/>
      <c r="IE430" s="144"/>
      <c r="IF430" s="144"/>
      <c r="IG430" s="144"/>
      <c r="IH430" s="144"/>
      <c r="II430" s="144"/>
      <c r="IJ430" s="144"/>
      <c r="IK430" s="144"/>
      <c r="IL430" s="144"/>
      <c r="IM430" s="144"/>
    </row>
    <row r="431" spans="1:247" s="47" customFormat="1" ht="15">
      <c r="A431" s="97"/>
      <c r="B431" s="37" t="s">
        <v>149</v>
      </c>
      <c r="C431" s="37" t="s">
        <v>58</v>
      </c>
      <c r="D431" s="97">
        <f>48.8/100</f>
        <v>0.488</v>
      </c>
      <c r="E431" s="97">
        <f>E430*D431</f>
        <v>14.64</v>
      </c>
      <c r="F431" s="171"/>
      <c r="G431" s="144"/>
      <c r="H431" s="144"/>
      <c r="I431" s="144"/>
      <c r="J431" s="144"/>
      <c r="K431" s="144"/>
      <c r="L431" s="144"/>
      <c r="M431" s="144"/>
      <c r="N431" s="144"/>
      <c r="O431" s="144"/>
      <c r="P431" s="144"/>
      <c r="Q431" s="144"/>
      <c r="R431" s="144"/>
      <c r="S431" s="144"/>
      <c r="T431" s="144"/>
      <c r="U431" s="144"/>
      <c r="V431" s="144"/>
      <c r="W431" s="144"/>
      <c r="X431" s="144"/>
      <c r="Y431" s="144"/>
      <c r="Z431" s="144"/>
      <c r="AA431" s="144"/>
      <c r="AB431" s="144"/>
      <c r="AC431" s="144"/>
      <c r="AD431" s="144"/>
      <c r="AE431" s="144"/>
      <c r="AF431" s="144"/>
      <c r="AG431" s="144"/>
      <c r="AH431" s="144"/>
      <c r="AI431" s="144"/>
      <c r="AJ431" s="144"/>
      <c r="AK431" s="144"/>
      <c r="AL431" s="144"/>
      <c r="AM431" s="144"/>
      <c r="AN431" s="144"/>
      <c r="AO431" s="144"/>
      <c r="AP431" s="144"/>
      <c r="AQ431" s="144"/>
      <c r="AR431" s="144"/>
      <c r="AS431" s="144"/>
      <c r="AT431" s="144"/>
      <c r="AU431" s="144"/>
      <c r="AV431" s="144"/>
      <c r="AW431" s="144"/>
      <c r="AX431" s="144"/>
      <c r="AY431" s="144"/>
      <c r="AZ431" s="144"/>
      <c r="BA431" s="144"/>
      <c r="BB431" s="144"/>
      <c r="BC431" s="144"/>
      <c r="BD431" s="144"/>
      <c r="BE431" s="144"/>
      <c r="BF431" s="144"/>
      <c r="BG431" s="144"/>
      <c r="BH431" s="144"/>
      <c r="BI431" s="144"/>
      <c r="BJ431" s="144"/>
      <c r="BK431" s="144"/>
      <c r="BL431" s="144"/>
      <c r="BM431" s="144"/>
      <c r="BN431" s="144"/>
      <c r="BO431" s="144"/>
      <c r="BP431" s="144"/>
      <c r="BQ431" s="144"/>
      <c r="BR431" s="144"/>
      <c r="BS431" s="144"/>
      <c r="BT431" s="144"/>
      <c r="BU431" s="144"/>
      <c r="BV431" s="144"/>
      <c r="BW431" s="144"/>
      <c r="BX431" s="144"/>
      <c r="BY431" s="144"/>
      <c r="BZ431" s="144"/>
      <c r="CA431" s="144"/>
      <c r="CB431" s="144"/>
      <c r="CC431" s="144"/>
      <c r="CD431" s="144"/>
      <c r="CE431" s="144"/>
      <c r="CF431" s="144"/>
      <c r="CG431" s="144"/>
      <c r="CH431" s="144"/>
      <c r="CI431" s="144"/>
      <c r="CJ431" s="144"/>
      <c r="CK431" s="144"/>
      <c r="CL431" s="144"/>
      <c r="CM431" s="144"/>
      <c r="CN431" s="144"/>
      <c r="CO431" s="144"/>
      <c r="CP431" s="144"/>
      <c r="CQ431" s="144"/>
      <c r="CR431" s="144"/>
      <c r="CS431" s="144"/>
      <c r="CT431" s="144"/>
      <c r="CU431" s="144"/>
      <c r="CV431" s="144"/>
      <c r="CW431" s="144"/>
      <c r="CX431" s="144"/>
      <c r="CY431" s="144"/>
      <c r="CZ431" s="144"/>
      <c r="DA431" s="144"/>
      <c r="DB431" s="144"/>
      <c r="DC431" s="144"/>
      <c r="DD431" s="144"/>
      <c r="DE431" s="144"/>
      <c r="DF431" s="144"/>
      <c r="DG431" s="144"/>
      <c r="DH431" s="144"/>
      <c r="DI431" s="144"/>
      <c r="DJ431" s="144"/>
      <c r="DK431" s="144"/>
      <c r="DL431" s="144"/>
      <c r="DM431" s="144"/>
      <c r="DN431" s="144"/>
      <c r="DO431" s="144"/>
      <c r="DP431" s="144"/>
      <c r="DQ431" s="144"/>
      <c r="DR431" s="144"/>
      <c r="DS431" s="144"/>
      <c r="DT431" s="144"/>
      <c r="DU431" s="144"/>
      <c r="DV431" s="144"/>
      <c r="DW431" s="144"/>
      <c r="DX431" s="144"/>
      <c r="DY431" s="144"/>
      <c r="DZ431" s="144"/>
      <c r="EA431" s="144"/>
      <c r="EB431" s="144"/>
      <c r="EC431" s="144"/>
      <c r="ED431" s="144"/>
      <c r="EE431" s="144"/>
      <c r="EF431" s="144"/>
      <c r="EG431" s="144"/>
      <c r="EH431" s="144"/>
      <c r="EI431" s="144"/>
      <c r="EJ431" s="144"/>
      <c r="EK431" s="144"/>
      <c r="EL431" s="144"/>
      <c r="EM431" s="144"/>
      <c r="EN431" s="144"/>
      <c r="EO431" s="144"/>
      <c r="EP431" s="144"/>
      <c r="EQ431" s="144"/>
      <c r="ER431" s="144"/>
      <c r="ES431" s="144"/>
      <c r="ET431" s="144"/>
      <c r="EU431" s="144"/>
      <c r="EV431" s="144"/>
      <c r="EW431" s="144"/>
      <c r="EX431" s="144"/>
      <c r="EY431" s="144"/>
      <c r="EZ431" s="144"/>
      <c r="FA431" s="144"/>
      <c r="FB431" s="144"/>
      <c r="FC431" s="144"/>
      <c r="FD431" s="144"/>
      <c r="FE431" s="144"/>
      <c r="FF431" s="144"/>
      <c r="FG431" s="144"/>
      <c r="FH431" s="144"/>
      <c r="FI431" s="144"/>
      <c r="FJ431" s="144"/>
      <c r="FK431" s="144"/>
      <c r="FL431" s="144"/>
      <c r="FM431" s="144"/>
      <c r="FN431" s="144"/>
      <c r="FO431" s="144"/>
      <c r="FP431" s="144"/>
      <c r="FQ431" s="144"/>
      <c r="FR431" s="144"/>
      <c r="FS431" s="144"/>
      <c r="FT431" s="144"/>
      <c r="FU431" s="144"/>
      <c r="FV431" s="144"/>
      <c r="FW431" s="144"/>
      <c r="FX431" s="144"/>
      <c r="FY431" s="144"/>
      <c r="FZ431" s="144"/>
      <c r="GA431" s="144"/>
      <c r="GB431" s="144"/>
      <c r="GC431" s="144"/>
      <c r="GD431" s="144"/>
      <c r="GE431" s="144"/>
      <c r="GF431" s="144"/>
      <c r="GG431" s="144"/>
      <c r="GH431" s="144"/>
      <c r="GI431" s="144"/>
      <c r="GJ431" s="144"/>
      <c r="GK431" s="144"/>
      <c r="GL431" s="144"/>
      <c r="GM431" s="144"/>
      <c r="GN431" s="144"/>
      <c r="GO431" s="144"/>
      <c r="GP431" s="144"/>
      <c r="GQ431" s="144"/>
      <c r="GR431" s="144"/>
      <c r="GS431" s="144"/>
      <c r="GT431" s="144"/>
      <c r="GU431" s="144"/>
      <c r="GV431" s="144"/>
      <c r="GW431" s="144"/>
      <c r="GX431" s="144"/>
      <c r="GY431" s="144"/>
      <c r="GZ431" s="144"/>
      <c r="HA431" s="144"/>
      <c r="HB431" s="144"/>
      <c r="HC431" s="144"/>
      <c r="HD431" s="144"/>
      <c r="HE431" s="144"/>
      <c r="HF431" s="144"/>
      <c r="HG431" s="144"/>
      <c r="HH431" s="144"/>
      <c r="HI431" s="144"/>
      <c r="HJ431" s="144"/>
      <c r="HK431" s="144"/>
      <c r="HL431" s="144"/>
      <c r="HM431" s="144"/>
      <c r="HN431" s="144"/>
      <c r="HO431" s="144"/>
      <c r="HP431" s="144"/>
      <c r="HQ431" s="144"/>
      <c r="HR431" s="144"/>
      <c r="HS431" s="144"/>
      <c r="HT431" s="144"/>
      <c r="HU431" s="144"/>
      <c r="HV431" s="144"/>
      <c r="HW431" s="144"/>
      <c r="HX431" s="144"/>
      <c r="HY431" s="144"/>
      <c r="HZ431" s="144"/>
      <c r="IA431" s="144"/>
      <c r="IB431" s="144"/>
      <c r="IC431" s="144"/>
      <c r="ID431" s="144"/>
      <c r="IE431" s="144"/>
      <c r="IF431" s="144"/>
      <c r="IG431" s="144"/>
      <c r="IH431" s="144"/>
      <c r="II431" s="144"/>
      <c r="IJ431" s="144"/>
      <c r="IK431" s="144"/>
      <c r="IL431" s="144"/>
      <c r="IM431" s="144"/>
    </row>
    <row r="432" spans="1:247" s="47" customFormat="1" ht="15">
      <c r="A432" s="97"/>
      <c r="B432" s="37" t="s">
        <v>253</v>
      </c>
      <c r="C432" s="41" t="s">
        <v>59</v>
      </c>
      <c r="D432" s="97">
        <v>0.121</v>
      </c>
      <c r="E432" s="41">
        <f>E430*D432</f>
        <v>3.63</v>
      </c>
      <c r="F432" s="171"/>
      <c r="G432" s="144"/>
      <c r="H432" s="144"/>
      <c r="I432" s="144"/>
      <c r="J432" s="144"/>
      <c r="K432" s="144"/>
      <c r="L432" s="144"/>
      <c r="M432" s="144"/>
      <c r="N432" s="144"/>
      <c r="O432" s="144"/>
      <c r="P432" s="144"/>
      <c r="Q432" s="144"/>
      <c r="R432" s="144"/>
      <c r="S432" s="144"/>
      <c r="T432" s="144"/>
      <c r="U432" s="144"/>
      <c r="V432" s="144"/>
      <c r="W432" s="144"/>
      <c r="X432" s="144"/>
      <c r="Y432" s="144"/>
      <c r="Z432" s="144"/>
      <c r="AA432" s="144"/>
      <c r="AB432" s="144"/>
      <c r="AC432" s="144"/>
      <c r="AD432" s="144"/>
      <c r="AE432" s="144"/>
      <c r="AF432" s="144"/>
      <c r="AG432" s="144"/>
      <c r="AH432" s="144"/>
      <c r="AI432" s="144"/>
      <c r="AJ432" s="144"/>
      <c r="AK432" s="144"/>
      <c r="AL432" s="144"/>
      <c r="AM432" s="144"/>
      <c r="AN432" s="144"/>
      <c r="AO432" s="144"/>
      <c r="AP432" s="144"/>
      <c r="AQ432" s="144"/>
      <c r="AR432" s="144"/>
      <c r="AS432" s="144"/>
      <c r="AT432" s="144"/>
      <c r="AU432" s="144"/>
      <c r="AV432" s="144"/>
      <c r="AW432" s="144"/>
      <c r="AX432" s="144"/>
      <c r="AY432" s="144"/>
      <c r="AZ432" s="144"/>
      <c r="BA432" s="144"/>
      <c r="BB432" s="144"/>
      <c r="BC432" s="144"/>
      <c r="BD432" s="144"/>
      <c r="BE432" s="144"/>
      <c r="BF432" s="144"/>
      <c r="BG432" s="144"/>
      <c r="BH432" s="144"/>
      <c r="BI432" s="144"/>
      <c r="BJ432" s="144"/>
      <c r="BK432" s="144"/>
      <c r="BL432" s="144"/>
      <c r="BM432" s="144"/>
      <c r="BN432" s="144"/>
      <c r="BO432" s="144"/>
      <c r="BP432" s="144"/>
      <c r="BQ432" s="144"/>
      <c r="BR432" s="144"/>
      <c r="BS432" s="144"/>
      <c r="BT432" s="144"/>
      <c r="BU432" s="144"/>
      <c r="BV432" s="144"/>
      <c r="BW432" s="144"/>
      <c r="BX432" s="144"/>
      <c r="BY432" s="144"/>
      <c r="BZ432" s="144"/>
      <c r="CA432" s="144"/>
      <c r="CB432" s="144"/>
      <c r="CC432" s="144"/>
      <c r="CD432" s="144"/>
      <c r="CE432" s="144"/>
      <c r="CF432" s="144"/>
      <c r="CG432" s="144"/>
      <c r="CH432" s="144"/>
      <c r="CI432" s="144"/>
      <c r="CJ432" s="144"/>
      <c r="CK432" s="144"/>
      <c r="CL432" s="144"/>
      <c r="CM432" s="144"/>
      <c r="CN432" s="144"/>
      <c r="CO432" s="144"/>
      <c r="CP432" s="144"/>
      <c r="CQ432" s="144"/>
      <c r="CR432" s="144"/>
      <c r="CS432" s="144"/>
      <c r="CT432" s="144"/>
      <c r="CU432" s="144"/>
      <c r="CV432" s="144"/>
      <c r="CW432" s="144"/>
      <c r="CX432" s="144"/>
      <c r="CY432" s="144"/>
      <c r="CZ432" s="144"/>
      <c r="DA432" s="144"/>
      <c r="DB432" s="144"/>
      <c r="DC432" s="144"/>
      <c r="DD432" s="144"/>
      <c r="DE432" s="144"/>
      <c r="DF432" s="144"/>
      <c r="DG432" s="144"/>
      <c r="DH432" s="144"/>
      <c r="DI432" s="144"/>
      <c r="DJ432" s="144"/>
      <c r="DK432" s="144"/>
      <c r="DL432" s="144"/>
      <c r="DM432" s="144"/>
      <c r="DN432" s="144"/>
      <c r="DO432" s="144"/>
      <c r="DP432" s="144"/>
      <c r="DQ432" s="144"/>
      <c r="DR432" s="144"/>
      <c r="DS432" s="144"/>
      <c r="DT432" s="144"/>
      <c r="DU432" s="144"/>
      <c r="DV432" s="144"/>
      <c r="DW432" s="144"/>
      <c r="DX432" s="144"/>
      <c r="DY432" s="144"/>
      <c r="DZ432" s="144"/>
      <c r="EA432" s="144"/>
      <c r="EB432" s="144"/>
      <c r="EC432" s="144"/>
      <c r="ED432" s="144"/>
      <c r="EE432" s="144"/>
      <c r="EF432" s="144"/>
      <c r="EG432" s="144"/>
      <c r="EH432" s="144"/>
      <c r="EI432" s="144"/>
      <c r="EJ432" s="144"/>
      <c r="EK432" s="144"/>
      <c r="EL432" s="144"/>
      <c r="EM432" s="144"/>
      <c r="EN432" s="144"/>
      <c r="EO432" s="144"/>
      <c r="EP432" s="144"/>
      <c r="EQ432" s="144"/>
      <c r="ER432" s="144"/>
      <c r="ES432" s="144"/>
      <c r="ET432" s="144"/>
      <c r="EU432" s="144"/>
      <c r="EV432" s="144"/>
      <c r="EW432" s="144"/>
      <c r="EX432" s="144"/>
      <c r="EY432" s="144"/>
      <c r="EZ432" s="144"/>
      <c r="FA432" s="144"/>
      <c r="FB432" s="144"/>
      <c r="FC432" s="144"/>
      <c r="FD432" s="144"/>
      <c r="FE432" s="144"/>
      <c r="FF432" s="144"/>
      <c r="FG432" s="144"/>
      <c r="FH432" s="144"/>
      <c r="FI432" s="144"/>
      <c r="FJ432" s="144"/>
      <c r="FK432" s="144"/>
      <c r="FL432" s="144"/>
      <c r="FM432" s="144"/>
      <c r="FN432" s="144"/>
      <c r="FO432" s="144"/>
      <c r="FP432" s="144"/>
      <c r="FQ432" s="144"/>
      <c r="FR432" s="144"/>
      <c r="FS432" s="144"/>
      <c r="FT432" s="144"/>
      <c r="FU432" s="144"/>
      <c r="FV432" s="144"/>
      <c r="FW432" s="144"/>
      <c r="FX432" s="144"/>
      <c r="FY432" s="144"/>
      <c r="FZ432" s="144"/>
      <c r="GA432" s="144"/>
      <c r="GB432" s="144"/>
      <c r="GC432" s="144"/>
      <c r="GD432" s="144"/>
      <c r="GE432" s="144"/>
      <c r="GF432" s="144"/>
      <c r="GG432" s="144"/>
      <c r="GH432" s="144"/>
      <c r="GI432" s="144"/>
      <c r="GJ432" s="144"/>
      <c r="GK432" s="144"/>
      <c r="GL432" s="144"/>
      <c r="GM432" s="144"/>
      <c r="GN432" s="144"/>
      <c r="GO432" s="144"/>
      <c r="GP432" s="144"/>
      <c r="GQ432" s="144"/>
      <c r="GR432" s="144"/>
      <c r="GS432" s="144"/>
      <c r="GT432" s="144"/>
      <c r="GU432" s="144"/>
      <c r="GV432" s="144"/>
      <c r="GW432" s="144"/>
      <c r="GX432" s="144"/>
      <c r="GY432" s="144"/>
      <c r="GZ432" s="144"/>
      <c r="HA432" s="144"/>
      <c r="HB432" s="144"/>
      <c r="HC432" s="144"/>
      <c r="HD432" s="144"/>
      <c r="HE432" s="144"/>
      <c r="HF432" s="144"/>
      <c r="HG432" s="144"/>
      <c r="HH432" s="144"/>
      <c r="HI432" s="144"/>
      <c r="HJ432" s="144"/>
      <c r="HK432" s="144"/>
      <c r="HL432" s="144"/>
      <c r="HM432" s="144"/>
      <c r="HN432" s="144"/>
      <c r="HO432" s="144"/>
      <c r="HP432" s="144"/>
      <c r="HQ432" s="144"/>
      <c r="HR432" s="144"/>
      <c r="HS432" s="144"/>
      <c r="HT432" s="144"/>
      <c r="HU432" s="144"/>
      <c r="HV432" s="144"/>
      <c r="HW432" s="144"/>
      <c r="HX432" s="144"/>
      <c r="HY432" s="144"/>
      <c r="HZ432" s="144"/>
      <c r="IA432" s="144"/>
      <c r="IB432" s="144"/>
      <c r="IC432" s="144"/>
      <c r="ID432" s="144"/>
      <c r="IE432" s="144"/>
      <c r="IF432" s="144"/>
      <c r="IG432" s="144"/>
      <c r="IH432" s="144"/>
      <c r="II432" s="144"/>
      <c r="IJ432" s="144"/>
      <c r="IK432" s="144"/>
      <c r="IL432" s="144"/>
      <c r="IM432" s="144"/>
    </row>
    <row r="433" spans="1:247" s="47" customFormat="1" ht="15">
      <c r="A433" s="97"/>
      <c r="B433" s="37" t="s">
        <v>254</v>
      </c>
      <c r="C433" s="41" t="s">
        <v>51</v>
      </c>
      <c r="D433" s="97">
        <f>14.3/100</f>
        <v>0.14300000000000002</v>
      </c>
      <c r="E433" s="41">
        <f>E430*D433</f>
        <v>4.290000000000001</v>
      </c>
      <c r="F433" s="171"/>
      <c r="G433" s="144"/>
      <c r="H433" s="144"/>
      <c r="I433" s="144"/>
      <c r="J433" s="144"/>
      <c r="K433" s="144"/>
      <c r="L433" s="144"/>
      <c r="M433" s="144"/>
      <c r="N433" s="144"/>
      <c r="O433" s="144"/>
      <c r="P433" s="144"/>
      <c r="Q433" s="144"/>
      <c r="R433" s="144"/>
      <c r="S433" s="144"/>
      <c r="T433" s="144"/>
      <c r="U433" s="144"/>
      <c r="V433" s="144"/>
      <c r="W433" s="144"/>
      <c r="X433" s="144"/>
      <c r="Y433" s="144"/>
      <c r="Z433" s="144"/>
      <c r="AA433" s="144"/>
      <c r="AB433" s="144"/>
      <c r="AC433" s="144"/>
      <c r="AD433" s="144"/>
      <c r="AE433" s="144"/>
      <c r="AF433" s="144"/>
      <c r="AG433" s="144"/>
      <c r="AH433" s="144"/>
      <c r="AI433" s="144"/>
      <c r="AJ433" s="144"/>
      <c r="AK433" s="144"/>
      <c r="AL433" s="144"/>
      <c r="AM433" s="144"/>
      <c r="AN433" s="144"/>
      <c r="AO433" s="144"/>
      <c r="AP433" s="144"/>
      <c r="AQ433" s="144"/>
      <c r="AR433" s="144"/>
      <c r="AS433" s="144"/>
      <c r="AT433" s="144"/>
      <c r="AU433" s="144"/>
      <c r="AV433" s="144"/>
      <c r="AW433" s="144"/>
      <c r="AX433" s="144"/>
      <c r="AY433" s="144"/>
      <c r="AZ433" s="144"/>
      <c r="BA433" s="144"/>
      <c r="BB433" s="144"/>
      <c r="BC433" s="144"/>
      <c r="BD433" s="144"/>
      <c r="BE433" s="144"/>
      <c r="BF433" s="144"/>
      <c r="BG433" s="144"/>
      <c r="BH433" s="144"/>
      <c r="BI433" s="144"/>
      <c r="BJ433" s="144"/>
      <c r="BK433" s="144"/>
      <c r="BL433" s="144"/>
      <c r="BM433" s="144"/>
      <c r="BN433" s="144"/>
      <c r="BO433" s="144"/>
      <c r="BP433" s="144"/>
      <c r="BQ433" s="144"/>
      <c r="BR433" s="144"/>
      <c r="BS433" s="144"/>
      <c r="BT433" s="144"/>
      <c r="BU433" s="144"/>
      <c r="BV433" s="144"/>
      <c r="BW433" s="144"/>
      <c r="BX433" s="144"/>
      <c r="BY433" s="144"/>
      <c r="BZ433" s="144"/>
      <c r="CA433" s="144"/>
      <c r="CB433" s="144"/>
      <c r="CC433" s="144"/>
      <c r="CD433" s="144"/>
      <c r="CE433" s="144"/>
      <c r="CF433" s="144"/>
      <c r="CG433" s="144"/>
      <c r="CH433" s="144"/>
      <c r="CI433" s="144"/>
      <c r="CJ433" s="144"/>
      <c r="CK433" s="144"/>
      <c r="CL433" s="144"/>
      <c r="CM433" s="144"/>
      <c r="CN433" s="144"/>
      <c r="CO433" s="144"/>
      <c r="CP433" s="144"/>
      <c r="CQ433" s="144"/>
      <c r="CR433" s="144"/>
      <c r="CS433" s="144"/>
      <c r="CT433" s="144"/>
      <c r="CU433" s="144"/>
      <c r="CV433" s="144"/>
      <c r="CW433" s="144"/>
      <c r="CX433" s="144"/>
      <c r="CY433" s="144"/>
      <c r="CZ433" s="144"/>
      <c r="DA433" s="144"/>
      <c r="DB433" s="144"/>
      <c r="DC433" s="144"/>
      <c r="DD433" s="144"/>
      <c r="DE433" s="144"/>
      <c r="DF433" s="144"/>
      <c r="DG433" s="144"/>
      <c r="DH433" s="144"/>
      <c r="DI433" s="144"/>
      <c r="DJ433" s="144"/>
      <c r="DK433" s="144"/>
      <c r="DL433" s="144"/>
      <c r="DM433" s="144"/>
      <c r="DN433" s="144"/>
      <c r="DO433" s="144"/>
      <c r="DP433" s="144"/>
      <c r="DQ433" s="144"/>
      <c r="DR433" s="144"/>
      <c r="DS433" s="144"/>
      <c r="DT433" s="144"/>
      <c r="DU433" s="144"/>
      <c r="DV433" s="144"/>
      <c r="DW433" s="144"/>
      <c r="DX433" s="144"/>
      <c r="DY433" s="144"/>
      <c r="DZ433" s="144"/>
      <c r="EA433" s="144"/>
      <c r="EB433" s="144"/>
      <c r="EC433" s="144"/>
      <c r="ED433" s="144"/>
      <c r="EE433" s="144"/>
      <c r="EF433" s="144"/>
      <c r="EG433" s="144"/>
      <c r="EH433" s="144"/>
      <c r="EI433" s="144"/>
      <c r="EJ433" s="144"/>
      <c r="EK433" s="144"/>
      <c r="EL433" s="144"/>
      <c r="EM433" s="144"/>
      <c r="EN433" s="144"/>
      <c r="EO433" s="144"/>
      <c r="EP433" s="144"/>
      <c r="EQ433" s="144"/>
      <c r="ER433" s="144"/>
      <c r="ES433" s="144"/>
      <c r="ET433" s="144"/>
      <c r="EU433" s="144"/>
      <c r="EV433" s="144"/>
      <c r="EW433" s="144"/>
      <c r="EX433" s="144"/>
      <c r="EY433" s="144"/>
      <c r="EZ433" s="144"/>
      <c r="FA433" s="144"/>
      <c r="FB433" s="144"/>
      <c r="FC433" s="144"/>
      <c r="FD433" s="144"/>
      <c r="FE433" s="144"/>
      <c r="FF433" s="144"/>
      <c r="FG433" s="144"/>
      <c r="FH433" s="144"/>
      <c r="FI433" s="144"/>
      <c r="FJ433" s="144"/>
      <c r="FK433" s="144"/>
      <c r="FL433" s="144"/>
      <c r="FM433" s="144"/>
      <c r="FN433" s="144"/>
      <c r="FO433" s="144"/>
      <c r="FP433" s="144"/>
      <c r="FQ433" s="144"/>
      <c r="FR433" s="144"/>
      <c r="FS433" s="144"/>
      <c r="FT433" s="144"/>
      <c r="FU433" s="144"/>
      <c r="FV433" s="144"/>
      <c r="FW433" s="144"/>
      <c r="FX433" s="144"/>
      <c r="FY433" s="144"/>
      <c r="FZ433" s="144"/>
      <c r="GA433" s="144"/>
      <c r="GB433" s="144"/>
      <c r="GC433" s="144"/>
      <c r="GD433" s="144"/>
      <c r="GE433" s="144"/>
      <c r="GF433" s="144"/>
      <c r="GG433" s="144"/>
      <c r="GH433" s="144"/>
      <c r="GI433" s="144"/>
      <c r="GJ433" s="144"/>
      <c r="GK433" s="144"/>
      <c r="GL433" s="144"/>
      <c r="GM433" s="144"/>
      <c r="GN433" s="144"/>
      <c r="GO433" s="144"/>
      <c r="GP433" s="144"/>
      <c r="GQ433" s="144"/>
      <c r="GR433" s="144"/>
      <c r="GS433" s="144"/>
      <c r="GT433" s="144"/>
      <c r="GU433" s="144"/>
      <c r="GV433" s="144"/>
      <c r="GW433" s="144"/>
      <c r="GX433" s="144"/>
      <c r="GY433" s="144"/>
      <c r="GZ433" s="144"/>
      <c r="HA433" s="144"/>
      <c r="HB433" s="144"/>
      <c r="HC433" s="144"/>
      <c r="HD433" s="144"/>
      <c r="HE433" s="144"/>
      <c r="HF433" s="144"/>
      <c r="HG433" s="144"/>
      <c r="HH433" s="144"/>
      <c r="HI433" s="144"/>
      <c r="HJ433" s="144"/>
      <c r="HK433" s="144"/>
      <c r="HL433" s="144"/>
      <c r="HM433" s="144"/>
      <c r="HN433" s="144"/>
      <c r="HO433" s="144"/>
      <c r="HP433" s="144"/>
      <c r="HQ433" s="144"/>
      <c r="HR433" s="144"/>
      <c r="HS433" s="144"/>
      <c r="HT433" s="144"/>
      <c r="HU433" s="144"/>
      <c r="HV433" s="144"/>
      <c r="HW433" s="144"/>
      <c r="HX433" s="144"/>
      <c r="HY433" s="144"/>
      <c r="HZ433" s="144"/>
      <c r="IA433" s="144"/>
      <c r="IB433" s="144"/>
      <c r="IC433" s="144"/>
      <c r="ID433" s="144"/>
      <c r="IE433" s="144"/>
      <c r="IF433" s="144"/>
      <c r="IG433" s="144"/>
      <c r="IH433" s="144"/>
      <c r="II433" s="144"/>
      <c r="IJ433" s="144"/>
      <c r="IK433" s="144"/>
      <c r="IL433" s="144"/>
      <c r="IM433" s="144"/>
    </row>
    <row r="434" spans="1:247" s="47" customFormat="1" ht="15.75">
      <c r="A434" s="97"/>
      <c r="B434" s="97" t="s">
        <v>255</v>
      </c>
      <c r="C434" s="41" t="s">
        <v>188</v>
      </c>
      <c r="D434" s="97">
        <f>3/100</f>
        <v>0.03</v>
      </c>
      <c r="E434" s="41">
        <f>E430*D434</f>
        <v>0.8999999999999999</v>
      </c>
      <c r="F434" s="171"/>
      <c r="G434" s="144"/>
      <c r="H434" s="144"/>
      <c r="I434" s="144"/>
      <c r="J434" s="144"/>
      <c r="K434" s="144"/>
      <c r="L434" s="144"/>
      <c r="M434" s="144"/>
      <c r="N434" s="144"/>
      <c r="O434" s="144"/>
      <c r="P434" s="144"/>
      <c r="Q434" s="144"/>
      <c r="R434" s="144"/>
      <c r="S434" s="144"/>
      <c r="T434" s="144"/>
      <c r="U434" s="144"/>
      <c r="V434" s="144"/>
      <c r="W434" s="144"/>
      <c r="X434" s="144"/>
      <c r="Y434" s="144"/>
      <c r="Z434" s="144"/>
      <c r="AA434" s="144"/>
      <c r="AB434" s="144"/>
      <c r="AC434" s="144"/>
      <c r="AD434" s="144"/>
      <c r="AE434" s="144"/>
      <c r="AF434" s="144"/>
      <c r="AG434" s="144"/>
      <c r="AH434" s="144"/>
      <c r="AI434" s="144"/>
      <c r="AJ434" s="144"/>
      <c r="AK434" s="144"/>
      <c r="AL434" s="144"/>
      <c r="AM434" s="144"/>
      <c r="AN434" s="144"/>
      <c r="AO434" s="144"/>
      <c r="AP434" s="144"/>
      <c r="AQ434" s="144"/>
      <c r="AR434" s="144"/>
      <c r="AS434" s="144"/>
      <c r="AT434" s="144"/>
      <c r="AU434" s="144"/>
      <c r="AV434" s="144"/>
      <c r="AW434" s="144"/>
      <c r="AX434" s="144"/>
      <c r="AY434" s="144"/>
      <c r="AZ434" s="144"/>
      <c r="BA434" s="144"/>
      <c r="BB434" s="144"/>
      <c r="BC434" s="144"/>
      <c r="BD434" s="144"/>
      <c r="BE434" s="144"/>
      <c r="BF434" s="144"/>
      <c r="BG434" s="144"/>
      <c r="BH434" s="144"/>
      <c r="BI434" s="144"/>
      <c r="BJ434" s="144"/>
      <c r="BK434" s="144"/>
      <c r="BL434" s="144"/>
      <c r="BM434" s="144"/>
      <c r="BN434" s="144"/>
      <c r="BO434" s="144"/>
      <c r="BP434" s="144"/>
      <c r="BQ434" s="144"/>
      <c r="BR434" s="144"/>
      <c r="BS434" s="144"/>
      <c r="BT434" s="144"/>
      <c r="BU434" s="144"/>
      <c r="BV434" s="144"/>
      <c r="BW434" s="144"/>
      <c r="BX434" s="144"/>
      <c r="BY434" s="144"/>
      <c r="BZ434" s="144"/>
      <c r="CA434" s="144"/>
      <c r="CB434" s="144"/>
      <c r="CC434" s="144"/>
      <c r="CD434" s="144"/>
      <c r="CE434" s="144"/>
      <c r="CF434" s="144"/>
      <c r="CG434" s="144"/>
      <c r="CH434" s="144"/>
      <c r="CI434" s="144"/>
      <c r="CJ434" s="144"/>
      <c r="CK434" s="144"/>
      <c r="CL434" s="144"/>
      <c r="CM434" s="144"/>
      <c r="CN434" s="144"/>
      <c r="CO434" s="144"/>
      <c r="CP434" s="144"/>
      <c r="CQ434" s="144"/>
      <c r="CR434" s="144"/>
      <c r="CS434" s="144"/>
      <c r="CT434" s="144"/>
      <c r="CU434" s="144"/>
      <c r="CV434" s="144"/>
      <c r="CW434" s="144"/>
      <c r="CX434" s="144"/>
      <c r="CY434" s="144"/>
      <c r="CZ434" s="144"/>
      <c r="DA434" s="144"/>
      <c r="DB434" s="144"/>
      <c r="DC434" s="144"/>
      <c r="DD434" s="144"/>
      <c r="DE434" s="144"/>
      <c r="DF434" s="144"/>
      <c r="DG434" s="144"/>
      <c r="DH434" s="144"/>
      <c r="DI434" s="144"/>
      <c r="DJ434" s="144"/>
      <c r="DK434" s="144"/>
      <c r="DL434" s="144"/>
      <c r="DM434" s="144"/>
      <c r="DN434" s="144"/>
      <c r="DO434" s="144"/>
      <c r="DP434" s="144"/>
      <c r="DQ434" s="144"/>
      <c r="DR434" s="144"/>
      <c r="DS434" s="144"/>
      <c r="DT434" s="144"/>
      <c r="DU434" s="144"/>
      <c r="DV434" s="144"/>
      <c r="DW434" s="144"/>
      <c r="DX434" s="144"/>
      <c r="DY434" s="144"/>
      <c r="DZ434" s="144"/>
      <c r="EA434" s="144"/>
      <c r="EB434" s="144"/>
      <c r="EC434" s="144"/>
      <c r="ED434" s="144"/>
      <c r="EE434" s="144"/>
      <c r="EF434" s="144"/>
      <c r="EG434" s="144"/>
      <c r="EH434" s="144"/>
      <c r="EI434" s="144"/>
      <c r="EJ434" s="144"/>
      <c r="EK434" s="144"/>
      <c r="EL434" s="144"/>
      <c r="EM434" s="144"/>
      <c r="EN434" s="144"/>
      <c r="EO434" s="144"/>
      <c r="EP434" s="144"/>
      <c r="EQ434" s="144"/>
      <c r="ER434" s="144"/>
      <c r="ES434" s="144"/>
      <c r="ET434" s="144"/>
      <c r="EU434" s="144"/>
      <c r="EV434" s="144"/>
      <c r="EW434" s="144"/>
      <c r="EX434" s="144"/>
      <c r="EY434" s="144"/>
      <c r="EZ434" s="144"/>
      <c r="FA434" s="144"/>
      <c r="FB434" s="144"/>
      <c r="FC434" s="144"/>
      <c r="FD434" s="144"/>
      <c r="FE434" s="144"/>
      <c r="FF434" s="144"/>
      <c r="FG434" s="144"/>
      <c r="FH434" s="144"/>
      <c r="FI434" s="144"/>
      <c r="FJ434" s="144"/>
      <c r="FK434" s="144"/>
      <c r="FL434" s="144"/>
      <c r="FM434" s="144"/>
      <c r="FN434" s="144"/>
      <c r="FO434" s="144"/>
      <c r="FP434" s="144"/>
      <c r="FQ434" s="144"/>
      <c r="FR434" s="144"/>
      <c r="FS434" s="144"/>
      <c r="FT434" s="144"/>
      <c r="FU434" s="144"/>
      <c r="FV434" s="144"/>
      <c r="FW434" s="144"/>
      <c r="FX434" s="144"/>
      <c r="FY434" s="144"/>
      <c r="FZ434" s="144"/>
      <c r="GA434" s="144"/>
      <c r="GB434" s="144"/>
      <c r="GC434" s="144"/>
      <c r="GD434" s="144"/>
      <c r="GE434" s="144"/>
      <c r="GF434" s="144"/>
      <c r="GG434" s="144"/>
      <c r="GH434" s="144"/>
      <c r="GI434" s="144"/>
      <c r="GJ434" s="144"/>
      <c r="GK434" s="144"/>
      <c r="GL434" s="144"/>
      <c r="GM434" s="144"/>
      <c r="GN434" s="144"/>
      <c r="GO434" s="144"/>
      <c r="GP434" s="144"/>
      <c r="GQ434" s="144"/>
      <c r="GR434" s="144"/>
      <c r="GS434" s="144"/>
      <c r="GT434" s="144"/>
      <c r="GU434" s="144"/>
      <c r="GV434" s="144"/>
      <c r="GW434" s="144"/>
      <c r="GX434" s="144"/>
      <c r="GY434" s="144"/>
      <c r="GZ434" s="144"/>
      <c r="HA434" s="144"/>
      <c r="HB434" s="144"/>
      <c r="HC434" s="144"/>
      <c r="HD434" s="144"/>
      <c r="HE434" s="144"/>
      <c r="HF434" s="144"/>
      <c r="HG434" s="144"/>
      <c r="HH434" s="144"/>
      <c r="HI434" s="144"/>
      <c r="HJ434" s="144"/>
      <c r="HK434" s="144"/>
      <c r="HL434" s="144"/>
      <c r="HM434" s="144"/>
      <c r="HN434" s="144"/>
      <c r="HO434" s="144"/>
      <c r="HP434" s="144"/>
      <c r="HQ434" s="144"/>
      <c r="HR434" s="144"/>
      <c r="HS434" s="144"/>
      <c r="HT434" s="144"/>
      <c r="HU434" s="144"/>
      <c r="HV434" s="144"/>
      <c r="HW434" s="144"/>
      <c r="HX434" s="144"/>
      <c r="HY434" s="144"/>
      <c r="HZ434" s="144"/>
      <c r="IA434" s="144"/>
      <c r="IB434" s="144"/>
      <c r="IC434" s="144"/>
      <c r="ID434" s="144"/>
      <c r="IE434" s="144"/>
      <c r="IF434" s="144"/>
      <c r="IG434" s="144"/>
      <c r="IH434" s="144"/>
      <c r="II434" s="144"/>
      <c r="IJ434" s="144"/>
      <c r="IK434" s="144"/>
      <c r="IL434" s="144"/>
      <c r="IM434" s="144"/>
    </row>
    <row r="435" spans="1:247" s="47" customFormat="1" ht="15">
      <c r="A435" s="97"/>
      <c r="B435" s="37" t="s">
        <v>57</v>
      </c>
      <c r="C435" s="37" t="s">
        <v>51</v>
      </c>
      <c r="D435" s="75">
        <f>0.6/100</f>
        <v>0.006</v>
      </c>
      <c r="E435" s="41">
        <f>E430*D435</f>
        <v>0.18</v>
      </c>
      <c r="F435" s="171"/>
      <c r="G435" s="144"/>
      <c r="H435" s="144"/>
      <c r="I435" s="144"/>
      <c r="J435" s="144"/>
      <c r="K435" s="144"/>
      <c r="L435" s="144"/>
      <c r="M435" s="144"/>
      <c r="N435" s="144"/>
      <c r="O435" s="144"/>
      <c r="P435" s="144"/>
      <c r="Q435" s="144"/>
      <c r="R435" s="144"/>
      <c r="S435" s="144"/>
      <c r="T435" s="144"/>
      <c r="U435" s="144"/>
      <c r="V435" s="144"/>
      <c r="W435" s="144"/>
      <c r="X435" s="144"/>
      <c r="Y435" s="144"/>
      <c r="Z435" s="144"/>
      <c r="AA435" s="144"/>
      <c r="AB435" s="144"/>
      <c r="AC435" s="144"/>
      <c r="AD435" s="144"/>
      <c r="AE435" s="144"/>
      <c r="AF435" s="144"/>
      <c r="AG435" s="144"/>
      <c r="AH435" s="144"/>
      <c r="AI435" s="144"/>
      <c r="AJ435" s="144"/>
      <c r="AK435" s="144"/>
      <c r="AL435" s="144"/>
      <c r="AM435" s="144"/>
      <c r="AN435" s="144"/>
      <c r="AO435" s="144"/>
      <c r="AP435" s="144"/>
      <c r="AQ435" s="144"/>
      <c r="AR435" s="144"/>
      <c r="AS435" s="144"/>
      <c r="AT435" s="144"/>
      <c r="AU435" s="144"/>
      <c r="AV435" s="144"/>
      <c r="AW435" s="144"/>
      <c r="AX435" s="144"/>
      <c r="AY435" s="144"/>
      <c r="AZ435" s="144"/>
      <c r="BA435" s="144"/>
      <c r="BB435" s="144"/>
      <c r="BC435" s="144"/>
      <c r="BD435" s="144"/>
      <c r="BE435" s="144"/>
      <c r="BF435" s="144"/>
      <c r="BG435" s="144"/>
      <c r="BH435" s="144"/>
      <c r="BI435" s="144"/>
      <c r="BJ435" s="144"/>
      <c r="BK435" s="144"/>
      <c r="BL435" s="144"/>
      <c r="BM435" s="144"/>
      <c r="BN435" s="144"/>
      <c r="BO435" s="144"/>
      <c r="BP435" s="144"/>
      <c r="BQ435" s="144"/>
      <c r="BR435" s="144"/>
      <c r="BS435" s="144"/>
      <c r="BT435" s="144"/>
      <c r="BU435" s="144"/>
      <c r="BV435" s="144"/>
      <c r="BW435" s="144"/>
      <c r="BX435" s="144"/>
      <c r="BY435" s="144"/>
      <c r="BZ435" s="144"/>
      <c r="CA435" s="144"/>
      <c r="CB435" s="144"/>
      <c r="CC435" s="144"/>
      <c r="CD435" s="144"/>
      <c r="CE435" s="144"/>
      <c r="CF435" s="144"/>
      <c r="CG435" s="144"/>
      <c r="CH435" s="144"/>
      <c r="CI435" s="144"/>
      <c r="CJ435" s="144"/>
      <c r="CK435" s="144"/>
      <c r="CL435" s="144"/>
      <c r="CM435" s="144"/>
      <c r="CN435" s="144"/>
      <c r="CO435" s="144"/>
      <c r="CP435" s="144"/>
      <c r="CQ435" s="144"/>
      <c r="CR435" s="144"/>
      <c r="CS435" s="144"/>
      <c r="CT435" s="144"/>
      <c r="CU435" s="144"/>
      <c r="CV435" s="144"/>
      <c r="CW435" s="144"/>
      <c r="CX435" s="144"/>
      <c r="CY435" s="144"/>
      <c r="CZ435" s="144"/>
      <c r="DA435" s="144"/>
      <c r="DB435" s="144"/>
      <c r="DC435" s="144"/>
      <c r="DD435" s="144"/>
      <c r="DE435" s="144"/>
      <c r="DF435" s="144"/>
      <c r="DG435" s="144"/>
      <c r="DH435" s="144"/>
      <c r="DI435" s="144"/>
      <c r="DJ435" s="144"/>
      <c r="DK435" s="144"/>
      <c r="DL435" s="144"/>
      <c r="DM435" s="144"/>
      <c r="DN435" s="144"/>
      <c r="DO435" s="144"/>
      <c r="DP435" s="144"/>
      <c r="DQ435" s="144"/>
      <c r="DR435" s="144"/>
      <c r="DS435" s="144"/>
      <c r="DT435" s="144"/>
      <c r="DU435" s="144"/>
      <c r="DV435" s="144"/>
      <c r="DW435" s="144"/>
      <c r="DX435" s="144"/>
      <c r="DY435" s="144"/>
      <c r="DZ435" s="144"/>
      <c r="EA435" s="144"/>
      <c r="EB435" s="144"/>
      <c r="EC435" s="144"/>
      <c r="ED435" s="144"/>
      <c r="EE435" s="144"/>
      <c r="EF435" s="144"/>
      <c r="EG435" s="144"/>
      <c r="EH435" s="144"/>
      <c r="EI435" s="144"/>
      <c r="EJ435" s="144"/>
      <c r="EK435" s="144"/>
      <c r="EL435" s="144"/>
      <c r="EM435" s="144"/>
      <c r="EN435" s="144"/>
      <c r="EO435" s="144"/>
      <c r="EP435" s="144"/>
      <c r="EQ435" s="144"/>
      <c r="ER435" s="144"/>
      <c r="ES435" s="144"/>
      <c r="ET435" s="144"/>
      <c r="EU435" s="144"/>
      <c r="EV435" s="144"/>
      <c r="EW435" s="144"/>
      <c r="EX435" s="144"/>
      <c r="EY435" s="144"/>
      <c r="EZ435" s="144"/>
      <c r="FA435" s="144"/>
      <c r="FB435" s="144"/>
      <c r="FC435" s="144"/>
      <c r="FD435" s="144"/>
      <c r="FE435" s="144"/>
      <c r="FF435" s="144"/>
      <c r="FG435" s="144"/>
      <c r="FH435" s="144"/>
      <c r="FI435" s="144"/>
      <c r="FJ435" s="144"/>
      <c r="FK435" s="144"/>
      <c r="FL435" s="144"/>
      <c r="FM435" s="144"/>
      <c r="FN435" s="144"/>
      <c r="FO435" s="144"/>
      <c r="FP435" s="144"/>
      <c r="FQ435" s="144"/>
      <c r="FR435" s="144"/>
      <c r="FS435" s="144"/>
      <c r="FT435" s="144"/>
      <c r="FU435" s="144"/>
      <c r="FV435" s="144"/>
      <c r="FW435" s="144"/>
      <c r="FX435" s="144"/>
      <c r="FY435" s="144"/>
      <c r="FZ435" s="144"/>
      <c r="GA435" s="144"/>
      <c r="GB435" s="144"/>
      <c r="GC435" s="144"/>
      <c r="GD435" s="144"/>
      <c r="GE435" s="144"/>
      <c r="GF435" s="144"/>
      <c r="GG435" s="144"/>
      <c r="GH435" s="144"/>
      <c r="GI435" s="144"/>
      <c r="GJ435" s="144"/>
      <c r="GK435" s="144"/>
      <c r="GL435" s="144"/>
      <c r="GM435" s="144"/>
      <c r="GN435" s="144"/>
      <c r="GO435" s="144"/>
      <c r="GP435" s="144"/>
      <c r="GQ435" s="144"/>
      <c r="GR435" s="144"/>
      <c r="GS435" s="144"/>
      <c r="GT435" s="144"/>
      <c r="GU435" s="144"/>
      <c r="GV435" s="144"/>
      <c r="GW435" s="144"/>
      <c r="GX435" s="144"/>
      <c r="GY435" s="144"/>
      <c r="GZ435" s="144"/>
      <c r="HA435" s="144"/>
      <c r="HB435" s="144"/>
      <c r="HC435" s="144"/>
      <c r="HD435" s="144"/>
      <c r="HE435" s="144"/>
      <c r="HF435" s="144"/>
      <c r="HG435" s="144"/>
      <c r="HH435" s="144"/>
      <c r="HI435" s="144"/>
      <c r="HJ435" s="144"/>
      <c r="HK435" s="144"/>
      <c r="HL435" s="144"/>
      <c r="HM435" s="144"/>
      <c r="HN435" s="144"/>
      <c r="HO435" s="144"/>
      <c r="HP435" s="144"/>
      <c r="HQ435" s="144"/>
      <c r="HR435" s="144"/>
      <c r="HS435" s="144"/>
      <c r="HT435" s="144"/>
      <c r="HU435" s="144"/>
      <c r="HV435" s="144"/>
      <c r="HW435" s="144"/>
      <c r="HX435" s="144"/>
      <c r="HY435" s="144"/>
      <c r="HZ435" s="144"/>
      <c r="IA435" s="144"/>
      <c r="IB435" s="144"/>
      <c r="IC435" s="144"/>
      <c r="ID435" s="144"/>
      <c r="IE435" s="144"/>
      <c r="IF435" s="144"/>
      <c r="IG435" s="144"/>
      <c r="IH435" s="144"/>
      <c r="II435" s="144"/>
      <c r="IJ435" s="144"/>
      <c r="IK435" s="144"/>
      <c r="IL435" s="144"/>
      <c r="IM435" s="144"/>
    </row>
    <row r="436" spans="1:247" s="47" customFormat="1" ht="30">
      <c r="A436" s="179">
        <f>A430+1</f>
        <v>16</v>
      </c>
      <c r="B436" s="140" t="s">
        <v>376</v>
      </c>
      <c r="C436" s="104" t="s">
        <v>138</v>
      </c>
      <c r="D436" s="104"/>
      <c r="E436" s="105">
        <v>8</v>
      </c>
      <c r="F436" s="171"/>
      <c r="G436" s="144"/>
      <c r="H436" s="144"/>
      <c r="I436" s="144"/>
      <c r="J436" s="144"/>
      <c r="K436" s="144"/>
      <c r="L436" s="144"/>
      <c r="M436" s="144"/>
      <c r="N436" s="144"/>
      <c r="O436" s="144"/>
      <c r="P436" s="144"/>
      <c r="Q436" s="144"/>
      <c r="R436" s="144"/>
      <c r="S436" s="144"/>
      <c r="T436" s="144"/>
      <c r="U436" s="144"/>
      <c r="V436" s="144"/>
      <c r="W436" s="144"/>
      <c r="X436" s="144"/>
      <c r="Y436" s="144"/>
      <c r="Z436" s="144"/>
      <c r="AA436" s="144"/>
      <c r="AB436" s="144"/>
      <c r="AC436" s="144"/>
      <c r="AD436" s="144"/>
      <c r="AE436" s="144"/>
      <c r="AF436" s="144"/>
      <c r="AG436" s="144"/>
      <c r="AH436" s="144"/>
      <c r="AI436" s="144"/>
      <c r="AJ436" s="144"/>
      <c r="AK436" s="144"/>
      <c r="AL436" s="144"/>
      <c r="AM436" s="144"/>
      <c r="AN436" s="144"/>
      <c r="AO436" s="144"/>
      <c r="AP436" s="144"/>
      <c r="AQ436" s="144"/>
      <c r="AR436" s="144"/>
      <c r="AS436" s="144"/>
      <c r="AT436" s="144"/>
      <c r="AU436" s="144"/>
      <c r="AV436" s="144"/>
      <c r="AW436" s="144"/>
      <c r="AX436" s="144"/>
      <c r="AY436" s="144"/>
      <c r="AZ436" s="144"/>
      <c r="BA436" s="144"/>
      <c r="BB436" s="144"/>
      <c r="BC436" s="144"/>
      <c r="BD436" s="144"/>
      <c r="BE436" s="144"/>
      <c r="BF436" s="144"/>
      <c r="BG436" s="144"/>
      <c r="BH436" s="144"/>
      <c r="BI436" s="144"/>
      <c r="BJ436" s="144"/>
      <c r="BK436" s="144"/>
      <c r="BL436" s="144"/>
      <c r="BM436" s="144"/>
      <c r="BN436" s="144"/>
      <c r="BO436" s="144"/>
      <c r="BP436" s="144"/>
      <c r="BQ436" s="144"/>
      <c r="BR436" s="144"/>
      <c r="BS436" s="144"/>
      <c r="BT436" s="144"/>
      <c r="BU436" s="144"/>
      <c r="BV436" s="144"/>
      <c r="BW436" s="144"/>
      <c r="BX436" s="144"/>
      <c r="BY436" s="144"/>
      <c r="BZ436" s="144"/>
      <c r="CA436" s="144"/>
      <c r="CB436" s="144"/>
      <c r="CC436" s="144"/>
      <c r="CD436" s="144"/>
      <c r="CE436" s="144"/>
      <c r="CF436" s="144"/>
      <c r="CG436" s="144"/>
      <c r="CH436" s="144"/>
      <c r="CI436" s="144"/>
      <c r="CJ436" s="144"/>
      <c r="CK436" s="144"/>
      <c r="CL436" s="144"/>
      <c r="CM436" s="144"/>
      <c r="CN436" s="144"/>
      <c r="CO436" s="144"/>
      <c r="CP436" s="144"/>
      <c r="CQ436" s="144"/>
      <c r="CR436" s="144"/>
      <c r="CS436" s="144"/>
      <c r="CT436" s="144"/>
      <c r="CU436" s="144"/>
      <c r="CV436" s="144"/>
      <c r="CW436" s="144"/>
      <c r="CX436" s="144"/>
      <c r="CY436" s="144"/>
      <c r="CZ436" s="144"/>
      <c r="DA436" s="144"/>
      <c r="DB436" s="144"/>
      <c r="DC436" s="144"/>
      <c r="DD436" s="144"/>
      <c r="DE436" s="144"/>
      <c r="DF436" s="144"/>
      <c r="DG436" s="144"/>
      <c r="DH436" s="144"/>
      <c r="DI436" s="144"/>
      <c r="DJ436" s="144"/>
      <c r="DK436" s="144"/>
      <c r="DL436" s="144"/>
      <c r="DM436" s="144"/>
      <c r="DN436" s="144"/>
      <c r="DO436" s="144"/>
      <c r="DP436" s="144"/>
      <c r="DQ436" s="144"/>
      <c r="DR436" s="144"/>
      <c r="DS436" s="144"/>
      <c r="DT436" s="144"/>
      <c r="DU436" s="144"/>
      <c r="DV436" s="144"/>
      <c r="DW436" s="144"/>
      <c r="DX436" s="144"/>
      <c r="DY436" s="144"/>
      <c r="DZ436" s="144"/>
      <c r="EA436" s="144"/>
      <c r="EB436" s="144"/>
      <c r="EC436" s="144"/>
      <c r="ED436" s="144"/>
      <c r="EE436" s="144"/>
      <c r="EF436" s="144"/>
      <c r="EG436" s="144"/>
      <c r="EH436" s="144"/>
      <c r="EI436" s="144"/>
      <c r="EJ436" s="144"/>
      <c r="EK436" s="144"/>
      <c r="EL436" s="144"/>
      <c r="EM436" s="144"/>
      <c r="EN436" s="144"/>
      <c r="EO436" s="144"/>
      <c r="EP436" s="144"/>
      <c r="EQ436" s="144"/>
      <c r="ER436" s="144"/>
      <c r="ES436" s="144"/>
      <c r="ET436" s="144"/>
      <c r="EU436" s="144"/>
      <c r="EV436" s="144"/>
      <c r="EW436" s="144"/>
      <c r="EX436" s="144"/>
      <c r="EY436" s="144"/>
      <c r="EZ436" s="144"/>
      <c r="FA436" s="144"/>
      <c r="FB436" s="144"/>
      <c r="FC436" s="144"/>
      <c r="FD436" s="144"/>
      <c r="FE436" s="144"/>
      <c r="FF436" s="144"/>
      <c r="FG436" s="144"/>
      <c r="FH436" s="144"/>
      <c r="FI436" s="144"/>
      <c r="FJ436" s="144"/>
      <c r="FK436" s="144"/>
      <c r="FL436" s="144"/>
      <c r="FM436" s="144"/>
      <c r="FN436" s="144"/>
      <c r="FO436" s="144"/>
      <c r="FP436" s="144"/>
      <c r="FQ436" s="144"/>
      <c r="FR436" s="144"/>
      <c r="FS436" s="144"/>
      <c r="FT436" s="144"/>
      <c r="FU436" s="144"/>
      <c r="FV436" s="144"/>
      <c r="FW436" s="144"/>
      <c r="FX436" s="144"/>
      <c r="FY436" s="144"/>
      <c r="FZ436" s="144"/>
      <c r="GA436" s="144"/>
      <c r="GB436" s="144"/>
      <c r="GC436" s="144"/>
      <c r="GD436" s="144"/>
      <c r="GE436" s="144"/>
      <c r="GF436" s="144"/>
      <c r="GG436" s="144"/>
      <c r="GH436" s="144"/>
      <c r="GI436" s="144"/>
      <c r="GJ436" s="144"/>
      <c r="GK436" s="144"/>
      <c r="GL436" s="144"/>
      <c r="GM436" s="144"/>
      <c r="GN436" s="144"/>
      <c r="GO436" s="144"/>
      <c r="GP436" s="144"/>
      <c r="GQ436" s="144"/>
      <c r="GR436" s="144"/>
      <c r="GS436" s="144"/>
      <c r="GT436" s="144"/>
      <c r="GU436" s="144"/>
      <c r="GV436" s="144"/>
      <c r="GW436" s="144"/>
      <c r="GX436" s="144"/>
      <c r="GY436" s="144"/>
      <c r="GZ436" s="144"/>
      <c r="HA436" s="144"/>
      <c r="HB436" s="144"/>
      <c r="HC436" s="144"/>
      <c r="HD436" s="144"/>
      <c r="HE436" s="144"/>
      <c r="HF436" s="144"/>
      <c r="HG436" s="144"/>
      <c r="HH436" s="144"/>
      <c r="HI436" s="144"/>
      <c r="HJ436" s="144"/>
      <c r="HK436" s="144"/>
      <c r="HL436" s="144"/>
      <c r="HM436" s="144"/>
      <c r="HN436" s="144"/>
      <c r="HO436" s="144"/>
      <c r="HP436" s="144"/>
      <c r="HQ436" s="144"/>
      <c r="HR436" s="144"/>
      <c r="HS436" s="144"/>
      <c r="HT436" s="144"/>
      <c r="HU436" s="144"/>
      <c r="HV436" s="144"/>
      <c r="HW436" s="144"/>
      <c r="HX436" s="144"/>
      <c r="HY436" s="144"/>
      <c r="HZ436" s="144"/>
      <c r="IA436" s="144"/>
      <c r="IB436" s="144"/>
      <c r="IC436" s="144"/>
      <c r="ID436" s="144"/>
      <c r="IE436" s="144"/>
      <c r="IF436" s="144"/>
      <c r="IG436" s="144"/>
      <c r="IH436" s="144"/>
      <c r="II436" s="144"/>
      <c r="IJ436" s="144"/>
      <c r="IK436" s="144"/>
      <c r="IL436" s="144"/>
      <c r="IM436" s="144"/>
    </row>
    <row r="437" spans="1:247" s="47" customFormat="1" ht="15">
      <c r="A437" s="37"/>
      <c r="B437" s="48" t="s">
        <v>139</v>
      </c>
      <c r="C437" s="48" t="s">
        <v>58</v>
      </c>
      <c r="D437" s="104">
        <v>2.33</v>
      </c>
      <c r="E437" s="105">
        <f>E436*D437</f>
        <v>18.64</v>
      </c>
      <c r="F437" s="171"/>
      <c r="G437" s="144"/>
      <c r="H437" s="144"/>
      <c r="I437" s="144"/>
      <c r="J437" s="144"/>
      <c r="K437" s="144"/>
      <c r="L437" s="144"/>
      <c r="M437" s="144"/>
      <c r="N437" s="144"/>
      <c r="O437" s="144"/>
      <c r="P437" s="144"/>
      <c r="Q437" s="144"/>
      <c r="R437" s="144"/>
      <c r="S437" s="144"/>
      <c r="T437" s="144"/>
      <c r="U437" s="144"/>
      <c r="V437" s="144"/>
      <c r="W437" s="144"/>
      <c r="X437" s="144"/>
      <c r="Y437" s="144"/>
      <c r="Z437" s="144"/>
      <c r="AA437" s="144"/>
      <c r="AB437" s="144"/>
      <c r="AC437" s="144"/>
      <c r="AD437" s="144"/>
      <c r="AE437" s="144"/>
      <c r="AF437" s="144"/>
      <c r="AG437" s="144"/>
      <c r="AH437" s="144"/>
      <c r="AI437" s="144"/>
      <c r="AJ437" s="144"/>
      <c r="AK437" s="144"/>
      <c r="AL437" s="144"/>
      <c r="AM437" s="144"/>
      <c r="AN437" s="144"/>
      <c r="AO437" s="144"/>
      <c r="AP437" s="144"/>
      <c r="AQ437" s="144"/>
      <c r="AR437" s="144"/>
      <c r="AS437" s="144"/>
      <c r="AT437" s="144"/>
      <c r="AU437" s="144"/>
      <c r="AV437" s="144"/>
      <c r="AW437" s="144"/>
      <c r="AX437" s="144"/>
      <c r="AY437" s="144"/>
      <c r="AZ437" s="144"/>
      <c r="BA437" s="144"/>
      <c r="BB437" s="144"/>
      <c r="BC437" s="144"/>
      <c r="BD437" s="144"/>
      <c r="BE437" s="144"/>
      <c r="BF437" s="144"/>
      <c r="BG437" s="144"/>
      <c r="BH437" s="144"/>
      <c r="BI437" s="144"/>
      <c r="BJ437" s="144"/>
      <c r="BK437" s="144"/>
      <c r="BL437" s="144"/>
      <c r="BM437" s="144"/>
      <c r="BN437" s="144"/>
      <c r="BO437" s="144"/>
      <c r="BP437" s="144"/>
      <c r="BQ437" s="144"/>
      <c r="BR437" s="144"/>
      <c r="BS437" s="144"/>
      <c r="BT437" s="144"/>
      <c r="BU437" s="144"/>
      <c r="BV437" s="144"/>
      <c r="BW437" s="144"/>
      <c r="BX437" s="144"/>
      <c r="BY437" s="144"/>
      <c r="BZ437" s="144"/>
      <c r="CA437" s="144"/>
      <c r="CB437" s="144"/>
      <c r="CC437" s="144"/>
      <c r="CD437" s="144"/>
      <c r="CE437" s="144"/>
      <c r="CF437" s="144"/>
      <c r="CG437" s="144"/>
      <c r="CH437" s="144"/>
      <c r="CI437" s="144"/>
      <c r="CJ437" s="144"/>
      <c r="CK437" s="144"/>
      <c r="CL437" s="144"/>
      <c r="CM437" s="144"/>
      <c r="CN437" s="144"/>
      <c r="CO437" s="144"/>
      <c r="CP437" s="144"/>
      <c r="CQ437" s="144"/>
      <c r="CR437" s="144"/>
      <c r="CS437" s="144"/>
      <c r="CT437" s="144"/>
      <c r="CU437" s="144"/>
      <c r="CV437" s="144"/>
      <c r="CW437" s="144"/>
      <c r="CX437" s="144"/>
      <c r="CY437" s="144"/>
      <c r="CZ437" s="144"/>
      <c r="DA437" s="144"/>
      <c r="DB437" s="144"/>
      <c r="DC437" s="144"/>
      <c r="DD437" s="144"/>
      <c r="DE437" s="144"/>
      <c r="DF437" s="144"/>
      <c r="DG437" s="144"/>
      <c r="DH437" s="144"/>
      <c r="DI437" s="144"/>
      <c r="DJ437" s="144"/>
      <c r="DK437" s="144"/>
      <c r="DL437" s="144"/>
      <c r="DM437" s="144"/>
      <c r="DN437" s="144"/>
      <c r="DO437" s="144"/>
      <c r="DP437" s="144"/>
      <c r="DQ437" s="144"/>
      <c r="DR437" s="144"/>
      <c r="DS437" s="144"/>
      <c r="DT437" s="144"/>
      <c r="DU437" s="144"/>
      <c r="DV437" s="144"/>
      <c r="DW437" s="144"/>
      <c r="DX437" s="144"/>
      <c r="DY437" s="144"/>
      <c r="DZ437" s="144"/>
      <c r="EA437" s="144"/>
      <c r="EB437" s="144"/>
      <c r="EC437" s="144"/>
      <c r="ED437" s="144"/>
      <c r="EE437" s="144"/>
      <c r="EF437" s="144"/>
      <c r="EG437" s="144"/>
      <c r="EH437" s="144"/>
      <c r="EI437" s="144"/>
      <c r="EJ437" s="144"/>
      <c r="EK437" s="144"/>
      <c r="EL437" s="144"/>
      <c r="EM437" s="144"/>
      <c r="EN437" s="144"/>
      <c r="EO437" s="144"/>
      <c r="EP437" s="144"/>
      <c r="EQ437" s="144"/>
      <c r="ER437" s="144"/>
      <c r="ES437" s="144"/>
      <c r="ET437" s="144"/>
      <c r="EU437" s="144"/>
      <c r="EV437" s="144"/>
      <c r="EW437" s="144"/>
      <c r="EX437" s="144"/>
      <c r="EY437" s="144"/>
      <c r="EZ437" s="144"/>
      <c r="FA437" s="144"/>
      <c r="FB437" s="144"/>
      <c r="FC437" s="144"/>
      <c r="FD437" s="144"/>
      <c r="FE437" s="144"/>
      <c r="FF437" s="144"/>
      <c r="FG437" s="144"/>
      <c r="FH437" s="144"/>
      <c r="FI437" s="144"/>
      <c r="FJ437" s="144"/>
      <c r="FK437" s="144"/>
      <c r="FL437" s="144"/>
      <c r="FM437" s="144"/>
      <c r="FN437" s="144"/>
      <c r="FO437" s="144"/>
      <c r="FP437" s="144"/>
      <c r="FQ437" s="144"/>
      <c r="FR437" s="144"/>
      <c r="FS437" s="144"/>
      <c r="FT437" s="144"/>
      <c r="FU437" s="144"/>
      <c r="FV437" s="144"/>
      <c r="FW437" s="144"/>
      <c r="FX437" s="144"/>
      <c r="FY437" s="144"/>
      <c r="FZ437" s="144"/>
      <c r="GA437" s="144"/>
      <c r="GB437" s="144"/>
      <c r="GC437" s="144"/>
      <c r="GD437" s="144"/>
      <c r="GE437" s="144"/>
      <c r="GF437" s="144"/>
      <c r="GG437" s="144"/>
      <c r="GH437" s="144"/>
      <c r="GI437" s="144"/>
      <c r="GJ437" s="144"/>
      <c r="GK437" s="144"/>
      <c r="GL437" s="144"/>
      <c r="GM437" s="144"/>
      <c r="GN437" s="144"/>
      <c r="GO437" s="144"/>
      <c r="GP437" s="144"/>
      <c r="GQ437" s="144"/>
      <c r="GR437" s="144"/>
      <c r="GS437" s="144"/>
      <c r="GT437" s="144"/>
      <c r="GU437" s="144"/>
      <c r="GV437" s="144"/>
      <c r="GW437" s="144"/>
      <c r="GX437" s="144"/>
      <c r="GY437" s="144"/>
      <c r="GZ437" s="144"/>
      <c r="HA437" s="144"/>
      <c r="HB437" s="144"/>
      <c r="HC437" s="144"/>
      <c r="HD437" s="144"/>
      <c r="HE437" s="144"/>
      <c r="HF437" s="144"/>
      <c r="HG437" s="144"/>
      <c r="HH437" s="144"/>
      <c r="HI437" s="144"/>
      <c r="HJ437" s="144"/>
      <c r="HK437" s="144"/>
      <c r="HL437" s="144"/>
      <c r="HM437" s="144"/>
      <c r="HN437" s="144"/>
      <c r="HO437" s="144"/>
      <c r="HP437" s="144"/>
      <c r="HQ437" s="144"/>
      <c r="HR437" s="144"/>
      <c r="HS437" s="144"/>
      <c r="HT437" s="144"/>
      <c r="HU437" s="144"/>
      <c r="HV437" s="144"/>
      <c r="HW437" s="144"/>
      <c r="HX437" s="144"/>
      <c r="HY437" s="144"/>
      <c r="HZ437" s="144"/>
      <c r="IA437" s="144"/>
      <c r="IB437" s="144"/>
      <c r="IC437" s="144"/>
      <c r="ID437" s="144"/>
      <c r="IE437" s="144"/>
      <c r="IF437" s="144"/>
      <c r="IG437" s="144"/>
      <c r="IH437" s="144"/>
      <c r="II437" s="144"/>
      <c r="IJ437" s="144"/>
      <c r="IK437" s="144"/>
      <c r="IL437" s="144"/>
      <c r="IM437" s="144"/>
    </row>
    <row r="438" spans="1:247" s="47" customFormat="1" ht="15">
      <c r="A438" s="37"/>
      <c r="B438" s="48" t="s">
        <v>142</v>
      </c>
      <c r="C438" s="48" t="s">
        <v>51</v>
      </c>
      <c r="D438" s="106">
        <v>0.12</v>
      </c>
      <c r="E438" s="107">
        <f>E436*D438</f>
        <v>0.96</v>
      </c>
      <c r="F438" s="171"/>
      <c r="G438" s="144"/>
      <c r="H438" s="144"/>
      <c r="I438" s="144"/>
      <c r="J438" s="144"/>
      <c r="K438" s="144"/>
      <c r="L438" s="144"/>
      <c r="M438" s="144"/>
      <c r="N438" s="144"/>
      <c r="O438" s="144"/>
      <c r="P438" s="144"/>
      <c r="Q438" s="144"/>
      <c r="R438" s="144"/>
      <c r="S438" s="144"/>
      <c r="T438" s="144"/>
      <c r="U438" s="144"/>
      <c r="V438" s="144"/>
      <c r="W438" s="144"/>
      <c r="X438" s="144"/>
      <c r="Y438" s="144"/>
      <c r="Z438" s="144"/>
      <c r="AA438" s="144"/>
      <c r="AB438" s="144"/>
      <c r="AC438" s="144"/>
      <c r="AD438" s="144"/>
      <c r="AE438" s="144"/>
      <c r="AF438" s="144"/>
      <c r="AG438" s="144"/>
      <c r="AH438" s="144"/>
      <c r="AI438" s="144"/>
      <c r="AJ438" s="144"/>
      <c r="AK438" s="144"/>
      <c r="AL438" s="144"/>
      <c r="AM438" s="144"/>
      <c r="AN438" s="144"/>
      <c r="AO438" s="144"/>
      <c r="AP438" s="144"/>
      <c r="AQ438" s="144"/>
      <c r="AR438" s="144"/>
      <c r="AS438" s="144"/>
      <c r="AT438" s="144"/>
      <c r="AU438" s="144"/>
      <c r="AV438" s="144"/>
      <c r="AW438" s="144"/>
      <c r="AX438" s="144"/>
      <c r="AY438" s="144"/>
      <c r="AZ438" s="144"/>
      <c r="BA438" s="144"/>
      <c r="BB438" s="144"/>
      <c r="BC438" s="144"/>
      <c r="BD438" s="144"/>
      <c r="BE438" s="144"/>
      <c r="BF438" s="144"/>
      <c r="BG438" s="144"/>
      <c r="BH438" s="144"/>
      <c r="BI438" s="144"/>
      <c r="BJ438" s="144"/>
      <c r="BK438" s="144"/>
      <c r="BL438" s="144"/>
      <c r="BM438" s="144"/>
      <c r="BN438" s="144"/>
      <c r="BO438" s="144"/>
      <c r="BP438" s="144"/>
      <c r="BQ438" s="144"/>
      <c r="BR438" s="144"/>
      <c r="BS438" s="144"/>
      <c r="BT438" s="144"/>
      <c r="BU438" s="144"/>
      <c r="BV438" s="144"/>
      <c r="BW438" s="144"/>
      <c r="BX438" s="144"/>
      <c r="BY438" s="144"/>
      <c r="BZ438" s="144"/>
      <c r="CA438" s="144"/>
      <c r="CB438" s="144"/>
      <c r="CC438" s="144"/>
      <c r="CD438" s="144"/>
      <c r="CE438" s="144"/>
      <c r="CF438" s="144"/>
      <c r="CG438" s="144"/>
      <c r="CH438" s="144"/>
      <c r="CI438" s="144"/>
      <c r="CJ438" s="144"/>
      <c r="CK438" s="144"/>
      <c r="CL438" s="144"/>
      <c r="CM438" s="144"/>
      <c r="CN438" s="144"/>
      <c r="CO438" s="144"/>
      <c r="CP438" s="144"/>
      <c r="CQ438" s="144"/>
      <c r="CR438" s="144"/>
      <c r="CS438" s="144"/>
      <c r="CT438" s="144"/>
      <c r="CU438" s="144"/>
      <c r="CV438" s="144"/>
      <c r="CW438" s="144"/>
      <c r="CX438" s="144"/>
      <c r="CY438" s="144"/>
      <c r="CZ438" s="144"/>
      <c r="DA438" s="144"/>
      <c r="DB438" s="144"/>
      <c r="DC438" s="144"/>
      <c r="DD438" s="144"/>
      <c r="DE438" s="144"/>
      <c r="DF438" s="144"/>
      <c r="DG438" s="144"/>
      <c r="DH438" s="144"/>
      <c r="DI438" s="144"/>
      <c r="DJ438" s="144"/>
      <c r="DK438" s="144"/>
      <c r="DL438" s="144"/>
      <c r="DM438" s="144"/>
      <c r="DN438" s="144"/>
      <c r="DO438" s="144"/>
      <c r="DP438" s="144"/>
      <c r="DQ438" s="144"/>
      <c r="DR438" s="144"/>
      <c r="DS438" s="144"/>
      <c r="DT438" s="144"/>
      <c r="DU438" s="144"/>
      <c r="DV438" s="144"/>
      <c r="DW438" s="144"/>
      <c r="DX438" s="144"/>
      <c r="DY438" s="144"/>
      <c r="DZ438" s="144"/>
      <c r="EA438" s="144"/>
      <c r="EB438" s="144"/>
      <c r="EC438" s="144"/>
      <c r="ED438" s="144"/>
      <c r="EE438" s="144"/>
      <c r="EF438" s="144"/>
      <c r="EG438" s="144"/>
      <c r="EH438" s="144"/>
      <c r="EI438" s="144"/>
      <c r="EJ438" s="144"/>
      <c r="EK438" s="144"/>
      <c r="EL438" s="144"/>
      <c r="EM438" s="144"/>
      <c r="EN438" s="144"/>
      <c r="EO438" s="144"/>
      <c r="EP438" s="144"/>
      <c r="EQ438" s="144"/>
      <c r="ER438" s="144"/>
      <c r="ES438" s="144"/>
      <c r="ET438" s="144"/>
      <c r="EU438" s="144"/>
      <c r="EV438" s="144"/>
      <c r="EW438" s="144"/>
      <c r="EX438" s="144"/>
      <c r="EY438" s="144"/>
      <c r="EZ438" s="144"/>
      <c r="FA438" s="144"/>
      <c r="FB438" s="144"/>
      <c r="FC438" s="144"/>
      <c r="FD438" s="144"/>
      <c r="FE438" s="144"/>
      <c r="FF438" s="144"/>
      <c r="FG438" s="144"/>
      <c r="FH438" s="144"/>
      <c r="FI438" s="144"/>
      <c r="FJ438" s="144"/>
      <c r="FK438" s="144"/>
      <c r="FL438" s="144"/>
      <c r="FM438" s="144"/>
      <c r="FN438" s="144"/>
      <c r="FO438" s="144"/>
      <c r="FP438" s="144"/>
      <c r="FQ438" s="144"/>
      <c r="FR438" s="144"/>
      <c r="FS438" s="144"/>
      <c r="FT438" s="144"/>
      <c r="FU438" s="144"/>
      <c r="FV438" s="144"/>
      <c r="FW438" s="144"/>
      <c r="FX438" s="144"/>
      <c r="FY438" s="144"/>
      <c r="FZ438" s="144"/>
      <c r="GA438" s="144"/>
      <c r="GB438" s="144"/>
      <c r="GC438" s="144"/>
      <c r="GD438" s="144"/>
      <c r="GE438" s="144"/>
      <c r="GF438" s="144"/>
      <c r="GG438" s="144"/>
      <c r="GH438" s="144"/>
      <c r="GI438" s="144"/>
      <c r="GJ438" s="144"/>
      <c r="GK438" s="144"/>
      <c r="GL438" s="144"/>
      <c r="GM438" s="144"/>
      <c r="GN438" s="144"/>
      <c r="GO438" s="144"/>
      <c r="GP438" s="144"/>
      <c r="GQ438" s="144"/>
      <c r="GR438" s="144"/>
      <c r="GS438" s="144"/>
      <c r="GT438" s="144"/>
      <c r="GU438" s="144"/>
      <c r="GV438" s="144"/>
      <c r="GW438" s="144"/>
      <c r="GX438" s="144"/>
      <c r="GY438" s="144"/>
      <c r="GZ438" s="144"/>
      <c r="HA438" s="144"/>
      <c r="HB438" s="144"/>
      <c r="HC438" s="144"/>
      <c r="HD438" s="144"/>
      <c r="HE438" s="144"/>
      <c r="HF438" s="144"/>
      <c r="HG438" s="144"/>
      <c r="HH438" s="144"/>
      <c r="HI438" s="144"/>
      <c r="HJ438" s="144"/>
      <c r="HK438" s="144"/>
      <c r="HL438" s="144"/>
      <c r="HM438" s="144"/>
      <c r="HN438" s="144"/>
      <c r="HO438" s="144"/>
      <c r="HP438" s="144"/>
      <c r="HQ438" s="144"/>
      <c r="HR438" s="144"/>
      <c r="HS438" s="144"/>
      <c r="HT438" s="144"/>
      <c r="HU438" s="144"/>
      <c r="HV438" s="144"/>
      <c r="HW438" s="144"/>
      <c r="HX438" s="144"/>
      <c r="HY438" s="144"/>
      <c r="HZ438" s="144"/>
      <c r="IA438" s="144"/>
      <c r="IB438" s="144"/>
      <c r="IC438" s="144"/>
      <c r="ID438" s="144"/>
      <c r="IE438" s="144"/>
      <c r="IF438" s="144"/>
      <c r="IG438" s="144"/>
      <c r="IH438" s="144"/>
      <c r="II438" s="144"/>
      <c r="IJ438" s="144"/>
      <c r="IK438" s="144"/>
      <c r="IL438" s="144"/>
      <c r="IM438" s="144"/>
    </row>
    <row r="439" spans="1:247" s="47" customFormat="1" ht="30">
      <c r="A439" s="37"/>
      <c r="B439" s="140" t="s">
        <v>375</v>
      </c>
      <c r="C439" s="104" t="s">
        <v>138</v>
      </c>
      <c r="D439" s="104">
        <v>1</v>
      </c>
      <c r="E439" s="105">
        <f>E436*D439</f>
        <v>8</v>
      </c>
      <c r="F439" s="171"/>
      <c r="G439" s="144"/>
      <c r="H439" s="144"/>
      <c r="I439" s="144"/>
      <c r="J439" s="144"/>
      <c r="K439" s="144"/>
      <c r="L439" s="144"/>
      <c r="M439" s="144"/>
      <c r="N439" s="144"/>
      <c r="O439" s="144"/>
      <c r="P439" s="144"/>
      <c r="Q439" s="144"/>
      <c r="R439" s="144"/>
      <c r="S439" s="144"/>
      <c r="T439" s="144"/>
      <c r="U439" s="144"/>
      <c r="V439" s="144"/>
      <c r="W439" s="144"/>
      <c r="X439" s="144"/>
      <c r="Y439" s="144"/>
      <c r="Z439" s="144"/>
      <c r="AA439" s="144"/>
      <c r="AB439" s="144"/>
      <c r="AC439" s="144"/>
      <c r="AD439" s="144"/>
      <c r="AE439" s="144"/>
      <c r="AF439" s="144"/>
      <c r="AG439" s="144"/>
      <c r="AH439" s="144"/>
      <c r="AI439" s="144"/>
      <c r="AJ439" s="144"/>
      <c r="AK439" s="144"/>
      <c r="AL439" s="144"/>
      <c r="AM439" s="144"/>
      <c r="AN439" s="144"/>
      <c r="AO439" s="144"/>
      <c r="AP439" s="144"/>
      <c r="AQ439" s="144"/>
      <c r="AR439" s="144"/>
      <c r="AS439" s="144"/>
      <c r="AT439" s="144"/>
      <c r="AU439" s="144"/>
      <c r="AV439" s="144"/>
      <c r="AW439" s="144"/>
      <c r="AX439" s="144"/>
      <c r="AY439" s="144"/>
      <c r="AZ439" s="144"/>
      <c r="BA439" s="144"/>
      <c r="BB439" s="144"/>
      <c r="BC439" s="144"/>
      <c r="BD439" s="144"/>
      <c r="BE439" s="144"/>
      <c r="BF439" s="144"/>
      <c r="BG439" s="144"/>
      <c r="BH439" s="144"/>
      <c r="BI439" s="144"/>
      <c r="BJ439" s="144"/>
      <c r="BK439" s="144"/>
      <c r="BL439" s="144"/>
      <c r="BM439" s="144"/>
      <c r="BN439" s="144"/>
      <c r="BO439" s="144"/>
      <c r="BP439" s="144"/>
      <c r="BQ439" s="144"/>
      <c r="BR439" s="144"/>
      <c r="BS439" s="144"/>
      <c r="BT439" s="144"/>
      <c r="BU439" s="144"/>
      <c r="BV439" s="144"/>
      <c r="BW439" s="144"/>
      <c r="BX439" s="144"/>
      <c r="BY439" s="144"/>
      <c r="BZ439" s="144"/>
      <c r="CA439" s="144"/>
      <c r="CB439" s="144"/>
      <c r="CC439" s="144"/>
      <c r="CD439" s="144"/>
      <c r="CE439" s="144"/>
      <c r="CF439" s="144"/>
      <c r="CG439" s="144"/>
      <c r="CH439" s="144"/>
      <c r="CI439" s="144"/>
      <c r="CJ439" s="144"/>
      <c r="CK439" s="144"/>
      <c r="CL439" s="144"/>
      <c r="CM439" s="144"/>
      <c r="CN439" s="144"/>
      <c r="CO439" s="144"/>
      <c r="CP439" s="144"/>
      <c r="CQ439" s="144"/>
      <c r="CR439" s="144"/>
      <c r="CS439" s="144"/>
      <c r="CT439" s="144"/>
      <c r="CU439" s="144"/>
      <c r="CV439" s="144"/>
      <c r="CW439" s="144"/>
      <c r="CX439" s="144"/>
      <c r="CY439" s="144"/>
      <c r="CZ439" s="144"/>
      <c r="DA439" s="144"/>
      <c r="DB439" s="144"/>
      <c r="DC439" s="144"/>
      <c r="DD439" s="144"/>
      <c r="DE439" s="144"/>
      <c r="DF439" s="144"/>
      <c r="DG439" s="144"/>
      <c r="DH439" s="144"/>
      <c r="DI439" s="144"/>
      <c r="DJ439" s="144"/>
      <c r="DK439" s="144"/>
      <c r="DL439" s="144"/>
      <c r="DM439" s="144"/>
      <c r="DN439" s="144"/>
      <c r="DO439" s="144"/>
      <c r="DP439" s="144"/>
      <c r="DQ439" s="144"/>
      <c r="DR439" s="144"/>
      <c r="DS439" s="144"/>
      <c r="DT439" s="144"/>
      <c r="DU439" s="144"/>
      <c r="DV439" s="144"/>
      <c r="DW439" s="144"/>
      <c r="DX439" s="144"/>
      <c r="DY439" s="144"/>
      <c r="DZ439" s="144"/>
      <c r="EA439" s="144"/>
      <c r="EB439" s="144"/>
      <c r="EC439" s="144"/>
      <c r="ED439" s="144"/>
      <c r="EE439" s="144"/>
      <c r="EF439" s="144"/>
      <c r="EG439" s="144"/>
      <c r="EH439" s="144"/>
      <c r="EI439" s="144"/>
      <c r="EJ439" s="144"/>
      <c r="EK439" s="144"/>
      <c r="EL439" s="144"/>
      <c r="EM439" s="144"/>
      <c r="EN439" s="144"/>
      <c r="EO439" s="144"/>
      <c r="EP439" s="144"/>
      <c r="EQ439" s="144"/>
      <c r="ER439" s="144"/>
      <c r="ES439" s="144"/>
      <c r="ET439" s="144"/>
      <c r="EU439" s="144"/>
      <c r="EV439" s="144"/>
      <c r="EW439" s="144"/>
      <c r="EX439" s="144"/>
      <c r="EY439" s="144"/>
      <c r="EZ439" s="144"/>
      <c r="FA439" s="144"/>
      <c r="FB439" s="144"/>
      <c r="FC439" s="144"/>
      <c r="FD439" s="144"/>
      <c r="FE439" s="144"/>
      <c r="FF439" s="144"/>
      <c r="FG439" s="144"/>
      <c r="FH439" s="144"/>
      <c r="FI439" s="144"/>
      <c r="FJ439" s="144"/>
      <c r="FK439" s="144"/>
      <c r="FL439" s="144"/>
      <c r="FM439" s="144"/>
      <c r="FN439" s="144"/>
      <c r="FO439" s="144"/>
      <c r="FP439" s="144"/>
      <c r="FQ439" s="144"/>
      <c r="FR439" s="144"/>
      <c r="FS439" s="144"/>
      <c r="FT439" s="144"/>
      <c r="FU439" s="144"/>
      <c r="FV439" s="144"/>
      <c r="FW439" s="144"/>
      <c r="FX439" s="144"/>
      <c r="FY439" s="144"/>
      <c r="FZ439" s="144"/>
      <c r="GA439" s="144"/>
      <c r="GB439" s="144"/>
      <c r="GC439" s="144"/>
      <c r="GD439" s="144"/>
      <c r="GE439" s="144"/>
      <c r="GF439" s="144"/>
      <c r="GG439" s="144"/>
      <c r="GH439" s="144"/>
      <c r="GI439" s="144"/>
      <c r="GJ439" s="144"/>
      <c r="GK439" s="144"/>
      <c r="GL439" s="144"/>
      <c r="GM439" s="144"/>
      <c r="GN439" s="144"/>
      <c r="GO439" s="144"/>
      <c r="GP439" s="144"/>
      <c r="GQ439" s="144"/>
      <c r="GR439" s="144"/>
      <c r="GS439" s="144"/>
      <c r="GT439" s="144"/>
      <c r="GU439" s="144"/>
      <c r="GV439" s="144"/>
      <c r="GW439" s="144"/>
      <c r="GX439" s="144"/>
      <c r="GY439" s="144"/>
      <c r="GZ439" s="144"/>
      <c r="HA439" s="144"/>
      <c r="HB439" s="144"/>
      <c r="HC439" s="144"/>
      <c r="HD439" s="144"/>
      <c r="HE439" s="144"/>
      <c r="HF439" s="144"/>
      <c r="HG439" s="144"/>
      <c r="HH439" s="144"/>
      <c r="HI439" s="144"/>
      <c r="HJ439" s="144"/>
      <c r="HK439" s="144"/>
      <c r="HL439" s="144"/>
      <c r="HM439" s="144"/>
      <c r="HN439" s="144"/>
      <c r="HO439" s="144"/>
      <c r="HP439" s="144"/>
      <c r="HQ439" s="144"/>
      <c r="HR439" s="144"/>
      <c r="HS439" s="144"/>
      <c r="HT439" s="144"/>
      <c r="HU439" s="144"/>
      <c r="HV439" s="144"/>
      <c r="HW439" s="144"/>
      <c r="HX439" s="144"/>
      <c r="HY439" s="144"/>
      <c r="HZ439" s="144"/>
      <c r="IA439" s="144"/>
      <c r="IB439" s="144"/>
      <c r="IC439" s="144"/>
      <c r="ID439" s="144"/>
      <c r="IE439" s="144"/>
      <c r="IF439" s="144"/>
      <c r="IG439" s="144"/>
      <c r="IH439" s="144"/>
      <c r="II439" s="144"/>
      <c r="IJ439" s="144"/>
      <c r="IK439" s="144"/>
      <c r="IL439" s="144"/>
      <c r="IM439" s="144"/>
    </row>
    <row r="440" spans="1:247" s="47" customFormat="1" ht="15">
      <c r="A440" s="37"/>
      <c r="B440" s="108" t="s">
        <v>143</v>
      </c>
      <c r="C440" s="108" t="s">
        <v>144</v>
      </c>
      <c r="D440" s="108">
        <v>0.455</v>
      </c>
      <c r="E440" s="105">
        <f>E436*D440</f>
        <v>3.64</v>
      </c>
      <c r="F440" s="171"/>
      <c r="G440" s="144"/>
      <c r="H440" s="144"/>
      <c r="I440" s="144"/>
      <c r="J440" s="144"/>
      <c r="K440" s="144"/>
      <c r="L440" s="144"/>
      <c r="M440" s="144"/>
      <c r="N440" s="144"/>
      <c r="O440" s="144"/>
      <c r="P440" s="144"/>
      <c r="Q440" s="144"/>
      <c r="R440" s="144"/>
      <c r="S440" s="144"/>
      <c r="T440" s="144"/>
      <c r="U440" s="144"/>
      <c r="V440" s="144"/>
      <c r="W440" s="144"/>
      <c r="X440" s="144"/>
      <c r="Y440" s="144"/>
      <c r="Z440" s="144"/>
      <c r="AA440" s="144"/>
      <c r="AB440" s="144"/>
      <c r="AC440" s="144"/>
      <c r="AD440" s="144"/>
      <c r="AE440" s="144"/>
      <c r="AF440" s="144"/>
      <c r="AG440" s="144"/>
      <c r="AH440" s="144"/>
      <c r="AI440" s="144"/>
      <c r="AJ440" s="144"/>
      <c r="AK440" s="144"/>
      <c r="AL440" s="144"/>
      <c r="AM440" s="144"/>
      <c r="AN440" s="144"/>
      <c r="AO440" s="144"/>
      <c r="AP440" s="144"/>
      <c r="AQ440" s="144"/>
      <c r="AR440" s="144"/>
      <c r="AS440" s="144"/>
      <c r="AT440" s="144"/>
      <c r="AU440" s="144"/>
      <c r="AV440" s="144"/>
      <c r="AW440" s="144"/>
      <c r="AX440" s="144"/>
      <c r="AY440" s="144"/>
      <c r="AZ440" s="144"/>
      <c r="BA440" s="144"/>
      <c r="BB440" s="144"/>
      <c r="BC440" s="144"/>
      <c r="BD440" s="144"/>
      <c r="BE440" s="144"/>
      <c r="BF440" s="144"/>
      <c r="BG440" s="144"/>
      <c r="BH440" s="144"/>
      <c r="BI440" s="144"/>
      <c r="BJ440" s="144"/>
      <c r="BK440" s="144"/>
      <c r="BL440" s="144"/>
      <c r="BM440" s="144"/>
      <c r="BN440" s="144"/>
      <c r="BO440" s="144"/>
      <c r="BP440" s="144"/>
      <c r="BQ440" s="144"/>
      <c r="BR440" s="144"/>
      <c r="BS440" s="144"/>
      <c r="BT440" s="144"/>
      <c r="BU440" s="144"/>
      <c r="BV440" s="144"/>
      <c r="BW440" s="144"/>
      <c r="BX440" s="144"/>
      <c r="BY440" s="144"/>
      <c r="BZ440" s="144"/>
      <c r="CA440" s="144"/>
      <c r="CB440" s="144"/>
      <c r="CC440" s="144"/>
      <c r="CD440" s="144"/>
      <c r="CE440" s="144"/>
      <c r="CF440" s="144"/>
      <c r="CG440" s="144"/>
      <c r="CH440" s="144"/>
      <c r="CI440" s="144"/>
      <c r="CJ440" s="144"/>
      <c r="CK440" s="144"/>
      <c r="CL440" s="144"/>
      <c r="CM440" s="144"/>
      <c r="CN440" s="144"/>
      <c r="CO440" s="144"/>
      <c r="CP440" s="144"/>
      <c r="CQ440" s="144"/>
      <c r="CR440" s="144"/>
      <c r="CS440" s="144"/>
      <c r="CT440" s="144"/>
      <c r="CU440" s="144"/>
      <c r="CV440" s="144"/>
      <c r="CW440" s="144"/>
      <c r="CX440" s="144"/>
      <c r="CY440" s="144"/>
      <c r="CZ440" s="144"/>
      <c r="DA440" s="144"/>
      <c r="DB440" s="144"/>
      <c r="DC440" s="144"/>
      <c r="DD440" s="144"/>
      <c r="DE440" s="144"/>
      <c r="DF440" s="144"/>
      <c r="DG440" s="144"/>
      <c r="DH440" s="144"/>
      <c r="DI440" s="144"/>
      <c r="DJ440" s="144"/>
      <c r="DK440" s="144"/>
      <c r="DL440" s="144"/>
      <c r="DM440" s="144"/>
      <c r="DN440" s="144"/>
      <c r="DO440" s="144"/>
      <c r="DP440" s="144"/>
      <c r="DQ440" s="144"/>
      <c r="DR440" s="144"/>
      <c r="DS440" s="144"/>
      <c r="DT440" s="144"/>
      <c r="DU440" s="144"/>
      <c r="DV440" s="144"/>
      <c r="DW440" s="144"/>
      <c r="DX440" s="144"/>
      <c r="DY440" s="144"/>
      <c r="DZ440" s="144"/>
      <c r="EA440" s="144"/>
      <c r="EB440" s="144"/>
      <c r="EC440" s="144"/>
      <c r="ED440" s="144"/>
      <c r="EE440" s="144"/>
      <c r="EF440" s="144"/>
      <c r="EG440" s="144"/>
      <c r="EH440" s="144"/>
      <c r="EI440" s="144"/>
      <c r="EJ440" s="144"/>
      <c r="EK440" s="144"/>
      <c r="EL440" s="144"/>
      <c r="EM440" s="144"/>
      <c r="EN440" s="144"/>
      <c r="EO440" s="144"/>
      <c r="EP440" s="144"/>
      <c r="EQ440" s="144"/>
      <c r="ER440" s="144"/>
      <c r="ES440" s="144"/>
      <c r="ET440" s="144"/>
      <c r="EU440" s="144"/>
      <c r="EV440" s="144"/>
      <c r="EW440" s="144"/>
      <c r="EX440" s="144"/>
      <c r="EY440" s="144"/>
      <c r="EZ440" s="144"/>
      <c r="FA440" s="144"/>
      <c r="FB440" s="144"/>
      <c r="FC440" s="144"/>
      <c r="FD440" s="144"/>
      <c r="FE440" s="144"/>
      <c r="FF440" s="144"/>
      <c r="FG440" s="144"/>
      <c r="FH440" s="144"/>
      <c r="FI440" s="144"/>
      <c r="FJ440" s="144"/>
      <c r="FK440" s="144"/>
      <c r="FL440" s="144"/>
      <c r="FM440" s="144"/>
      <c r="FN440" s="144"/>
      <c r="FO440" s="144"/>
      <c r="FP440" s="144"/>
      <c r="FQ440" s="144"/>
      <c r="FR440" s="144"/>
      <c r="FS440" s="144"/>
      <c r="FT440" s="144"/>
      <c r="FU440" s="144"/>
      <c r="FV440" s="144"/>
      <c r="FW440" s="144"/>
      <c r="FX440" s="144"/>
      <c r="FY440" s="144"/>
      <c r="FZ440" s="144"/>
      <c r="GA440" s="144"/>
      <c r="GB440" s="144"/>
      <c r="GC440" s="144"/>
      <c r="GD440" s="144"/>
      <c r="GE440" s="144"/>
      <c r="GF440" s="144"/>
      <c r="GG440" s="144"/>
      <c r="GH440" s="144"/>
      <c r="GI440" s="144"/>
      <c r="GJ440" s="144"/>
      <c r="GK440" s="144"/>
      <c r="GL440" s="144"/>
      <c r="GM440" s="144"/>
      <c r="GN440" s="144"/>
      <c r="GO440" s="144"/>
      <c r="GP440" s="144"/>
      <c r="GQ440" s="144"/>
      <c r="GR440" s="144"/>
      <c r="GS440" s="144"/>
      <c r="GT440" s="144"/>
      <c r="GU440" s="144"/>
      <c r="GV440" s="144"/>
      <c r="GW440" s="144"/>
      <c r="GX440" s="144"/>
      <c r="GY440" s="144"/>
      <c r="GZ440" s="144"/>
      <c r="HA440" s="144"/>
      <c r="HB440" s="144"/>
      <c r="HC440" s="144"/>
      <c r="HD440" s="144"/>
      <c r="HE440" s="144"/>
      <c r="HF440" s="144"/>
      <c r="HG440" s="144"/>
      <c r="HH440" s="144"/>
      <c r="HI440" s="144"/>
      <c r="HJ440" s="144"/>
      <c r="HK440" s="144"/>
      <c r="HL440" s="144"/>
      <c r="HM440" s="144"/>
      <c r="HN440" s="144"/>
      <c r="HO440" s="144"/>
      <c r="HP440" s="144"/>
      <c r="HQ440" s="144"/>
      <c r="HR440" s="144"/>
      <c r="HS440" s="144"/>
      <c r="HT440" s="144"/>
      <c r="HU440" s="144"/>
      <c r="HV440" s="144"/>
      <c r="HW440" s="144"/>
      <c r="HX440" s="144"/>
      <c r="HY440" s="144"/>
      <c r="HZ440" s="144"/>
      <c r="IA440" s="144"/>
      <c r="IB440" s="144"/>
      <c r="IC440" s="144"/>
      <c r="ID440" s="144"/>
      <c r="IE440" s="144"/>
      <c r="IF440" s="144"/>
      <c r="IG440" s="144"/>
      <c r="IH440" s="144"/>
      <c r="II440" s="144"/>
      <c r="IJ440" s="144"/>
      <c r="IK440" s="144"/>
      <c r="IL440" s="144"/>
      <c r="IM440" s="144"/>
    </row>
    <row r="441" spans="1:247" s="47" customFormat="1" ht="15">
      <c r="A441" s="37"/>
      <c r="B441" s="48" t="s">
        <v>145</v>
      </c>
      <c r="C441" s="48" t="s">
        <v>51</v>
      </c>
      <c r="D441" s="48">
        <v>0.08</v>
      </c>
      <c r="E441" s="109">
        <f>E436*D441</f>
        <v>0.64</v>
      </c>
      <c r="F441" s="171"/>
      <c r="G441" s="144"/>
      <c r="H441" s="144"/>
      <c r="I441" s="144"/>
      <c r="J441" s="144"/>
      <c r="K441" s="144"/>
      <c r="L441" s="144"/>
      <c r="M441" s="144"/>
      <c r="N441" s="144"/>
      <c r="O441" s="144"/>
      <c r="P441" s="144"/>
      <c r="Q441" s="144"/>
      <c r="R441" s="144"/>
      <c r="S441" s="144"/>
      <c r="T441" s="144"/>
      <c r="U441" s="144"/>
      <c r="V441" s="144"/>
      <c r="W441" s="144"/>
      <c r="X441" s="144"/>
      <c r="Y441" s="144"/>
      <c r="Z441" s="144"/>
      <c r="AA441" s="144"/>
      <c r="AB441" s="144"/>
      <c r="AC441" s="144"/>
      <c r="AD441" s="144"/>
      <c r="AE441" s="144"/>
      <c r="AF441" s="144"/>
      <c r="AG441" s="144"/>
      <c r="AH441" s="144"/>
      <c r="AI441" s="144"/>
      <c r="AJ441" s="144"/>
      <c r="AK441" s="144"/>
      <c r="AL441" s="144"/>
      <c r="AM441" s="144"/>
      <c r="AN441" s="144"/>
      <c r="AO441" s="144"/>
      <c r="AP441" s="144"/>
      <c r="AQ441" s="144"/>
      <c r="AR441" s="144"/>
      <c r="AS441" s="144"/>
      <c r="AT441" s="144"/>
      <c r="AU441" s="144"/>
      <c r="AV441" s="144"/>
      <c r="AW441" s="144"/>
      <c r="AX441" s="144"/>
      <c r="AY441" s="144"/>
      <c r="AZ441" s="144"/>
      <c r="BA441" s="144"/>
      <c r="BB441" s="144"/>
      <c r="BC441" s="144"/>
      <c r="BD441" s="144"/>
      <c r="BE441" s="144"/>
      <c r="BF441" s="144"/>
      <c r="BG441" s="144"/>
      <c r="BH441" s="144"/>
      <c r="BI441" s="144"/>
      <c r="BJ441" s="144"/>
      <c r="BK441" s="144"/>
      <c r="BL441" s="144"/>
      <c r="BM441" s="144"/>
      <c r="BN441" s="144"/>
      <c r="BO441" s="144"/>
      <c r="BP441" s="144"/>
      <c r="BQ441" s="144"/>
      <c r="BR441" s="144"/>
      <c r="BS441" s="144"/>
      <c r="BT441" s="144"/>
      <c r="BU441" s="144"/>
      <c r="BV441" s="144"/>
      <c r="BW441" s="144"/>
      <c r="BX441" s="144"/>
      <c r="BY441" s="144"/>
      <c r="BZ441" s="144"/>
      <c r="CA441" s="144"/>
      <c r="CB441" s="144"/>
      <c r="CC441" s="144"/>
      <c r="CD441" s="144"/>
      <c r="CE441" s="144"/>
      <c r="CF441" s="144"/>
      <c r="CG441" s="144"/>
      <c r="CH441" s="144"/>
      <c r="CI441" s="144"/>
      <c r="CJ441" s="144"/>
      <c r="CK441" s="144"/>
      <c r="CL441" s="144"/>
      <c r="CM441" s="144"/>
      <c r="CN441" s="144"/>
      <c r="CO441" s="144"/>
      <c r="CP441" s="144"/>
      <c r="CQ441" s="144"/>
      <c r="CR441" s="144"/>
      <c r="CS441" s="144"/>
      <c r="CT441" s="144"/>
      <c r="CU441" s="144"/>
      <c r="CV441" s="144"/>
      <c r="CW441" s="144"/>
      <c r="CX441" s="144"/>
      <c r="CY441" s="144"/>
      <c r="CZ441" s="144"/>
      <c r="DA441" s="144"/>
      <c r="DB441" s="144"/>
      <c r="DC441" s="144"/>
      <c r="DD441" s="144"/>
      <c r="DE441" s="144"/>
      <c r="DF441" s="144"/>
      <c r="DG441" s="144"/>
      <c r="DH441" s="144"/>
      <c r="DI441" s="144"/>
      <c r="DJ441" s="144"/>
      <c r="DK441" s="144"/>
      <c r="DL441" s="144"/>
      <c r="DM441" s="144"/>
      <c r="DN441" s="144"/>
      <c r="DO441" s="144"/>
      <c r="DP441" s="144"/>
      <c r="DQ441" s="144"/>
      <c r="DR441" s="144"/>
      <c r="DS441" s="144"/>
      <c r="DT441" s="144"/>
      <c r="DU441" s="144"/>
      <c r="DV441" s="144"/>
      <c r="DW441" s="144"/>
      <c r="DX441" s="144"/>
      <c r="DY441" s="144"/>
      <c r="DZ441" s="144"/>
      <c r="EA441" s="144"/>
      <c r="EB441" s="144"/>
      <c r="EC441" s="144"/>
      <c r="ED441" s="144"/>
      <c r="EE441" s="144"/>
      <c r="EF441" s="144"/>
      <c r="EG441" s="144"/>
      <c r="EH441" s="144"/>
      <c r="EI441" s="144"/>
      <c r="EJ441" s="144"/>
      <c r="EK441" s="144"/>
      <c r="EL441" s="144"/>
      <c r="EM441" s="144"/>
      <c r="EN441" s="144"/>
      <c r="EO441" s="144"/>
      <c r="EP441" s="144"/>
      <c r="EQ441" s="144"/>
      <c r="ER441" s="144"/>
      <c r="ES441" s="144"/>
      <c r="ET441" s="144"/>
      <c r="EU441" s="144"/>
      <c r="EV441" s="144"/>
      <c r="EW441" s="144"/>
      <c r="EX441" s="144"/>
      <c r="EY441" s="144"/>
      <c r="EZ441" s="144"/>
      <c r="FA441" s="144"/>
      <c r="FB441" s="144"/>
      <c r="FC441" s="144"/>
      <c r="FD441" s="144"/>
      <c r="FE441" s="144"/>
      <c r="FF441" s="144"/>
      <c r="FG441" s="144"/>
      <c r="FH441" s="144"/>
      <c r="FI441" s="144"/>
      <c r="FJ441" s="144"/>
      <c r="FK441" s="144"/>
      <c r="FL441" s="144"/>
      <c r="FM441" s="144"/>
      <c r="FN441" s="144"/>
      <c r="FO441" s="144"/>
      <c r="FP441" s="144"/>
      <c r="FQ441" s="144"/>
      <c r="FR441" s="144"/>
      <c r="FS441" s="144"/>
      <c r="FT441" s="144"/>
      <c r="FU441" s="144"/>
      <c r="FV441" s="144"/>
      <c r="FW441" s="144"/>
      <c r="FX441" s="144"/>
      <c r="FY441" s="144"/>
      <c r="FZ441" s="144"/>
      <c r="GA441" s="144"/>
      <c r="GB441" s="144"/>
      <c r="GC441" s="144"/>
      <c r="GD441" s="144"/>
      <c r="GE441" s="144"/>
      <c r="GF441" s="144"/>
      <c r="GG441" s="144"/>
      <c r="GH441" s="144"/>
      <c r="GI441" s="144"/>
      <c r="GJ441" s="144"/>
      <c r="GK441" s="144"/>
      <c r="GL441" s="144"/>
      <c r="GM441" s="144"/>
      <c r="GN441" s="144"/>
      <c r="GO441" s="144"/>
      <c r="GP441" s="144"/>
      <c r="GQ441" s="144"/>
      <c r="GR441" s="144"/>
      <c r="GS441" s="144"/>
      <c r="GT441" s="144"/>
      <c r="GU441" s="144"/>
      <c r="GV441" s="144"/>
      <c r="GW441" s="144"/>
      <c r="GX441" s="144"/>
      <c r="GY441" s="144"/>
      <c r="GZ441" s="144"/>
      <c r="HA441" s="144"/>
      <c r="HB441" s="144"/>
      <c r="HC441" s="144"/>
      <c r="HD441" s="144"/>
      <c r="HE441" s="144"/>
      <c r="HF441" s="144"/>
      <c r="HG441" s="144"/>
      <c r="HH441" s="144"/>
      <c r="HI441" s="144"/>
      <c r="HJ441" s="144"/>
      <c r="HK441" s="144"/>
      <c r="HL441" s="144"/>
      <c r="HM441" s="144"/>
      <c r="HN441" s="144"/>
      <c r="HO441" s="144"/>
      <c r="HP441" s="144"/>
      <c r="HQ441" s="144"/>
      <c r="HR441" s="144"/>
      <c r="HS441" s="144"/>
      <c r="HT441" s="144"/>
      <c r="HU441" s="144"/>
      <c r="HV441" s="144"/>
      <c r="HW441" s="144"/>
      <c r="HX441" s="144"/>
      <c r="HY441" s="144"/>
      <c r="HZ441" s="144"/>
      <c r="IA441" s="144"/>
      <c r="IB441" s="144"/>
      <c r="IC441" s="144"/>
      <c r="ID441" s="144"/>
      <c r="IE441" s="144"/>
      <c r="IF441" s="144"/>
      <c r="IG441" s="144"/>
      <c r="IH441" s="144"/>
      <c r="II441" s="144"/>
      <c r="IJ441" s="144"/>
      <c r="IK441" s="144"/>
      <c r="IL441" s="144"/>
      <c r="IM441" s="144"/>
    </row>
    <row r="442" spans="1:6" s="146" customFormat="1" ht="30">
      <c r="A442" s="174">
        <f>A436+1</f>
        <v>17</v>
      </c>
      <c r="B442" s="97" t="s">
        <v>161</v>
      </c>
      <c r="C442" s="48" t="s">
        <v>174</v>
      </c>
      <c r="D442" s="97"/>
      <c r="E442" s="41">
        <v>8</v>
      </c>
      <c r="F442" s="171"/>
    </row>
    <row r="443" spans="1:6" s="146" customFormat="1" ht="15">
      <c r="A443" s="37"/>
      <c r="B443" s="37" t="s">
        <v>149</v>
      </c>
      <c r="C443" s="37" t="s">
        <v>58</v>
      </c>
      <c r="D443" s="148">
        <v>0.031</v>
      </c>
      <c r="E443" s="41">
        <f>E442*D443</f>
        <v>0.248</v>
      </c>
      <c r="F443" s="171"/>
    </row>
    <row r="444" spans="1:6" s="146" customFormat="1" ht="15">
      <c r="A444" s="37"/>
      <c r="B444" s="37" t="s">
        <v>56</v>
      </c>
      <c r="C444" s="41" t="s">
        <v>51</v>
      </c>
      <c r="D444" s="148">
        <v>0.002</v>
      </c>
      <c r="E444" s="41">
        <f>E442*D444</f>
        <v>0.016</v>
      </c>
      <c r="F444" s="171"/>
    </row>
    <row r="445" spans="1:6" s="146" customFormat="1" ht="15">
      <c r="A445" s="37"/>
      <c r="B445" s="97" t="s">
        <v>153</v>
      </c>
      <c r="C445" s="97" t="s">
        <v>144</v>
      </c>
      <c r="D445" s="148">
        <v>0.086</v>
      </c>
      <c r="E445" s="41">
        <f>E442*D445</f>
        <v>0.688</v>
      </c>
      <c r="F445" s="171"/>
    </row>
    <row r="446" spans="1:6" s="146" customFormat="1" ht="15">
      <c r="A446" s="37"/>
      <c r="B446" s="97" t="s">
        <v>154</v>
      </c>
      <c r="C446" s="97" t="s">
        <v>144</v>
      </c>
      <c r="D446" s="148">
        <v>0.015</v>
      </c>
      <c r="E446" s="41">
        <f>E442*D446</f>
        <v>0.12</v>
      </c>
      <c r="F446" s="171"/>
    </row>
    <row r="447" spans="1:6" s="146" customFormat="1" ht="45">
      <c r="A447" s="174">
        <f>A442+1</f>
        <v>18</v>
      </c>
      <c r="B447" s="140" t="s">
        <v>239</v>
      </c>
      <c r="C447" s="48" t="s">
        <v>174</v>
      </c>
      <c r="D447" s="140"/>
      <c r="E447" s="175">
        <f>E442</f>
        <v>8</v>
      </c>
      <c r="F447" s="171"/>
    </row>
    <row r="448" spans="1:6" s="146" customFormat="1" ht="15">
      <c r="A448" s="97"/>
      <c r="B448" s="48" t="s">
        <v>139</v>
      </c>
      <c r="C448" s="48" t="s">
        <v>58</v>
      </c>
      <c r="D448" s="132">
        <v>0.68</v>
      </c>
      <c r="E448" s="149">
        <f>E447*D448</f>
        <v>5.44</v>
      </c>
      <c r="F448" s="171"/>
    </row>
    <row r="449" spans="1:6" s="146" customFormat="1" ht="15">
      <c r="A449" s="97"/>
      <c r="B449" s="48" t="s">
        <v>142</v>
      </c>
      <c r="C449" s="48" t="s">
        <v>51</v>
      </c>
      <c r="D449" s="132">
        <v>0.0003</v>
      </c>
      <c r="E449" s="149">
        <f>E447*D449</f>
        <v>0.0024</v>
      </c>
      <c r="F449" s="171"/>
    </row>
    <row r="450" spans="1:6" s="146" customFormat="1" ht="15">
      <c r="A450" s="97"/>
      <c r="B450" s="97" t="s">
        <v>146</v>
      </c>
      <c r="C450" s="132" t="s">
        <v>144</v>
      </c>
      <c r="D450" s="75">
        <v>0.251</v>
      </c>
      <c r="E450" s="149">
        <f>E447*D450</f>
        <v>2.008</v>
      </c>
      <c r="F450" s="171"/>
    </row>
    <row r="451" spans="1:6" s="146" customFormat="1" ht="15">
      <c r="A451" s="97"/>
      <c r="B451" s="132" t="s">
        <v>147</v>
      </c>
      <c r="C451" s="132" t="s">
        <v>144</v>
      </c>
      <c r="D451" s="132">
        <v>0.027</v>
      </c>
      <c r="E451" s="149">
        <f>E447*D451</f>
        <v>0.216</v>
      </c>
      <c r="F451" s="171"/>
    </row>
    <row r="452" spans="1:6" s="146" customFormat="1" ht="15">
      <c r="A452" s="97"/>
      <c r="B452" s="48" t="s">
        <v>145</v>
      </c>
      <c r="C452" s="48" t="s">
        <v>51</v>
      </c>
      <c r="D452" s="132">
        <v>0.0019</v>
      </c>
      <c r="E452" s="149">
        <f>E447*D452</f>
        <v>0.0152</v>
      </c>
      <c r="F452" s="171"/>
    </row>
    <row r="453" spans="1:247" s="45" customFormat="1" ht="30">
      <c r="A453" s="115">
        <f>A447+1</f>
        <v>19</v>
      </c>
      <c r="B453" s="180" t="s">
        <v>273</v>
      </c>
      <c r="C453" s="161" t="s">
        <v>155</v>
      </c>
      <c r="D453" s="114"/>
      <c r="E453" s="162">
        <v>2</v>
      </c>
      <c r="F453" s="171"/>
      <c r="G453" s="77"/>
      <c r="H453" s="77"/>
      <c r="I453" s="77"/>
      <c r="J453" s="77"/>
      <c r="K453" s="77"/>
      <c r="L453" s="77"/>
      <c r="M453" s="77"/>
      <c r="N453" s="77"/>
      <c r="O453" s="77"/>
      <c r="P453" s="77"/>
      <c r="Q453" s="77"/>
      <c r="R453" s="77"/>
      <c r="S453" s="77"/>
      <c r="T453" s="77"/>
      <c r="U453" s="77"/>
      <c r="V453" s="77"/>
      <c r="W453" s="77"/>
      <c r="X453" s="77"/>
      <c r="Y453" s="77"/>
      <c r="Z453" s="77"/>
      <c r="AA453" s="77"/>
      <c r="AB453" s="77"/>
      <c r="AC453" s="77"/>
      <c r="AD453" s="77"/>
      <c r="AE453" s="77"/>
      <c r="AF453" s="77"/>
      <c r="AG453" s="77"/>
      <c r="AH453" s="77"/>
      <c r="AI453" s="77"/>
      <c r="AJ453" s="77"/>
      <c r="AK453" s="77"/>
      <c r="AL453" s="77"/>
      <c r="AM453" s="77"/>
      <c r="AN453" s="77"/>
      <c r="AO453" s="77"/>
      <c r="AP453" s="77"/>
      <c r="AQ453" s="77"/>
      <c r="AR453" s="77"/>
      <c r="AS453" s="77"/>
      <c r="AT453" s="77"/>
      <c r="AU453" s="77"/>
      <c r="AV453" s="77"/>
      <c r="AW453" s="77"/>
      <c r="AX453" s="77"/>
      <c r="AY453" s="77"/>
      <c r="AZ453" s="77"/>
      <c r="BA453" s="77"/>
      <c r="BB453" s="77"/>
      <c r="BC453" s="77"/>
      <c r="BD453" s="77"/>
      <c r="BE453" s="77"/>
      <c r="BF453" s="77"/>
      <c r="BG453" s="77"/>
      <c r="BH453" s="77"/>
      <c r="BI453" s="77"/>
      <c r="BJ453" s="77"/>
      <c r="BK453" s="77"/>
      <c r="BL453" s="77"/>
      <c r="BM453" s="77"/>
      <c r="BN453" s="77"/>
      <c r="BO453" s="77"/>
      <c r="BP453" s="77"/>
      <c r="BQ453" s="77"/>
      <c r="BR453" s="77"/>
      <c r="BS453" s="77"/>
      <c r="BT453" s="77"/>
      <c r="BU453" s="77"/>
      <c r="BV453" s="77"/>
      <c r="BW453" s="77"/>
      <c r="BX453" s="77"/>
      <c r="BY453" s="77"/>
      <c r="BZ453" s="77"/>
      <c r="CA453" s="77"/>
      <c r="CB453" s="77"/>
      <c r="CC453" s="77"/>
      <c r="CD453" s="77"/>
      <c r="CE453" s="77"/>
      <c r="CF453" s="77"/>
      <c r="CG453" s="77"/>
      <c r="CH453" s="77"/>
      <c r="CI453" s="77"/>
      <c r="CJ453" s="77"/>
      <c r="CK453" s="77"/>
      <c r="CL453" s="77"/>
      <c r="CM453" s="77"/>
      <c r="CN453" s="77"/>
      <c r="CO453" s="77"/>
      <c r="CP453" s="77"/>
      <c r="CQ453" s="77"/>
      <c r="CR453" s="77"/>
      <c r="CS453" s="77"/>
      <c r="CT453" s="77"/>
      <c r="CU453" s="77"/>
      <c r="CV453" s="77"/>
      <c r="CW453" s="77"/>
      <c r="CX453" s="77"/>
      <c r="CY453" s="77"/>
      <c r="CZ453" s="77"/>
      <c r="DA453" s="77"/>
      <c r="DB453" s="77"/>
      <c r="DC453" s="77"/>
      <c r="DD453" s="77"/>
      <c r="DE453" s="77"/>
      <c r="DF453" s="77"/>
      <c r="DG453" s="77"/>
      <c r="DH453" s="77"/>
      <c r="DI453" s="77"/>
      <c r="DJ453" s="77"/>
      <c r="DK453" s="77"/>
      <c r="DL453" s="77"/>
      <c r="DM453" s="77"/>
      <c r="DN453" s="77"/>
      <c r="DO453" s="77"/>
      <c r="DP453" s="77"/>
      <c r="DQ453" s="77"/>
      <c r="DR453" s="77"/>
      <c r="DS453" s="77"/>
      <c r="DT453" s="77"/>
      <c r="DU453" s="77"/>
      <c r="DV453" s="77"/>
      <c r="DW453" s="77"/>
      <c r="DX453" s="77"/>
      <c r="DY453" s="77"/>
      <c r="DZ453" s="77"/>
      <c r="EA453" s="77"/>
      <c r="EB453" s="77"/>
      <c r="EC453" s="77"/>
      <c r="ED453" s="77"/>
      <c r="EE453" s="77"/>
      <c r="EF453" s="77"/>
      <c r="EG453" s="77"/>
      <c r="EH453" s="77"/>
      <c r="EI453" s="77"/>
      <c r="EJ453" s="77"/>
      <c r="EK453" s="77"/>
      <c r="EL453" s="77"/>
      <c r="EM453" s="77"/>
      <c r="EN453" s="77"/>
      <c r="EO453" s="77"/>
      <c r="EP453" s="77"/>
      <c r="EQ453" s="77"/>
      <c r="ER453" s="77"/>
      <c r="ES453" s="77"/>
      <c r="ET453" s="77"/>
      <c r="EU453" s="77"/>
      <c r="EV453" s="77"/>
      <c r="EW453" s="77"/>
      <c r="EX453" s="77"/>
      <c r="EY453" s="77"/>
      <c r="EZ453" s="77"/>
      <c r="FA453" s="77"/>
      <c r="FB453" s="77"/>
      <c r="FC453" s="77"/>
      <c r="FD453" s="77"/>
      <c r="FE453" s="77"/>
      <c r="FF453" s="77"/>
      <c r="FG453" s="77"/>
      <c r="FH453" s="77"/>
      <c r="FI453" s="77"/>
      <c r="FJ453" s="77"/>
      <c r="FK453" s="77"/>
      <c r="FL453" s="77"/>
      <c r="FM453" s="77"/>
      <c r="FN453" s="77"/>
      <c r="FO453" s="77"/>
      <c r="FP453" s="77"/>
      <c r="FQ453" s="77"/>
      <c r="FR453" s="77"/>
      <c r="FS453" s="77"/>
      <c r="FT453" s="77"/>
      <c r="FU453" s="77"/>
      <c r="FV453" s="77"/>
      <c r="FW453" s="77"/>
      <c r="FX453" s="77"/>
      <c r="FY453" s="77"/>
      <c r="FZ453" s="77"/>
      <c r="GA453" s="77"/>
      <c r="GB453" s="77"/>
      <c r="GC453" s="77"/>
      <c r="GD453" s="77"/>
      <c r="GE453" s="77"/>
      <c r="GF453" s="77"/>
      <c r="GG453" s="77"/>
      <c r="GH453" s="77"/>
      <c r="GI453" s="77"/>
      <c r="GJ453" s="77"/>
      <c r="GK453" s="77"/>
      <c r="GL453" s="77"/>
      <c r="GM453" s="77"/>
      <c r="GN453" s="77"/>
      <c r="GO453" s="77"/>
      <c r="GP453" s="77"/>
      <c r="GQ453" s="77"/>
      <c r="GR453" s="77"/>
      <c r="GS453" s="77"/>
      <c r="GT453" s="77"/>
      <c r="GU453" s="77"/>
      <c r="GV453" s="77"/>
      <c r="GW453" s="77"/>
      <c r="GX453" s="77"/>
      <c r="GY453" s="77"/>
      <c r="GZ453" s="77"/>
      <c r="HA453" s="77"/>
      <c r="HB453" s="77"/>
      <c r="HC453" s="77"/>
      <c r="HD453" s="77"/>
      <c r="HE453" s="77"/>
      <c r="HF453" s="77"/>
      <c r="HG453" s="77"/>
      <c r="HH453" s="77"/>
      <c r="HI453" s="77"/>
      <c r="HJ453" s="77"/>
      <c r="HK453" s="77"/>
      <c r="HL453" s="77"/>
      <c r="HM453" s="77"/>
      <c r="HN453" s="77"/>
      <c r="HO453" s="77"/>
      <c r="HP453" s="77"/>
      <c r="HQ453" s="77"/>
      <c r="HR453" s="77"/>
      <c r="HS453" s="77"/>
      <c r="HT453" s="77"/>
      <c r="HU453" s="77"/>
      <c r="HV453" s="77"/>
      <c r="HW453" s="77"/>
      <c r="HX453" s="77"/>
      <c r="HY453" s="77"/>
      <c r="HZ453" s="77"/>
      <c r="IA453" s="77"/>
      <c r="IB453" s="77"/>
      <c r="IC453" s="77"/>
      <c r="ID453" s="77"/>
      <c r="IE453" s="77"/>
      <c r="IF453" s="77"/>
      <c r="IG453" s="77"/>
      <c r="IH453" s="77"/>
      <c r="II453" s="77"/>
      <c r="IJ453" s="77"/>
      <c r="IK453" s="77"/>
      <c r="IL453" s="77"/>
      <c r="IM453" s="77"/>
    </row>
    <row r="454" spans="1:247" s="45" customFormat="1" ht="15">
      <c r="A454" s="193"/>
      <c r="B454" s="158" t="s">
        <v>137</v>
      </c>
      <c r="C454" s="158" t="s">
        <v>58</v>
      </c>
      <c r="D454" s="161">
        <v>1.23</v>
      </c>
      <c r="E454" s="162">
        <f>E453*D454</f>
        <v>2.46</v>
      </c>
      <c r="F454" s="171"/>
      <c r="G454" s="77"/>
      <c r="H454" s="77"/>
      <c r="I454" s="77"/>
      <c r="J454" s="77"/>
      <c r="K454" s="77"/>
      <c r="L454" s="77"/>
      <c r="M454" s="77"/>
      <c r="N454" s="77"/>
      <c r="O454" s="77"/>
      <c r="P454" s="77"/>
      <c r="Q454" s="77"/>
      <c r="R454" s="77"/>
      <c r="S454" s="77"/>
      <c r="T454" s="77"/>
      <c r="U454" s="77"/>
      <c r="V454" s="77"/>
      <c r="W454" s="77"/>
      <c r="X454" s="77"/>
      <c r="Y454" s="77"/>
      <c r="Z454" s="77"/>
      <c r="AA454" s="77"/>
      <c r="AB454" s="77"/>
      <c r="AC454" s="77"/>
      <c r="AD454" s="77"/>
      <c r="AE454" s="77"/>
      <c r="AF454" s="77"/>
      <c r="AG454" s="77"/>
      <c r="AH454" s="77"/>
      <c r="AI454" s="77"/>
      <c r="AJ454" s="77"/>
      <c r="AK454" s="77"/>
      <c r="AL454" s="77"/>
      <c r="AM454" s="77"/>
      <c r="AN454" s="77"/>
      <c r="AO454" s="77"/>
      <c r="AP454" s="77"/>
      <c r="AQ454" s="77"/>
      <c r="AR454" s="77"/>
      <c r="AS454" s="77"/>
      <c r="AT454" s="77"/>
      <c r="AU454" s="77"/>
      <c r="AV454" s="77"/>
      <c r="AW454" s="77"/>
      <c r="AX454" s="77"/>
      <c r="AY454" s="77"/>
      <c r="AZ454" s="77"/>
      <c r="BA454" s="77"/>
      <c r="BB454" s="77"/>
      <c r="BC454" s="77"/>
      <c r="BD454" s="77"/>
      <c r="BE454" s="77"/>
      <c r="BF454" s="77"/>
      <c r="BG454" s="77"/>
      <c r="BH454" s="77"/>
      <c r="BI454" s="77"/>
      <c r="BJ454" s="77"/>
      <c r="BK454" s="77"/>
      <c r="BL454" s="77"/>
      <c r="BM454" s="77"/>
      <c r="BN454" s="77"/>
      <c r="BO454" s="77"/>
      <c r="BP454" s="77"/>
      <c r="BQ454" s="77"/>
      <c r="BR454" s="77"/>
      <c r="BS454" s="77"/>
      <c r="BT454" s="77"/>
      <c r="BU454" s="77"/>
      <c r="BV454" s="77"/>
      <c r="BW454" s="77"/>
      <c r="BX454" s="77"/>
      <c r="BY454" s="77"/>
      <c r="BZ454" s="77"/>
      <c r="CA454" s="77"/>
      <c r="CB454" s="77"/>
      <c r="CC454" s="77"/>
      <c r="CD454" s="77"/>
      <c r="CE454" s="77"/>
      <c r="CF454" s="77"/>
      <c r="CG454" s="77"/>
      <c r="CH454" s="77"/>
      <c r="CI454" s="77"/>
      <c r="CJ454" s="77"/>
      <c r="CK454" s="77"/>
      <c r="CL454" s="77"/>
      <c r="CM454" s="77"/>
      <c r="CN454" s="77"/>
      <c r="CO454" s="77"/>
      <c r="CP454" s="77"/>
      <c r="CQ454" s="77"/>
      <c r="CR454" s="77"/>
      <c r="CS454" s="77"/>
      <c r="CT454" s="77"/>
      <c r="CU454" s="77"/>
      <c r="CV454" s="77"/>
      <c r="CW454" s="77"/>
      <c r="CX454" s="77"/>
      <c r="CY454" s="77"/>
      <c r="CZ454" s="77"/>
      <c r="DA454" s="77"/>
      <c r="DB454" s="77"/>
      <c r="DC454" s="77"/>
      <c r="DD454" s="77"/>
      <c r="DE454" s="77"/>
      <c r="DF454" s="77"/>
      <c r="DG454" s="77"/>
      <c r="DH454" s="77"/>
      <c r="DI454" s="77"/>
      <c r="DJ454" s="77"/>
      <c r="DK454" s="77"/>
      <c r="DL454" s="77"/>
      <c r="DM454" s="77"/>
      <c r="DN454" s="77"/>
      <c r="DO454" s="77"/>
      <c r="DP454" s="77"/>
      <c r="DQ454" s="77"/>
      <c r="DR454" s="77"/>
      <c r="DS454" s="77"/>
      <c r="DT454" s="77"/>
      <c r="DU454" s="77"/>
      <c r="DV454" s="77"/>
      <c r="DW454" s="77"/>
      <c r="DX454" s="77"/>
      <c r="DY454" s="77"/>
      <c r="DZ454" s="77"/>
      <c r="EA454" s="77"/>
      <c r="EB454" s="77"/>
      <c r="EC454" s="77"/>
      <c r="ED454" s="77"/>
      <c r="EE454" s="77"/>
      <c r="EF454" s="77"/>
      <c r="EG454" s="77"/>
      <c r="EH454" s="77"/>
      <c r="EI454" s="77"/>
      <c r="EJ454" s="77"/>
      <c r="EK454" s="77"/>
      <c r="EL454" s="77"/>
      <c r="EM454" s="77"/>
      <c r="EN454" s="77"/>
      <c r="EO454" s="77"/>
      <c r="EP454" s="77"/>
      <c r="EQ454" s="77"/>
      <c r="ER454" s="77"/>
      <c r="ES454" s="77"/>
      <c r="ET454" s="77"/>
      <c r="EU454" s="77"/>
      <c r="EV454" s="77"/>
      <c r="EW454" s="77"/>
      <c r="EX454" s="77"/>
      <c r="EY454" s="77"/>
      <c r="EZ454" s="77"/>
      <c r="FA454" s="77"/>
      <c r="FB454" s="77"/>
      <c r="FC454" s="77"/>
      <c r="FD454" s="77"/>
      <c r="FE454" s="77"/>
      <c r="FF454" s="77"/>
      <c r="FG454" s="77"/>
      <c r="FH454" s="77"/>
      <c r="FI454" s="77"/>
      <c r="FJ454" s="77"/>
      <c r="FK454" s="77"/>
      <c r="FL454" s="77"/>
      <c r="FM454" s="77"/>
      <c r="FN454" s="77"/>
      <c r="FO454" s="77"/>
      <c r="FP454" s="77"/>
      <c r="FQ454" s="77"/>
      <c r="FR454" s="77"/>
      <c r="FS454" s="77"/>
      <c r="FT454" s="77"/>
      <c r="FU454" s="77"/>
      <c r="FV454" s="77"/>
      <c r="FW454" s="77"/>
      <c r="FX454" s="77"/>
      <c r="FY454" s="77"/>
      <c r="FZ454" s="77"/>
      <c r="GA454" s="77"/>
      <c r="GB454" s="77"/>
      <c r="GC454" s="77"/>
      <c r="GD454" s="77"/>
      <c r="GE454" s="77"/>
      <c r="GF454" s="77"/>
      <c r="GG454" s="77"/>
      <c r="GH454" s="77"/>
      <c r="GI454" s="77"/>
      <c r="GJ454" s="77"/>
      <c r="GK454" s="77"/>
      <c r="GL454" s="77"/>
      <c r="GM454" s="77"/>
      <c r="GN454" s="77"/>
      <c r="GO454" s="77"/>
      <c r="GP454" s="77"/>
      <c r="GQ454" s="77"/>
      <c r="GR454" s="77"/>
      <c r="GS454" s="77"/>
      <c r="GT454" s="77"/>
      <c r="GU454" s="77"/>
      <c r="GV454" s="77"/>
      <c r="GW454" s="77"/>
      <c r="GX454" s="77"/>
      <c r="GY454" s="77"/>
      <c r="GZ454" s="77"/>
      <c r="HA454" s="77"/>
      <c r="HB454" s="77"/>
      <c r="HC454" s="77"/>
      <c r="HD454" s="77"/>
      <c r="HE454" s="77"/>
      <c r="HF454" s="77"/>
      <c r="HG454" s="77"/>
      <c r="HH454" s="77"/>
      <c r="HI454" s="77"/>
      <c r="HJ454" s="77"/>
      <c r="HK454" s="77"/>
      <c r="HL454" s="77"/>
      <c r="HM454" s="77"/>
      <c r="HN454" s="77"/>
      <c r="HO454" s="77"/>
      <c r="HP454" s="77"/>
      <c r="HQ454" s="77"/>
      <c r="HR454" s="77"/>
      <c r="HS454" s="77"/>
      <c r="HT454" s="77"/>
      <c r="HU454" s="77"/>
      <c r="HV454" s="77"/>
      <c r="HW454" s="77"/>
      <c r="HX454" s="77"/>
      <c r="HY454" s="77"/>
      <c r="HZ454" s="77"/>
      <c r="IA454" s="77"/>
      <c r="IB454" s="77"/>
      <c r="IC454" s="77"/>
      <c r="ID454" s="77"/>
      <c r="IE454" s="77"/>
      <c r="IF454" s="77"/>
      <c r="IG454" s="77"/>
      <c r="IH454" s="77"/>
      <c r="II454" s="77"/>
      <c r="IJ454" s="77"/>
      <c r="IK454" s="77"/>
      <c r="IL454" s="77"/>
      <c r="IM454" s="77"/>
    </row>
    <row r="455" spans="1:247" s="45" customFormat="1" ht="15">
      <c r="A455" s="193"/>
      <c r="B455" s="158" t="s">
        <v>148</v>
      </c>
      <c r="C455" s="158" t="s">
        <v>51</v>
      </c>
      <c r="D455" s="114">
        <v>0.03</v>
      </c>
      <c r="E455" s="162">
        <f>E453*D455</f>
        <v>0.06</v>
      </c>
      <c r="F455" s="171"/>
      <c r="G455" s="77"/>
      <c r="H455" s="77"/>
      <c r="I455" s="77"/>
      <c r="J455" s="77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77"/>
      <c r="Y455" s="77"/>
      <c r="Z455" s="77"/>
      <c r="AA455" s="77"/>
      <c r="AB455" s="77"/>
      <c r="AC455" s="77"/>
      <c r="AD455" s="77"/>
      <c r="AE455" s="77"/>
      <c r="AF455" s="77"/>
      <c r="AG455" s="77"/>
      <c r="AH455" s="77"/>
      <c r="AI455" s="77"/>
      <c r="AJ455" s="77"/>
      <c r="AK455" s="77"/>
      <c r="AL455" s="77"/>
      <c r="AM455" s="77"/>
      <c r="AN455" s="77"/>
      <c r="AO455" s="77"/>
      <c r="AP455" s="77"/>
      <c r="AQ455" s="77"/>
      <c r="AR455" s="77"/>
      <c r="AS455" s="77"/>
      <c r="AT455" s="77"/>
      <c r="AU455" s="77"/>
      <c r="AV455" s="77"/>
      <c r="AW455" s="77"/>
      <c r="AX455" s="77"/>
      <c r="AY455" s="77"/>
      <c r="AZ455" s="77"/>
      <c r="BA455" s="77"/>
      <c r="BB455" s="77"/>
      <c r="BC455" s="77"/>
      <c r="BD455" s="77"/>
      <c r="BE455" s="77"/>
      <c r="BF455" s="77"/>
      <c r="BG455" s="77"/>
      <c r="BH455" s="77"/>
      <c r="BI455" s="77"/>
      <c r="BJ455" s="77"/>
      <c r="BK455" s="77"/>
      <c r="BL455" s="77"/>
      <c r="BM455" s="77"/>
      <c r="BN455" s="77"/>
      <c r="BO455" s="77"/>
      <c r="BP455" s="77"/>
      <c r="BQ455" s="77"/>
      <c r="BR455" s="77"/>
      <c r="BS455" s="77"/>
      <c r="BT455" s="77"/>
      <c r="BU455" s="77"/>
      <c r="BV455" s="77"/>
      <c r="BW455" s="77"/>
      <c r="BX455" s="77"/>
      <c r="BY455" s="77"/>
      <c r="BZ455" s="77"/>
      <c r="CA455" s="77"/>
      <c r="CB455" s="77"/>
      <c r="CC455" s="77"/>
      <c r="CD455" s="77"/>
      <c r="CE455" s="77"/>
      <c r="CF455" s="77"/>
      <c r="CG455" s="77"/>
      <c r="CH455" s="77"/>
      <c r="CI455" s="77"/>
      <c r="CJ455" s="77"/>
      <c r="CK455" s="77"/>
      <c r="CL455" s="77"/>
      <c r="CM455" s="77"/>
      <c r="CN455" s="77"/>
      <c r="CO455" s="77"/>
      <c r="CP455" s="77"/>
      <c r="CQ455" s="77"/>
      <c r="CR455" s="77"/>
      <c r="CS455" s="77"/>
      <c r="CT455" s="77"/>
      <c r="CU455" s="77"/>
      <c r="CV455" s="77"/>
      <c r="CW455" s="77"/>
      <c r="CX455" s="77"/>
      <c r="CY455" s="77"/>
      <c r="CZ455" s="77"/>
      <c r="DA455" s="77"/>
      <c r="DB455" s="77"/>
      <c r="DC455" s="77"/>
      <c r="DD455" s="77"/>
      <c r="DE455" s="77"/>
      <c r="DF455" s="77"/>
      <c r="DG455" s="77"/>
      <c r="DH455" s="77"/>
      <c r="DI455" s="77"/>
      <c r="DJ455" s="77"/>
      <c r="DK455" s="77"/>
      <c r="DL455" s="77"/>
      <c r="DM455" s="77"/>
      <c r="DN455" s="77"/>
      <c r="DO455" s="77"/>
      <c r="DP455" s="77"/>
      <c r="DQ455" s="77"/>
      <c r="DR455" s="77"/>
      <c r="DS455" s="77"/>
      <c r="DT455" s="77"/>
      <c r="DU455" s="77"/>
      <c r="DV455" s="77"/>
      <c r="DW455" s="77"/>
      <c r="DX455" s="77"/>
      <c r="DY455" s="77"/>
      <c r="DZ455" s="77"/>
      <c r="EA455" s="77"/>
      <c r="EB455" s="77"/>
      <c r="EC455" s="77"/>
      <c r="ED455" s="77"/>
      <c r="EE455" s="77"/>
      <c r="EF455" s="77"/>
      <c r="EG455" s="77"/>
      <c r="EH455" s="77"/>
      <c r="EI455" s="77"/>
      <c r="EJ455" s="77"/>
      <c r="EK455" s="77"/>
      <c r="EL455" s="77"/>
      <c r="EM455" s="77"/>
      <c r="EN455" s="77"/>
      <c r="EO455" s="77"/>
      <c r="EP455" s="77"/>
      <c r="EQ455" s="77"/>
      <c r="ER455" s="77"/>
      <c r="ES455" s="77"/>
      <c r="ET455" s="77"/>
      <c r="EU455" s="77"/>
      <c r="EV455" s="77"/>
      <c r="EW455" s="77"/>
      <c r="EX455" s="77"/>
      <c r="EY455" s="77"/>
      <c r="EZ455" s="77"/>
      <c r="FA455" s="77"/>
      <c r="FB455" s="77"/>
      <c r="FC455" s="77"/>
      <c r="FD455" s="77"/>
      <c r="FE455" s="77"/>
      <c r="FF455" s="77"/>
      <c r="FG455" s="77"/>
      <c r="FH455" s="77"/>
      <c r="FI455" s="77"/>
      <c r="FJ455" s="77"/>
      <c r="FK455" s="77"/>
      <c r="FL455" s="77"/>
      <c r="FM455" s="77"/>
      <c r="FN455" s="77"/>
      <c r="FO455" s="77"/>
      <c r="FP455" s="77"/>
      <c r="FQ455" s="77"/>
      <c r="FR455" s="77"/>
      <c r="FS455" s="77"/>
      <c r="FT455" s="77"/>
      <c r="FU455" s="77"/>
      <c r="FV455" s="77"/>
      <c r="FW455" s="77"/>
      <c r="FX455" s="77"/>
      <c r="FY455" s="77"/>
      <c r="FZ455" s="77"/>
      <c r="GA455" s="77"/>
      <c r="GB455" s="77"/>
      <c r="GC455" s="77"/>
      <c r="GD455" s="77"/>
      <c r="GE455" s="77"/>
      <c r="GF455" s="77"/>
      <c r="GG455" s="77"/>
      <c r="GH455" s="77"/>
      <c r="GI455" s="77"/>
      <c r="GJ455" s="77"/>
      <c r="GK455" s="77"/>
      <c r="GL455" s="77"/>
      <c r="GM455" s="77"/>
      <c r="GN455" s="77"/>
      <c r="GO455" s="77"/>
      <c r="GP455" s="77"/>
      <c r="GQ455" s="77"/>
      <c r="GR455" s="77"/>
      <c r="GS455" s="77"/>
      <c r="GT455" s="77"/>
      <c r="GU455" s="77"/>
      <c r="GV455" s="77"/>
      <c r="GW455" s="77"/>
      <c r="GX455" s="77"/>
      <c r="GY455" s="77"/>
      <c r="GZ455" s="77"/>
      <c r="HA455" s="77"/>
      <c r="HB455" s="77"/>
      <c r="HC455" s="77"/>
      <c r="HD455" s="77"/>
      <c r="HE455" s="77"/>
      <c r="HF455" s="77"/>
      <c r="HG455" s="77"/>
      <c r="HH455" s="77"/>
      <c r="HI455" s="77"/>
      <c r="HJ455" s="77"/>
      <c r="HK455" s="77"/>
      <c r="HL455" s="77"/>
      <c r="HM455" s="77"/>
      <c r="HN455" s="77"/>
      <c r="HO455" s="77"/>
      <c r="HP455" s="77"/>
      <c r="HQ455" s="77"/>
      <c r="HR455" s="77"/>
      <c r="HS455" s="77"/>
      <c r="HT455" s="77"/>
      <c r="HU455" s="77"/>
      <c r="HV455" s="77"/>
      <c r="HW455" s="77"/>
      <c r="HX455" s="77"/>
      <c r="HY455" s="77"/>
      <c r="HZ455" s="77"/>
      <c r="IA455" s="77"/>
      <c r="IB455" s="77"/>
      <c r="IC455" s="77"/>
      <c r="ID455" s="77"/>
      <c r="IE455" s="77"/>
      <c r="IF455" s="77"/>
      <c r="IG455" s="77"/>
      <c r="IH455" s="77"/>
      <c r="II455" s="77"/>
      <c r="IJ455" s="77"/>
      <c r="IK455" s="77"/>
      <c r="IL455" s="77"/>
      <c r="IM455" s="77"/>
    </row>
    <row r="456" spans="1:247" s="45" customFormat="1" ht="30">
      <c r="A456" s="158"/>
      <c r="B456" s="158" t="s">
        <v>377</v>
      </c>
      <c r="C456" s="158" t="s">
        <v>204</v>
      </c>
      <c r="D456" s="159" t="s">
        <v>140</v>
      </c>
      <c r="E456" s="163">
        <v>1</v>
      </c>
      <c r="F456" s="171"/>
      <c r="G456" s="77"/>
      <c r="H456" s="77"/>
      <c r="I456" s="77"/>
      <c r="J456" s="77"/>
      <c r="K456" s="77"/>
      <c r="L456" s="77"/>
      <c r="M456" s="77"/>
      <c r="N456" s="77"/>
      <c r="O456" s="77"/>
      <c r="P456" s="77"/>
      <c r="Q456" s="77"/>
      <c r="R456" s="77"/>
      <c r="S456" s="77"/>
      <c r="T456" s="77"/>
      <c r="U456" s="77"/>
      <c r="V456" s="77"/>
      <c r="W456" s="77"/>
      <c r="X456" s="77"/>
      <c r="Y456" s="77"/>
      <c r="Z456" s="77"/>
      <c r="AA456" s="77"/>
      <c r="AB456" s="77"/>
      <c r="AC456" s="77"/>
      <c r="AD456" s="77"/>
      <c r="AE456" s="77"/>
      <c r="AF456" s="77"/>
      <c r="AG456" s="77"/>
      <c r="AH456" s="77"/>
      <c r="AI456" s="77"/>
      <c r="AJ456" s="77"/>
      <c r="AK456" s="77"/>
      <c r="AL456" s="77"/>
      <c r="AM456" s="77"/>
      <c r="AN456" s="77"/>
      <c r="AO456" s="77"/>
      <c r="AP456" s="77"/>
      <c r="AQ456" s="77"/>
      <c r="AR456" s="77"/>
      <c r="AS456" s="77"/>
      <c r="AT456" s="77"/>
      <c r="AU456" s="77"/>
      <c r="AV456" s="77"/>
      <c r="AW456" s="77"/>
      <c r="AX456" s="77"/>
      <c r="AY456" s="77"/>
      <c r="AZ456" s="77"/>
      <c r="BA456" s="77"/>
      <c r="BB456" s="77"/>
      <c r="BC456" s="77"/>
      <c r="BD456" s="77"/>
      <c r="BE456" s="77"/>
      <c r="BF456" s="77"/>
      <c r="BG456" s="77"/>
      <c r="BH456" s="77"/>
      <c r="BI456" s="77"/>
      <c r="BJ456" s="77"/>
      <c r="BK456" s="77"/>
      <c r="BL456" s="77"/>
      <c r="BM456" s="77"/>
      <c r="BN456" s="77"/>
      <c r="BO456" s="77"/>
      <c r="BP456" s="77"/>
      <c r="BQ456" s="77"/>
      <c r="BR456" s="77"/>
      <c r="BS456" s="77"/>
      <c r="BT456" s="77"/>
      <c r="BU456" s="77"/>
      <c r="BV456" s="77"/>
      <c r="BW456" s="77"/>
      <c r="BX456" s="77"/>
      <c r="BY456" s="77"/>
      <c r="BZ456" s="77"/>
      <c r="CA456" s="77"/>
      <c r="CB456" s="77"/>
      <c r="CC456" s="77"/>
      <c r="CD456" s="77"/>
      <c r="CE456" s="77"/>
      <c r="CF456" s="77"/>
      <c r="CG456" s="77"/>
      <c r="CH456" s="77"/>
      <c r="CI456" s="77"/>
      <c r="CJ456" s="77"/>
      <c r="CK456" s="77"/>
      <c r="CL456" s="77"/>
      <c r="CM456" s="77"/>
      <c r="CN456" s="77"/>
      <c r="CO456" s="77"/>
      <c r="CP456" s="77"/>
      <c r="CQ456" s="77"/>
      <c r="CR456" s="77"/>
      <c r="CS456" s="77"/>
      <c r="CT456" s="77"/>
      <c r="CU456" s="77"/>
      <c r="CV456" s="77"/>
      <c r="CW456" s="77"/>
      <c r="CX456" s="77"/>
      <c r="CY456" s="77"/>
      <c r="CZ456" s="77"/>
      <c r="DA456" s="77"/>
      <c r="DB456" s="77"/>
      <c r="DC456" s="77"/>
      <c r="DD456" s="77"/>
      <c r="DE456" s="77"/>
      <c r="DF456" s="77"/>
      <c r="DG456" s="77"/>
      <c r="DH456" s="77"/>
      <c r="DI456" s="77"/>
      <c r="DJ456" s="77"/>
      <c r="DK456" s="77"/>
      <c r="DL456" s="77"/>
      <c r="DM456" s="77"/>
      <c r="DN456" s="77"/>
      <c r="DO456" s="77"/>
      <c r="DP456" s="77"/>
      <c r="DQ456" s="77"/>
      <c r="DR456" s="77"/>
      <c r="DS456" s="77"/>
      <c r="DT456" s="77"/>
      <c r="DU456" s="77"/>
      <c r="DV456" s="77"/>
      <c r="DW456" s="77"/>
      <c r="DX456" s="77"/>
      <c r="DY456" s="77"/>
      <c r="DZ456" s="77"/>
      <c r="EA456" s="77"/>
      <c r="EB456" s="77"/>
      <c r="EC456" s="77"/>
      <c r="ED456" s="77"/>
      <c r="EE456" s="77"/>
      <c r="EF456" s="77"/>
      <c r="EG456" s="77"/>
      <c r="EH456" s="77"/>
      <c r="EI456" s="77"/>
      <c r="EJ456" s="77"/>
      <c r="EK456" s="77"/>
      <c r="EL456" s="77"/>
      <c r="EM456" s="77"/>
      <c r="EN456" s="77"/>
      <c r="EO456" s="77"/>
      <c r="EP456" s="77"/>
      <c r="EQ456" s="77"/>
      <c r="ER456" s="77"/>
      <c r="ES456" s="77"/>
      <c r="ET456" s="77"/>
      <c r="EU456" s="77"/>
      <c r="EV456" s="77"/>
      <c r="EW456" s="77"/>
      <c r="EX456" s="77"/>
      <c r="EY456" s="77"/>
      <c r="EZ456" s="77"/>
      <c r="FA456" s="77"/>
      <c r="FB456" s="77"/>
      <c r="FC456" s="77"/>
      <c r="FD456" s="77"/>
      <c r="FE456" s="77"/>
      <c r="FF456" s="77"/>
      <c r="FG456" s="77"/>
      <c r="FH456" s="77"/>
      <c r="FI456" s="77"/>
      <c r="FJ456" s="77"/>
      <c r="FK456" s="77"/>
      <c r="FL456" s="77"/>
      <c r="FM456" s="77"/>
      <c r="FN456" s="77"/>
      <c r="FO456" s="77"/>
      <c r="FP456" s="77"/>
      <c r="FQ456" s="77"/>
      <c r="FR456" s="77"/>
      <c r="FS456" s="77"/>
      <c r="FT456" s="77"/>
      <c r="FU456" s="77"/>
      <c r="FV456" s="77"/>
      <c r="FW456" s="77"/>
      <c r="FX456" s="77"/>
      <c r="FY456" s="77"/>
      <c r="FZ456" s="77"/>
      <c r="GA456" s="77"/>
      <c r="GB456" s="77"/>
      <c r="GC456" s="77"/>
      <c r="GD456" s="77"/>
      <c r="GE456" s="77"/>
      <c r="GF456" s="77"/>
      <c r="GG456" s="77"/>
      <c r="GH456" s="77"/>
      <c r="GI456" s="77"/>
      <c r="GJ456" s="77"/>
      <c r="GK456" s="77"/>
      <c r="GL456" s="77"/>
      <c r="GM456" s="77"/>
      <c r="GN456" s="77"/>
      <c r="GO456" s="77"/>
      <c r="GP456" s="77"/>
      <c r="GQ456" s="77"/>
      <c r="GR456" s="77"/>
      <c r="GS456" s="77"/>
      <c r="GT456" s="77"/>
      <c r="GU456" s="77"/>
      <c r="GV456" s="77"/>
      <c r="GW456" s="77"/>
      <c r="GX456" s="77"/>
      <c r="GY456" s="77"/>
      <c r="GZ456" s="77"/>
      <c r="HA456" s="77"/>
      <c r="HB456" s="77"/>
      <c r="HC456" s="77"/>
      <c r="HD456" s="77"/>
      <c r="HE456" s="77"/>
      <c r="HF456" s="77"/>
      <c r="HG456" s="77"/>
      <c r="HH456" s="77"/>
      <c r="HI456" s="77"/>
      <c r="HJ456" s="77"/>
      <c r="HK456" s="77"/>
      <c r="HL456" s="77"/>
      <c r="HM456" s="77"/>
      <c r="HN456" s="77"/>
      <c r="HO456" s="77"/>
      <c r="HP456" s="77"/>
      <c r="HQ456" s="77"/>
      <c r="HR456" s="77"/>
      <c r="HS456" s="77"/>
      <c r="HT456" s="77"/>
      <c r="HU456" s="77"/>
      <c r="HV456" s="77"/>
      <c r="HW456" s="77"/>
      <c r="HX456" s="77"/>
      <c r="HY456" s="77"/>
      <c r="HZ456" s="77"/>
      <c r="IA456" s="77"/>
      <c r="IB456" s="77"/>
      <c r="IC456" s="77"/>
      <c r="ID456" s="77"/>
      <c r="IE456" s="77"/>
      <c r="IF456" s="77"/>
      <c r="IG456" s="77"/>
      <c r="IH456" s="77"/>
      <c r="II456" s="77"/>
      <c r="IJ456" s="77"/>
      <c r="IK456" s="77"/>
      <c r="IL456" s="77"/>
      <c r="IM456" s="77"/>
    </row>
    <row r="457" spans="1:247" s="45" customFormat="1" ht="30">
      <c r="A457" s="158"/>
      <c r="B457" s="158" t="s">
        <v>274</v>
      </c>
      <c r="C457" s="158" t="s">
        <v>204</v>
      </c>
      <c r="D457" s="159" t="s">
        <v>140</v>
      </c>
      <c r="E457" s="163">
        <v>1</v>
      </c>
      <c r="F457" s="171"/>
      <c r="G457" s="77"/>
      <c r="H457" s="77"/>
      <c r="I457" s="77"/>
      <c r="J457" s="77"/>
      <c r="K457" s="77"/>
      <c r="L457" s="77"/>
      <c r="M457" s="77"/>
      <c r="N457" s="77"/>
      <c r="O457" s="77"/>
      <c r="P457" s="77"/>
      <c r="Q457" s="77"/>
      <c r="R457" s="77"/>
      <c r="S457" s="77"/>
      <c r="T457" s="77"/>
      <c r="U457" s="77"/>
      <c r="V457" s="77"/>
      <c r="W457" s="77"/>
      <c r="X457" s="77"/>
      <c r="Y457" s="77"/>
      <c r="Z457" s="77"/>
      <c r="AA457" s="77"/>
      <c r="AB457" s="77"/>
      <c r="AC457" s="77"/>
      <c r="AD457" s="77"/>
      <c r="AE457" s="77"/>
      <c r="AF457" s="77"/>
      <c r="AG457" s="77"/>
      <c r="AH457" s="77"/>
      <c r="AI457" s="77"/>
      <c r="AJ457" s="77"/>
      <c r="AK457" s="77"/>
      <c r="AL457" s="77"/>
      <c r="AM457" s="77"/>
      <c r="AN457" s="77"/>
      <c r="AO457" s="77"/>
      <c r="AP457" s="77"/>
      <c r="AQ457" s="77"/>
      <c r="AR457" s="77"/>
      <c r="AS457" s="77"/>
      <c r="AT457" s="77"/>
      <c r="AU457" s="77"/>
      <c r="AV457" s="77"/>
      <c r="AW457" s="77"/>
      <c r="AX457" s="77"/>
      <c r="AY457" s="77"/>
      <c r="AZ457" s="77"/>
      <c r="BA457" s="77"/>
      <c r="BB457" s="77"/>
      <c r="BC457" s="77"/>
      <c r="BD457" s="77"/>
      <c r="BE457" s="77"/>
      <c r="BF457" s="77"/>
      <c r="BG457" s="77"/>
      <c r="BH457" s="77"/>
      <c r="BI457" s="77"/>
      <c r="BJ457" s="77"/>
      <c r="BK457" s="77"/>
      <c r="BL457" s="77"/>
      <c r="BM457" s="77"/>
      <c r="BN457" s="77"/>
      <c r="BO457" s="77"/>
      <c r="BP457" s="77"/>
      <c r="BQ457" s="77"/>
      <c r="BR457" s="77"/>
      <c r="BS457" s="77"/>
      <c r="BT457" s="77"/>
      <c r="BU457" s="77"/>
      <c r="BV457" s="77"/>
      <c r="BW457" s="77"/>
      <c r="BX457" s="77"/>
      <c r="BY457" s="77"/>
      <c r="BZ457" s="77"/>
      <c r="CA457" s="77"/>
      <c r="CB457" s="77"/>
      <c r="CC457" s="77"/>
      <c r="CD457" s="77"/>
      <c r="CE457" s="77"/>
      <c r="CF457" s="77"/>
      <c r="CG457" s="77"/>
      <c r="CH457" s="77"/>
      <c r="CI457" s="77"/>
      <c r="CJ457" s="77"/>
      <c r="CK457" s="77"/>
      <c r="CL457" s="77"/>
      <c r="CM457" s="77"/>
      <c r="CN457" s="77"/>
      <c r="CO457" s="77"/>
      <c r="CP457" s="77"/>
      <c r="CQ457" s="77"/>
      <c r="CR457" s="77"/>
      <c r="CS457" s="77"/>
      <c r="CT457" s="77"/>
      <c r="CU457" s="77"/>
      <c r="CV457" s="77"/>
      <c r="CW457" s="77"/>
      <c r="CX457" s="77"/>
      <c r="CY457" s="77"/>
      <c r="CZ457" s="77"/>
      <c r="DA457" s="77"/>
      <c r="DB457" s="77"/>
      <c r="DC457" s="77"/>
      <c r="DD457" s="77"/>
      <c r="DE457" s="77"/>
      <c r="DF457" s="77"/>
      <c r="DG457" s="77"/>
      <c r="DH457" s="77"/>
      <c r="DI457" s="77"/>
      <c r="DJ457" s="77"/>
      <c r="DK457" s="77"/>
      <c r="DL457" s="77"/>
      <c r="DM457" s="77"/>
      <c r="DN457" s="77"/>
      <c r="DO457" s="77"/>
      <c r="DP457" s="77"/>
      <c r="DQ457" s="77"/>
      <c r="DR457" s="77"/>
      <c r="DS457" s="77"/>
      <c r="DT457" s="77"/>
      <c r="DU457" s="77"/>
      <c r="DV457" s="77"/>
      <c r="DW457" s="77"/>
      <c r="DX457" s="77"/>
      <c r="DY457" s="77"/>
      <c r="DZ457" s="77"/>
      <c r="EA457" s="77"/>
      <c r="EB457" s="77"/>
      <c r="EC457" s="77"/>
      <c r="ED457" s="77"/>
      <c r="EE457" s="77"/>
      <c r="EF457" s="77"/>
      <c r="EG457" s="77"/>
      <c r="EH457" s="77"/>
      <c r="EI457" s="77"/>
      <c r="EJ457" s="77"/>
      <c r="EK457" s="77"/>
      <c r="EL457" s="77"/>
      <c r="EM457" s="77"/>
      <c r="EN457" s="77"/>
      <c r="EO457" s="77"/>
      <c r="EP457" s="77"/>
      <c r="EQ457" s="77"/>
      <c r="ER457" s="77"/>
      <c r="ES457" s="77"/>
      <c r="ET457" s="77"/>
      <c r="EU457" s="77"/>
      <c r="EV457" s="77"/>
      <c r="EW457" s="77"/>
      <c r="EX457" s="77"/>
      <c r="EY457" s="77"/>
      <c r="EZ457" s="77"/>
      <c r="FA457" s="77"/>
      <c r="FB457" s="77"/>
      <c r="FC457" s="77"/>
      <c r="FD457" s="77"/>
      <c r="FE457" s="77"/>
      <c r="FF457" s="77"/>
      <c r="FG457" s="77"/>
      <c r="FH457" s="77"/>
      <c r="FI457" s="77"/>
      <c r="FJ457" s="77"/>
      <c r="FK457" s="77"/>
      <c r="FL457" s="77"/>
      <c r="FM457" s="77"/>
      <c r="FN457" s="77"/>
      <c r="FO457" s="77"/>
      <c r="FP457" s="77"/>
      <c r="FQ457" s="77"/>
      <c r="FR457" s="77"/>
      <c r="FS457" s="77"/>
      <c r="FT457" s="77"/>
      <c r="FU457" s="77"/>
      <c r="FV457" s="77"/>
      <c r="FW457" s="77"/>
      <c r="FX457" s="77"/>
      <c r="FY457" s="77"/>
      <c r="FZ457" s="77"/>
      <c r="GA457" s="77"/>
      <c r="GB457" s="77"/>
      <c r="GC457" s="77"/>
      <c r="GD457" s="77"/>
      <c r="GE457" s="77"/>
      <c r="GF457" s="77"/>
      <c r="GG457" s="77"/>
      <c r="GH457" s="77"/>
      <c r="GI457" s="77"/>
      <c r="GJ457" s="77"/>
      <c r="GK457" s="77"/>
      <c r="GL457" s="77"/>
      <c r="GM457" s="77"/>
      <c r="GN457" s="77"/>
      <c r="GO457" s="77"/>
      <c r="GP457" s="77"/>
      <c r="GQ457" s="77"/>
      <c r="GR457" s="77"/>
      <c r="GS457" s="77"/>
      <c r="GT457" s="77"/>
      <c r="GU457" s="77"/>
      <c r="GV457" s="77"/>
      <c r="GW457" s="77"/>
      <c r="GX457" s="77"/>
      <c r="GY457" s="77"/>
      <c r="GZ457" s="77"/>
      <c r="HA457" s="77"/>
      <c r="HB457" s="77"/>
      <c r="HC457" s="77"/>
      <c r="HD457" s="77"/>
      <c r="HE457" s="77"/>
      <c r="HF457" s="77"/>
      <c r="HG457" s="77"/>
      <c r="HH457" s="77"/>
      <c r="HI457" s="77"/>
      <c r="HJ457" s="77"/>
      <c r="HK457" s="77"/>
      <c r="HL457" s="77"/>
      <c r="HM457" s="77"/>
      <c r="HN457" s="77"/>
      <c r="HO457" s="77"/>
      <c r="HP457" s="77"/>
      <c r="HQ457" s="77"/>
      <c r="HR457" s="77"/>
      <c r="HS457" s="77"/>
      <c r="HT457" s="77"/>
      <c r="HU457" s="77"/>
      <c r="HV457" s="77"/>
      <c r="HW457" s="77"/>
      <c r="HX457" s="77"/>
      <c r="HY457" s="77"/>
      <c r="HZ457" s="77"/>
      <c r="IA457" s="77"/>
      <c r="IB457" s="77"/>
      <c r="IC457" s="77"/>
      <c r="ID457" s="77"/>
      <c r="IE457" s="77"/>
      <c r="IF457" s="77"/>
      <c r="IG457" s="77"/>
      <c r="IH457" s="77"/>
      <c r="II457" s="77"/>
      <c r="IJ457" s="77"/>
      <c r="IK457" s="77"/>
      <c r="IL457" s="77"/>
      <c r="IM457" s="77"/>
    </row>
    <row r="458" spans="1:5" ht="15">
      <c r="A458" s="110"/>
      <c r="B458" s="110"/>
      <c r="C458" s="110"/>
      <c r="E458" s="110"/>
    </row>
    <row r="459" spans="1:10" s="189" customFormat="1" ht="18">
      <c r="A459" s="229" t="s">
        <v>386</v>
      </c>
      <c r="B459" s="229"/>
      <c r="C459" s="229"/>
      <c r="D459" s="229"/>
      <c r="E459" s="229"/>
      <c r="F459" s="188"/>
      <c r="G459" s="188"/>
      <c r="H459" s="188"/>
      <c r="I459" s="188"/>
      <c r="J459" s="188"/>
    </row>
    <row r="460" spans="1:5" s="50" customFormat="1" ht="18">
      <c r="A460" s="218" t="s">
        <v>225</v>
      </c>
      <c r="B460" s="218"/>
      <c r="C460" s="218"/>
      <c r="D460" s="218"/>
      <c r="E460" s="218"/>
    </row>
    <row r="461" spans="1:10" s="189" customFormat="1" ht="15">
      <c r="A461" s="222" t="s">
        <v>73</v>
      </c>
      <c r="B461" s="222" t="s">
        <v>390</v>
      </c>
      <c r="C461" s="221" t="s">
        <v>391</v>
      </c>
      <c r="D461" s="222" t="s">
        <v>392</v>
      </c>
      <c r="E461" s="222" t="s">
        <v>88</v>
      </c>
      <c r="F461" s="188"/>
      <c r="G461" s="188"/>
      <c r="H461" s="188"/>
      <c r="I461" s="188"/>
      <c r="J461" s="188"/>
    </row>
    <row r="462" spans="1:10" s="189" customFormat="1" ht="15">
      <c r="A462" s="222"/>
      <c r="B462" s="222"/>
      <c r="C462" s="221"/>
      <c r="D462" s="222"/>
      <c r="E462" s="222"/>
      <c r="F462" s="188"/>
      <c r="G462" s="188"/>
      <c r="H462" s="188"/>
      <c r="I462" s="188"/>
      <c r="J462" s="188"/>
    </row>
    <row r="463" spans="1:10" s="189" customFormat="1" ht="15">
      <c r="A463" s="184">
        <v>1</v>
      </c>
      <c r="B463" s="184">
        <v>2</v>
      </c>
      <c r="C463" s="185">
        <v>3</v>
      </c>
      <c r="D463" s="184">
        <v>4</v>
      </c>
      <c r="E463" s="184">
        <v>5</v>
      </c>
      <c r="F463" s="188"/>
      <c r="G463" s="188"/>
      <c r="H463" s="188"/>
      <c r="I463" s="188"/>
      <c r="J463" s="188"/>
    </row>
    <row r="464" spans="1:6" s="52" customFormat="1" ht="15">
      <c r="A464" s="38" t="s">
        <v>82</v>
      </c>
      <c r="B464" s="40" t="s">
        <v>275</v>
      </c>
      <c r="C464" s="37" t="s">
        <v>204</v>
      </c>
      <c r="D464" s="42"/>
      <c r="E464" s="44">
        <v>1</v>
      </c>
      <c r="F464" s="194"/>
    </row>
    <row r="465" spans="1:6" s="52" customFormat="1" ht="15">
      <c r="A465" s="46"/>
      <c r="B465" s="37" t="s">
        <v>205</v>
      </c>
      <c r="C465" s="37" t="s">
        <v>58</v>
      </c>
      <c r="D465" s="44">
        <v>3.17</v>
      </c>
      <c r="E465" s="43">
        <f>E464*D465</f>
        <v>3.17</v>
      </c>
      <c r="F465" s="194"/>
    </row>
    <row r="466" spans="1:6" s="52" customFormat="1" ht="15">
      <c r="A466" s="46"/>
      <c r="B466" s="40" t="s">
        <v>206</v>
      </c>
      <c r="C466" s="37" t="s">
        <v>204</v>
      </c>
      <c r="D466" s="42">
        <v>1</v>
      </c>
      <c r="E466" s="43">
        <f>E464*D466</f>
        <v>1</v>
      </c>
      <c r="F466" s="194"/>
    </row>
    <row r="467" spans="1:6" s="52" customFormat="1" ht="15">
      <c r="A467" s="46"/>
      <c r="B467" s="37" t="s">
        <v>166</v>
      </c>
      <c r="C467" s="37" t="s">
        <v>207</v>
      </c>
      <c r="D467" s="51">
        <f>23.8/100</f>
        <v>0.23800000000000002</v>
      </c>
      <c r="E467" s="43">
        <f>E464*D467</f>
        <v>0.23800000000000002</v>
      </c>
      <c r="F467" s="194"/>
    </row>
    <row r="468" spans="1:6" s="53" customFormat="1" ht="15">
      <c r="A468" s="195">
        <f>A464+1</f>
        <v>2</v>
      </c>
      <c r="B468" s="58" t="s">
        <v>276</v>
      </c>
      <c r="C468" s="58" t="s">
        <v>155</v>
      </c>
      <c r="D468" s="196"/>
      <c r="E468" s="55">
        <v>2</v>
      </c>
      <c r="F468" s="194"/>
    </row>
    <row r="469" spans="1:6" s="53" customFormat="1" ht="15">
      <c r="A469" s="73"/>
      <c r="B469" s="58" t="s">
        <v>205</v>
      </c>
      <c r="C469" s="58" t="s">
        <v>58</v>
      </c>
      <c r="D469" s="59">
        <v>7.24</v>
      </c>
      <c r="E469" s="56">
        <f>E468*D469</f>
        <v>14.48</v>
      </c>
      <c r="F469" s="194"/>
    </row>
    <row r="470" spans="1:6" s="53" customFormat="1" ht="15">
      <c r="A470" s="73"/>
      <c r="B470" s="58" t="s">
        <v>209</v>
      </c>
      <c r="C470" s="58" t="s">
        <v>204</v>
      </c>
      <c r="D470" s="56">
        <v>1</v>
      </c>
      <c r="E470" s="56">
        <f>E468*D470</f>
        <v>2</v>
      </c>
      <c r="F470" s="194"/>
    </row>
    <row r="471" spans="1:6" s="53" customFormat="1" ht="15">
      <c r="A471" s="73"/>
      <c r="B471" s="58" t="s">
        <v>166</v>
      </c>
      <c r="C471" s="58" t="s">
        <v>207</v>
      </c>
      <c r="D471" s="60">
        <v>3.84</v>
      </c>
      <c r="E471" s="56">
        <f>E468*D471</f>
        <v>7.68</v>
      </c>
      <c r="F471" s="194"/>
    </row>
    <row r="472" spans="1:6" s="53" customFormat="1" ht="15">
      <c r="A472" s="195">
        <f>A468+1</f>
        <v>3</v>
      </c>
      <c r="B472" s="58" t="s">
        <v>378</v>
      </c>
      <c r="C472" s="58" t="s">
        <v>138</v>
      </c>
      <c r="D472" s="196"/>
      <c r="E472" s="55">
        <v>30</v>
      </c>
      <c r="F472" s="194"/>
    </row>
    <row r="473" spans="1:6" s="53" customFormat="1" ht="15">
      <c r="A473" s="73"/>
      <c r="B473" s="58" t="s">
        <v>205</v>
      </c>
      <c r="C473" s="58" t="s">
        <v>58</v>
      </c>
      <c r="D473" s="59">
        <f>13.9/100</f>
        <v>0.139</v>
      </c>
      <c r="E473" s="56">
        <f>E472*D473</f>
        <v>4.17</v>
      </c>
      <c r="F473" s="194"/>
    </row>
    <row r="474" spans="1:6" s="53" customFormat="1" ht="15">
      <c r="A474" s="39"/>
      <c r="B474" s="39" t="s">
        <v>282</v>
      </c>
      <c r="C474" s="39" t="s">
        <v>211</v>
      </c>
      <c r="D474" s="39">
        <v>1.02</v>
      </c>
      <c r="E474" s="46">
        <f>E472*D474</f>
        <v>30.6</v>
      </c>
      <c r="F474" s="194"/>
    </row>
    <row r="475" spans="1:6" s="53" customFormat="1" ht="15">
      <c r="A475" s="73"/>
      <c r="B475" s="58" t="s">
        <v>166</v>
      </c>
      <c r="C475" s="58" t="s">
        <v>207</v>
      </c>
      <c r="D475" s="60">
        <f>0.97/100</f>
        <v>0.0097</v>
      </c>
      <c r="E475" s="56">
        <f>E472*D475</f>
        <v>0.29100000000000004</v>
      </c>
      <c r="F475" s="194"/>
    </row>
    <row r="476" spans="1:6" s="53" customFormat="1" ht="30">
      <c r="A476" s="195">
        <f>A472+1</f>
        <v>4</v>
      </c>
      <c r="B476" s="57" t="s">
        <v>277</v>
      </c>
      <c r="C476" s="58" t="s">
        <v>138</v>
      </c>
      <c r="D476" s="196"/>
      <c r="E476" s="55">
        <v>18</v>
      </c>
      <c r="F476" s="194"/>
    </row>
    <row r="477" spans="1:6" s="53" customFormat="1" ht="15">
      <c r="A477" s="73"/>
      <c r="B477" s="58" t="s">
        <v>205</v>
      </c>
      <c r="C477" s="58" t="s">
        <v>58</v>
      </c>
      <c r="D477" s="59">
        <f>13.9/100</f>
        <v>0.139</v>
      </c>
      <c r="E477" s="56">
        <f>E476*D477</f>
        <v>2.5020000000000002</v>
      </c>
      <c r="F477" s="194"/>
    </row>
    <row r="478" spans="1:6" s="53" customFormat="1" ht="30">
      <c r="A478" s="39"/>
      <c r="B478" s="39" t="s">
        <v>278</v>
      </c>
      <c r="C478" s="39" t="s">
        <v>211</v>
      </c>
      <c r="D478" s="39">
        <v>1.02</v>
      </c>
      <c r="E478" s="46">
        <f>E476*D478</f>
        <v>18.36</v>
      </c>
      <c r="F478" s="194"/>
    </row>
    <row r="479" spans="1:6" s="53" customFormat="1" ht="15">
      <c r="A479" s="73"/>
      <c r="B479" s="58" t="s">
        <v>166</v>
      </c>
      <c r="C479" s="58" t="s">
        <v>207</v>
      </c>
      <c r="D479" s="60">
        <f>0.97/100</f>
        <v>0.0097</v>
      </c>
      <c r="E479" s="56">
        <f>E476*D479</f>
        <v>0.1746</v>
      </c>
      <c r="F479" s="194"/>
    </row>
    <row r="480" spans="1:6" s="53" customFormat="1" ht="30">
      <c r="A480" s="195">
        <f>A476+1</f>
        <v>5</v>
      </c>
      <c r="B480" s="58" t="s">
        <v>279</v>
      </c>
      <c r="C480" s="58" t="s">
        <v>138</v>
      </c>
      <c r="D480" s="196"/>
      <c r="E480" s="55">
        <v>25</v>
      </c>
      <c r="F480" s="194"/>
    </row>
    <row r="481" spans="1:6" s="53" customFormat="1" ht="15">
      <c r="A481" s="73"/>
      <c r="B481" s="58" t="s">
        <v>205</v>
      </c>
      <c r="C481" s="58" t="s">
        <v>58</v>
      </c>
      <c r="D481" s="59">
        <f>13.9/100</f>
        <v>0.139</v>
      </c>
      <c r="E481" s="56">
        <f>E480*D481</f>
        <v>3.4750000000000005</v>
      </c>
      <c r="F481" s="194"/>
    </row>
    <row r="482" spans="1:6" s="53" customFormat="1" ht="30">
      <c r="A482" s="39"/>
      <c r="B482" s="39" t="s">
        <v>280</v>
      </c>
      <c r="C482" s="39" t="s">
        <v>211</v>
      </c>
      <c r="D482" s="39">
        <v>1.02</v>
      </c>
      <c r="E482" s="46">
        <f>E480*D482</f>
        <v>25.5</v>
      </c>
      <c r="F482" s="194"/>
    </row>
    <row r="483" spans="1:6" s="53" customFormat="1" ht="15">
      <c r="A483" s="73"/>
      <c r="B483" s="58" t="s">
        <v>166</v>
      </c>
      <c r="C483" s="58" t="s">
        <v>207</v>
      </c>
      <c r="D483" s="60">
        <f>0.97/100</f>
        <v>0.0097</v>
      </c>
      <c r="E483" s="56">
        <f>E480*D483</f>
        <v>0.2425</v>
      </c>
      <c r="F483" s="194"/>
    </row>
    <row r="484" spans="1:6" s="53" customFormat="1" ht="30">
      <c r="A484" s="195">
        <f>A480+1</f>
        <v>6</v>
      </c>
      <c r="B484" s="58" t="s">
        <v>212</v>
      </c>
      <c r="C484" s="58" t="s">
        <v>155</v>
      </c>
      <c r="D484" s="196"/>
      <c r="E484" s="55">
        <v>2</v>
      </c>
      <c r="F484" s="194"/>
    </row>
    <row r="485" spans="1:6" s="53" customFormat="1" ht="15">
      <c r="A485" s="73"/>
      <c r="B485" s="58" t="s">
        <v>205</v>
      </c>
      <c r="C485" s="58" t="s">
        <v>58</v>
      </c>
      <c r="D485" s="59">
        <v>0.372</v>
      </c>
      <c r="E485" s="56">
        <f>E484*D485</f>
        <v>0.744</v>
      </c>
      <c r="F485" s="194"/>
    </row>
    <row r="486" spans="1:6" s="53" customFormat="1" ht="15">
      <c r="A486" s="73"/>
      <c r="B486" s="61" t="s">
        <v>213</v>
      </c>
      <c r="C486" s="58" t="s">
        <v>204</v>
      </c>
      <c r="D486" s="56">
        <v>1</v>
      </c>
      <c r="E486" s="56">
        <f>E484*D486</f>
        <v>2</v>
      </c>
      <c r="F486" s="194"/>
    </row>
    <row r="487" spans="1:6" s="53" customFormat="1" ht="15">
      <c r="A487" s="73"/>
      <c r="B487" s="58" t="s">
        <v>166</v>
      </c>
      <c r="C487" s="58" t="s">
        <v>207</v>
      </c>
      <c r="D487" s="60">
        <f>12.84/100</f>
        <v>0.1284</v>
      </c>
      <c r="E487" s="56">
        <f>E484*D487</f>
        <v>0.2568</v>
      </c>
      <c r="F487" s="194"/>
    </row>
    <row r="488" spans="1:6" s="53" customFormat="1" ht="30">
      <c r="A488" s="195">
        <f>A484+1</f>
        <v>7</v>
      </c>
      <c r="B488" s="58" t="s">
        <v>210</v>
      </c>
      <c r="C488" s="58" t="s">
        <v>155</v>
      </c>
      <c r="D488" s="196"/>
      <c r="E488" s="55">
        <v>7</v>
      </c>
      <c r="F488" s="194"/>
    </row>
    <row r="489" spans="1:6" s="53" customFormat="1" ht="15">
      <c r="A489" s="62"/>
      <c r="B489" s="58" t="s">
        <v>205</v>
      </c>
      <c r="C489" s="58" t="s">
        <v>58</v>
      </c>
      <c r="D489" s="59">
        <f>39.2/100</f>
        <v>0.392</v>
      </c>
      <c r="E489" s="56">
        <f>E488*D489</f>
        <v>2.744</v>
      </c>
      <c r="F489" s="194"/>
    </row>
    <row r="490" spans="1:6" s="53" customFormat="1" ht="30">
      <c r="A490" s="62"/>
      <c r="B490" s="58" t="s">
        <v>210</v>
      </c>
      <c r="C490" s="58" t="s">
        <v>204</v>
      </c>
      <c r="D490" s="56">
        <v>1</v>
      </c>
      <c r="E490" s="56">
        <f>E488*D490</f>
        <v>7</v>
      </c>
      <c r="F490" s="194"/>
    </row>
    <row r="491" spans="1:6" s="63" customFormat="1" ht="15">
      <c r="A491" s="62"/>
      <c r="B491" s="58" t="s">
        <v>166</v>
      </c>
      <c r="C491" s="58" t="s">
        <v>207</v>
      </c>
      <c r="D491" s="60">
        <f>9.4/100</f>
        <v>0.094</v>
      </c>
      <c r="E491" s="56">
        <f>E488*D491</f>
        <v>0.658</v>
      </c>
      <c r="F491" s="194"/>
    </row>
    <row r="492" spans="1:6" s="63" customFormat="1" ht="15">
      <c r="A492" s="195">
        <f>A488+1</f>
        <v>8</v>
      </c>
      <c r="B492" s="58" t="s">
        <v>379</v>
      </c>
      <c r="C492" s="58" t="s">
        <v>155</v>
      </c>
      <c r="D492" s="196"/>
      <c r="E492" s="55">
        <v>8</v>
      </c>
      <c r="F492" s="194"/>
    </row>
    <row r="493" spans="1:6" s="53" customFormat="1" ht="15">
      <c r="A493" s="62"/>
      <c r="B493" s="58" t="s">
        <v>205</v>
      </c>
      <c r="C493" s="58" t="s">
        <v>58</v>
      </c>
      <c r="D493" s="59">
        <f>56.6/100</f>
        <v>0.5660000000000001</v>
      </c>
      <c r="E493" s="56">
        <f>E492*D493</f>
        <v>4.5280000000000005</v>
      </c>
      <c r="F493" s="194"/>
    </row>
    <row r="494" spans="1:6" s="53" customFormat="1" ht="15">
      <c r="A494" s="62"/>
      <c r="B494" s="58" t="s">
        <v>380</v>
      </c>
      <c r="C494" s="58" t="s">
        <v>208</v>
      </c>
      <c r="D494" s="56">
        <v>1</v>
      </c>
      <c r="E494" s="56">
        <f>E492*D494</f>
        <v>8</v>
      </c>
      <c r="F494" s="194"/>
    </row>
    <row r="495" spans="1:6" s="53" customFormat="1" ht="15">
      <c r="A495" s="62"/>
      <c r="B495" s="58" t="s">
        <v>166</v>
      </c>
      <c r="C495" s="58" t="s">
        <v>207</v>
      </c>
      <c r="D495" s="59">
        <f>52.4/100</f>
        <v>0.524</v>
      </c>
      <c r="E495" s="56">
        <f>E492*D495</f>
        <v>4.192</v>
      </c>
      <c r="F495" s="194"/>
    </row>
    <row r="496" spans="1:6" s="63" customFormat="1" ht="15">
      <c r="A496" s="195">
        <f>A492+1</f>
        <v>9</v>
      </c>
      <c r="B496" s="58" t="s">
        <v>381</v>
      </c>
      <c r="C496" s="58" t="s">
        <v>155</v>
      </c>
      <c r="D496" s="196"/>
      <c r="E496" s="55">
        <v>2</v>
      </c>
      <c r="F496" s="194"/>
    </row>
    <row r="497" spans="1:6" s="53" customFormat="1" ht="15">
      <c r="A497" s="62"/>
      <c r="B497" s="58" t="s">
        <v>205</v>
      </c>
      <c r="C497" s="58" t="s">
        <v>58</v>
      </c>
      <c r="D497" s="59">
        <f>56.6/100</f>
        <v>0.5660000000000001</v>
      </c>
      <c r="E497" s="56">
        <f>E496*D497</f>
        <v>1.1320000000000001</v>
      </c>
      <c r="F497" s="194"/>
    </row>
    <row r="498" spans="1:6" s="53" customFormat="1" ht="15">
      <c r="A498" s="62"/>
      <c r="B498" s="58" t="s">
        <v>382</v>
      </c>
      <c r="C498" s="58" t="s">
        <v>208</v>
      </c>
      <c r="D498" s="56">
        <v>1</v>
      </c>
      <c r="E498" s="56">
        <f>E496*D498</f>
        <v>2</v>
      </c>
      <c r="F498" s="194"/>
    </row>
    <row r="499" spans="1:6" s="53" customFormat="1" ht="15">
      <c r="A499" s="62"/>
      <c r="B499" s="58" t="s">
        <v>166</v>
      </c>
      <c r="C499" s="58" t="s">
        <v>207</v>
      </c>
      <c r="D499" s="59">
        <f>52.4/100</f>
        <v>0.524</v>
      </c>
      <c r="E499" s="56">
        <f>E496*D499</f>
        <v>1.048</v>
      </c>
      <c r="F499" s="194"/>
    </row>
    <row r="500" spans="1:6" s="53" customFormat="1" ht="15">
      <c r="A500" s="195">
        <f>A496+1</f>
        <v>10</v>
      </c>
      <c r="B500" s="57" t="s">
        <v>387</v>
      </c>
      <c r="C500" s="54" t="s">
        <v>155</v>
      </c>
      <c r="D500" s="197"/>
      <c r="E500" s="55">
        <v>1</v>
      </c>
      <c r="F500" s="194"/>
    </row>
    <row r="501" spans="1:6" s="53" customFormat="1" ht="15">
      <c r="A501" s="73"/>
      <c r="B501" s="54" t="s">
        <v>205</v>
      </c>
      <c r="C501" s="54" t="s">
        <v>58</v>
      </c>
      <c r="D501" s="55">
        <v>2.75</v>
      </c>
      <c r="E501" s="56">
        <f>E500*D501</f>
        <v>2.75</v>
      </c>
      <c r="F501" s="194"/>
    </row>
    <row r="502" spans="1:6" s="53" customFormat="1" ht="15">
      <c r="A502" s="73"/>
      <c r="B502" s="57" t="s">
        <v>217</v>
      </c>
      <c r="C502" s="54" t="s">
        <v>155</v>
      </c>
      <c r="D502" s="56">
        <v>1</v>
      </c>
      <c r="E502" s="56">
        <f>E500*D502</f>
        <v>1</v>
      </c>
      <c r="F502" s="194"/>
    </row>
    <row r="503" spans="1:6" s="53" customFormat="1" ht="15">
      <c r="A503" s="73"/>
      <c r="B503" s="54" t="s">
        <v>166</v>
      </c>
      <c r="C503" s="54" t="s">
        <v>207</v>
      </c>
      <c r="D503" s="55">
        <v>2.18</v>
      </c>
      <c r="E503" s="56">
        <f>E500*D503</f>
        <v>2.18</v>
      </c>
      <c r="F503" s="194"/>
    </row>
    <row r="504" spans="1:6" s="53" customFormat="1" ht="15">
      <c r="A504" s="195">
        <f>A500+1</f>
        <v>11</v>
      </c>
      <c r="B504" s="57" t="s">
        <v>388</v>
      </c>
      <c r="C504" s="54" t="s">
        <v>155</v>
      </c>
      <c r="D504" s="197"/>
      <c r="E504" s="55">
        <v>3</v>
      </c>
      <c r="F504" s="194"/>
    </row>
    <row r="505" spans="1:6" s="53" customFormat="1" ht="15">
      <c r="A505" s="73"/>
      <c r="B505" s="54" t="s">
        <v>205</v>
      </c>
      <c r="C505" s="54" t="s">
        <v>58</v>
      </c>
      <c r="D505" s="55">
        <v>2.75</v>
      </c>
      <c r="E505" s="56">
        <f>E504*D505</f>
        <v>8.25</v>
      </c>
      <c r="F505" s="194"/>
    </row>
    <row r="506" spans="1:6" s="53" customFormat="1" ht="15">
      <c r="A506" s="73"/>
      <c r="B506" s="57" t="s">
        <v>218</v>
      </c>
      <c r="C506" s="54" t="s">
        <v>155</v>
      </c>
      <c r="D506" s="56">
        <v>1</v>
      </c>
      <c r="E506" s="56">
        <f>E504*D506</f>
        <v>3</v>
      </c>
      <c r="F506" s="194"/>
    </row>
    <row r="507" spans="1:6" s="53" customFormat="1" ht="15">
      <c r="A507" s="73"/>
      <c r="B507" s="54" t="s">
        <v>166</v>
      </c>
      <c r="C507" s="54" t="s">
        <v>207</v>
      </c>
      <c r="D507" s="55">
        <v>2.18</v>
      </c>
      <c r="E507" s="56">
        <f>E504*D507</f>
        <v>6.540000000000001</v>
      </c>
      <c r="F507" s="194"/>
    </row>
    <row r="508" spans="1:10" s="64" customFormat="1" ht="15">
      <c r="A508" s="195">
        <f>A504+1</f>
        <v>12</v>
      </c>
      <c r="B508" s="65" t="s">
        <v>214</v>
      </c>
      <c r="C508" s="65" t="s">
        <v>155</v>
      </c>
      <c r="D508" s="65"/>
      <c r="E508" s="66">
        <v>4</v>
      </c>
      <c r="F508" s="194"/>
      <c r="G508" s="81"/>
      <c r="H508" s="81"/>
      <c r="I508" s="81"/>
      <c r="J508" s="82"/>
    </row>
    <row r="509" spans="1:10" s="64" customFormat="1" ht="15">
      <c r="A509" s="98"/>
      <c r="B509" s="65" t="s">
        <v>137</v>
      </c>
      <c r="C509" s="65" t="s">
        <v>58</v>
      </c>
      <c r="D509" s="65">
        <v>1.04</v>
      </c>
      <c r="E509" s="66">
        <f>E508*D509</f>
        <v>4.16</v>
      </c>
      <c r="F509" s="194"/>
      <c r="G509" s="81"/>
      <c r="H509" s="81"/>
      <c r="I509" s="81"/>
      <c r="J509" s="82"/>
    </row>
    <row r="510" spans="1:10" s="64" customFormat="1" ht="30">
      <c r="A510" s="98"/>
      <c r="B510" s="65" t="s">
        <v>148</v>
      </c>
      <c r="C510" s="65" t="s">
        <v>215</v>
      </c>
      <c r="D510" s="65">
        <v>0.09</v>
      </c>
      <c r="E510" s="66">
        <f>E508*D510</f>
        <v>0.36</v>
      </c>
      <c r="F510" s="194"/>
      <c r="G510" s="81"/>
      <c r="H510" s="81"/>
      <c r="I510" s="81"/>
      <c r="J510" s="82"/>
    </row>
    <row r="511" spans="1:10" s="64" customFormat="1" ht="15">
      <c r="A511" s="98"/>
      <c r="B511" s="65" t="s">
        <v>216</v>
      </c>
      <c r="C511" s="67" t="s">
        <v>141</v>
      </c>
      <c r="D511" s="65">
        <v>2.5</v>
      </c>
      <c r="E511" s="66">
        <f>E508*D511</f>
        <v>10</v>
      </c>
      <c r="F511" s="194"/>
      <c r="G511" s="81"/>
      <c r="H511" s="81"/>
      <c r="I511" s="81"/>
      <c r="J511" s="82"/>
    </row>
    <row r="512" spans="1:247" s="199" customFormat="1" ht="15">
      <c r="A512" s="98"/>
      <c r="B512" s="65" t="s">
        <v>145</v>
      </c>
      <c r="C512" s="65" t="s">
        <v>51</v>
      </c>
      <c r="D512" s="65">
        <v>1.4</v>
      </c>
      <c r="E512" s="66">
        <f>E508*D512</f>
        <v>5.6</v>
      </c>
      <c r="F512" s="194"/>
      <c r="G512" s="81"/>
      <c r="H512" s="81"/>
      <c r="I512" s="81"/>
      <c r="J512" s="82"/>
      <c r="K512" s="198"/>
      <c r="L512" s="198"/>
      <c r="M512" s="198"/>
      <c r="N512" s="198"/>
      <c r="O512" s="198"/>
      <c r="P512" s="198"/>
      <c r="Q512" s="198"/>
      <c r="R512" s="198"/>
      <c r="S512" s="198"/>
      <c r="T512" s="198"/>
      <c r="U512" s="198"/>
      <c r="V512" s="198"/>
      <c r="W512" s="198"/>
      <c r="X512" s="198"/>
      <c r="Y512" s="198"/>
      <c r="Z512" s="198"/>
      <c r="AA512" s="198"/>
      <c r="AB512" s="198"/>
      <c r="AC512" s="198"/>
      <c r="AD512" s="198"/>
      <c r="AE512" s="198"/>
      <c r="AF512" s="198"/>
      <c r="AG512" s="198"/>
      <c r="AH512" s="198"/>
      <c r="AI512" s="198"/>
      <c r="AJ512" s="198"/>
      <c r="AK512" s="198"/>
      <c r="AL512" s="198"/>
      <c r="AM512" s="198"/>
      <c r="AN512" s="198"/>
      <c r="AO512" s="198"/>
      <c r="AP512" s="198"/>
      <c r="AQ512" s="198"/>
      <c r="AR512" s="198"/>
      <c r="AS512" s="198"/>
      <c r="AT512" s="198"/>
      <c r="AU512" s="198"/>
      <c r="AV512" s="198"/>
      <c r="AW512" s="198"/>
      <c r="AX512" s="198"/>
      <c r="AY512" s="198"/>
      <c r="AZ512" s="198"/>
      <c r="BA512" s="198"/>
      <c r="BB512" s="198"/>
      <c r="BC512" s="198"/>
      <c r="BD512" s="198"/>
      <c r="BE512" s="198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  <c r="BZ512" s="198"/>
      <c r="CA512" s="198"/>
      <c r="CB512" s="198"/>
      <c r="CC512" s="198"/>
      <c r="CD512" s="198"/>
      <c r="CE512" s="198"/>
      <c r="CF512" s="198"/>
      <c r="CG512" s="198"/>
      <c r="CH512" s="198"/>
      <c r="CI512" s="198"/>
      <c r="CJ512" s="198"/>
      <c r="CK512" s="198"/>
      <c r="CL512" s="198"/>
      <c r="CM512" s="198"/>
      <c r="CN512" s="198"/>
      <c r="CO512" s="198"/>
      <c r="CP512" s="198"/>
      <c r="CQ512" s="198"/>
      <c r="CR512" s="198"/>
      <c r="CS512" s="198"/>
      <c r="CT512" s="198"/>
      <c r="CU512" s="198"/>
      <c r="CV512" s="198"/>
      <c r="CW512" s="198"/>
      <c r="CX512" s="198"/>
      <c r="CY512" s="198"/>
      <c r="CZ512" s="198"/>
      <c r="DA512" s="198"/>
      <c r="DB512" s="198"/>
      <c r="DC512" s="198"/>
      <c r="DD512" s="198"/>
      <c r="DE512" s="198"/>
      <c r="DF512" s="198"/>
      <c r="DG512" s="198"/>
      <c r="DH512" s="198"/>
      <c r="DI512" s="198"/>
      <c r="DJ512" s="198"/>
      <c r="DK512" s="198"/>
      <c r="DL512" s="198"/>
      <c r="DM512" s="198"/>
      <c r="DN512" s="198"/>
      <c r="DO512" s="198"/>
      <c r="DP512" s="198"/>
      <c r="DQ512" s="198"/>
      <c r="DR512" s="198"/>
      <c r="DS512" s="198"/>
      <c r="DT512" s="198"/>
      <c r="DU512" s="198"/>
      <c r="DV512" s="198"/>
      <c r="DW512" s="198"/>
      <c r="DX512" s="198"/>
      <c r="DY512" s="198"/>
      <c r="DZ512" s="198"/>
      <c r="EA512" s="198"/>
      <c r="EB512" s="198"/>
      <c r="EC512" s="198"/>
      <c r="ED512" s="198"/>
      <c r="EE512" s="198"/>
      <c r="EF512" s="198"/>
      <c r="EG512" s="198"/>
      <c r="EH512" s="198"/>
      <c r="EI512" s="198"/>
      <c r="EJ512" s="198"/>
      <c r="EK512" s="198"/>
      <c r="EL512" s="198"/>
      <c r="EM512" s="198"/>
      <c r="EN512" s="198"/>
      <c r="EO512" s="198"/>
      <c r="EP512" s="198"/>
      <c r="EQ512" s="198"/>
      <c r="ER512" s="198"/>
      <c r="ES512" s="198"/>
      <c r="ET512" s="198"/>
      <c r="EU512" s="198"/>
      <c r="EV512" s="198"/>
      <c r="EW512" s="198"/>
      <c r="EX512" s="198"/>
      <c r="EY512" s="198"/>
      <c r="EZ512" s="198"/>
      <c r="FA512" s="198"/>
      <c r="FB512" s="198"/>
      <c r="FC512" s="198"/>
      <c r="FD512" s="198"/>
      <c r="FE512" s="198"/>
      <c r="FF512" s="198"/>
      <c r="FG512" s="198"/>
      <c r="FH512" s="198"/>
      <c r="FI512" s="198"/>
      <c r="FJ512" s="198"/>
      <c r="FK512" s="198"/>
      <c r="FL512" s="198"/>
      <c r="FM512" s="198"/>
      <c r="FN512" s="198"/>
      <c r="FO512" s="198"/>
      <c r="FP512" s="198"/>
      <c r="FQ512" s="198"/>
      <c r="FR512" s="198"/>
      <c r="FS512" s="198"/>
      <c r="FT512" s="198"/>
      <c r="FU512" s="198"/>
      <c r="FV512" s="198"/>
      <c r="FW512" s="198"/>
      <c r="FX512" s="198"/>
      <c r="FY512" s="198"/>
      <c r="FZ512" s="198"/>
      <c r="GA512" s="198"/>
      <c r="GB512" s="198"/>
      <c r="GC512" s="198"/>
      <c r="GD512" s="198"/>
      <c r="GE512" s="198"/>
      <c r="GF512" s="198"/>
      <c r="GG512" s="198"/>
      <c r="GH512" s="198"/>
      <c r="GI512" s="198"/>
      <c r="GJ512" s="198"/>
      <c r="GK512" s="198"/>
      <c r="GL512" s="198"/>
      <c r="GM512" s="198"/>
      <c r="GN512" s="198"/>
      <c r="GO512" s="198"/>
      <c r="GP512" s="198"/>
      <c r="GQ512" s="198"/>
      <c r="GR512" s="198"/>
      <c r="GS512" s="198"/>
      <c r="GT512" s="198"/>
      <c r="GU512" s="198"/>
      <c r="GV512" s="198"/>
      <c r="GW512" s="198"/>
      <c r="GX512" s="198"/>
      <c r="GY512" s="198"/>
      <c r="GZ512" s="198"/>
      <c r="HA512" s="198"/>
      <c r="HB512" s="198"/>
      <c r="HC512" s="198"/>
      <c r="HD512" s="198"/>
      <c r="HE512" s="198"/>
      <c r="HF512" s="198"/>
      <c r="HG512" s="198"/>
      <c r="HH512" s="198"/>
      <c r="HI512" s="198"/>
      <c r="HJ512" s="198"/>
      <c r="HK512" s="198"/>
      <c r="HL512" s="198"/>
      <c r="HM512" s="198"/>
      <c r="HN512" s="198"/>
      <c r="HO512" s="198"/>
      <c r="HP512" s="198"/>
      <c r="HQ512" s="198"/>
      <c r="HR512" s="198"/>
      <c r="HS512" s="198"/>
      <c r="HT512" s="198"/>
      <c r="HU512" s="198"/>
      <c r="HV512" s="198"/>
      <c r="HW512" s="198"/>
      <c r="HX512" s="198"/>
      <c r="HY512" s="198"/>
      <c r="HZ512" s="198"/>
      <c r="IA512" s="198"/>
      <c r="IB512" s="198"/>
      <c r="IC512" s="198"/>
      <c r="ID512" s="198"/>
      <c r="IE512" s="198"/>
      <c r="IF512" s="198"/>
      <c r="IG512" s="198"/>
      <c r="IH512" s="198"/>
      <c r="II512" s="198"/>
      <c r="IJ512" s="198"/>
      <c r="IK512" s="198"/>
      <c r="IL512" s="198"/>
      <c r="IM512" s="198"/>
    </row>
    <row r="513" spans="1:12" s="83" customFormat="1" ht="15">
      <c r="A513" s="200">
        <f>A508+1</f>
        <v>13</v>
      </c>
      <c r="B513" s="68" t="s">
        <v>289</v>
      </c>
      <c r="C513" s="201" t="s">
        <v>141</v>
      </c>
      <c r="D513" s="68"/>
      <c r="E513" s="69">
        <v>25</v>
      </c>
      <c r="F513" s="194"/>
      <c r="H513" s="84"/>
      <c r="I513" s="84"/>
      <c r="J513" s="84"/>
      <c r="K513" s="84"/>
      <c r="L513" s="84"/>
    </row>
    <row r="514" spans="1:12" s="70" customFormat="1" ht="15">
      <c r="A514" s="99"/>
      <c r="B514" s="68" t="s">
        <v>137</v>
      </c>
      <c r="C514" s="68" t="s">
        <v>58</v>
      </c>
      <c r="D514" s="68">
        <v>0.39</v>
      </c>
      <c r="E514" s="69">
        <f>E513*D514</f>
        <v>9.75</v>
      </c>
      <c r="F514" s="194"/>
      <c r="G514" s="81"/>
      <c r="H514" s="81"/>
      <c r="I514" s="81"/>
      <c r="J514" s="82"/>
      <c r="K514" s="71"/>
      <c r="L514" s="71"/>
    </row>
    <row r="515" spans="1:12" s="70" customFormat="1" ht="30">
      <c r="A515" s="98"/>
      <c r="B515" s="65" t="s">
        <v>148</v>
      </c>
      <c r="C515" s="65" t="s">
        <v>215</v>
      </c>
      <c r="D515" s="65">
        <v>0.022</v>
      </c>
      <c r="E515" s="66">
        <f>E513*D515</f>
        <v>0.5499999999999999</v>
      </c>
      <c r="F515" s="194"/>
      <c r="G515" s="81"/>
      <c r="H515" s="81"/>
      <c r="I515" s="81"/>
      <c r="J515" s="82"/>
      <c r="K515" s="71"/>
      <c r="L515" s="71"/>
    </row>
    <row r="516" spans="1:12" s="70" customFormat="1" ht="15">
      <c r="A516" s="98"/>
      <c r="B516" s="65" t="s">
        <v>281</v>
      </c>
      <c r="C516" s="67" t="s">
        <v>141</v>
      </c>
      <c r="D516" s="65">
        <v>1</v>
      </c>
      <c r="E516" s="66">
        <f>E513*D516</f>
        <v>25</v>
      </c>
      <c r="F516" s="194"/>
      <c r="G516" s="81"/>
      <c r="H516" s="81"/>
      <c r="I516" s="81"/>
      <c r="J516" s="82"/>
      <c r="K516" s="71"/>
      <c r="L516" s="71"/>
    </row>
    <row r="517" spans="1:12" s="70" customFormat="1" ht="15">
      <c r="A517" s="98"/>
      <c r="B517" s="65" t="s">
        <v>145</v>
      </c>
      <c r="C517" s="65" t="s">
        <v>51</v>
      </c>
      <c r="D517" s="65">
        <v>0.159</v>
      </c>
      <c r="E517" s="66">
        <f>E513*D517</f>
        <v>3.975</v>
      </c>
      <c r="F517" s="194"/>
      <c r="G517" s="81"/>
      <c r="H517" s="81"/>
      <c r="I517" s="81"/>
      <c r="J517" s="82"/>
      <c r="K517" s="71"/>
      <c r="L517" s="71"/>
    </row>
    <row r="518" spans="1:6" s="53" customFormat="1" ht="30">
      <c r="A518" s="200">
        <f>A513+1</f>
        <v>14</v>
      </c>
      <c r="B518" s="58" t="s">
        <v>283</v>
      </c>
      <c r="C518" s="58" t="s">
        <v>138</v>
      </c>
      <c r="D518" s="196"/>
      <c r="E518" s="55">
        <f>30+25+18</f>
        <v>73</v>
      </c>
      <c r="F518" s="194"/>
    </row>
    <row r="519" spans="1:6" s="53" customFormat="1" ht="15">
      <c r="A519" s="73"/>
      <c r="B519" s="58" t="s">
        <v>205</v>
      </c>
      <c r="C519" s="58" t="s">
        <v>58</v>
      </c>
      <c r="D519" s="59">
        <f>13.9/100</f>
        <v>0.139</v>
      </c>
      <c r="E519" s="56">
        <f>E518*D519</f>
        <v>10.147</v>
      </c>
      <c r="F519" s="194"/>
    </row>
    <row r="520" spans="1:6" s="53" customFormat="1" ht="30">
      <c r="A520" s="39"/>
      <c r="B520" s="39" t="s">
        <v>284</v>
      </c>
      <c r="C520" s="39" t="s">
        <v>138</v>
      </c>
      <c r="D520" s="39">
        <v>1.02</v>
      </c>
      <c r="E520" s="46">
        <f>E518*D520</f>
        <v>74.46000000000001</v>
      </c>
      <c r="F520" s="194"/>
    </row>
    <row r="521" spans="1:6" s="53" customFormat="1" ht="15">
      <c r="A521" s="73"/>
      <c r="B521" s="58" t="s">
        <v>166</v>
      </c>
      <c r="C521" s="58" t="s">
        <v>207</v>
      </c>
      <c r="D521" s="60">
        <f>0.97/100</f>
        <v>0.0097</v>
      </c>
      <c r="E521" s="56">
        <f>E518*D521</f>
        <v>0.7081000000000001</v>
      </c>
      <c r="F521" s="194"/>
    </row>
    <row r="522" spans="1:8" s="85" customFormat="1" ht="45">
      <c r="A522" s="200">
        <f>A518+1</f>
        <v>15</v>
      </c>
      <c r="B522" s="181" t="s">
        <v>300</v>
      </c>
      <c r="C522" s="181" t="s">
        <v>285</v>
      </c>
      <c r="D522" s="182"/>
      <c r="E522" s="182">
        <v>1</v>
      </c>
      <c r="F522" s="194"/>
      <c r="H522" s="86"/>
    </row>
    <row r="523" spans="1:8" s="85" customFormat="1" ht="15">
      <c r="A523" s="202"/>
      <c r="B523" s="88" t="s">
        <v>162</v>
      </c>
      <c r="C523" s="89" t="s">
        <v>58</v>
      </c>
      <c r="D523" s="91">
        <v>20</v>
      </c>
      <c r="E523" s="91">
        <f>D523*E522</f>
        <v>20</v>
      </c>
      <c r="F523" s="194"/>
      <c r="H523" s="86"/>
    </row>
    <row r="524" spans="1:8" s="85" customFormat="1" ht="15">
      <c r="A524" s="87"/>
      <c r="B524" s="88" t="s">
        <v>223</v>
      </c>
      <c r="C524" s="92" t="s">
        <v>59</v>
      </c>
      <c r="D524" s="93">
        <v>2.99</v>
      </c>
      <c r="E524" s="93">
        <f>D524*E522</f>
        <v>2.99</v>
      </c>
      <c r="F524" s="194"/>
      <c r="H524" s="86"/>
    </row>
    <row r="525" spans="1:8" s="85" customFormat="1" ht="60">
      <c r="A525" s="87"/>
      <c r="B525" s="96" t="s">
        <v>301</v>
      </c>
      <c r="C525" s="92" t="s">
        <v>285</v>
      </c>
      <c r="D525" s="94">
        <v>1</v>
      </c>
      <c r="E525" s="95">
        <f>D525*E522</f>
        <v>1</v>
      </c>
      <c r="F525" s="194"/>
      <c r="H525" s="86"/>
    </row>
    <row r="526" spans="1:8" s="85" customFormat="1" ht="15">
      <c r="A526" s="87"/>
      <c r="B526" s="88" t="s">
        <v>145</v>
      </c>
      <c r="C526" s="89" t="s">
        <v>51</v>
      </c>
      <c r="D526" s="89">
        <v>10.6</v>
      </c>
      <c r="E526" s="90">
        <f>D526*E522</f>
        <v>10.6</v>
      </c>
      <c r="F526" s="194"/>
      <c r="H526" s="86"/>
    </row>
  </sheetData>
  <sheetProtection/>
  <mergeCells count="23">
    <mergeCell ref="A8:E8"/>
    <mergeCell ref="A3:E3"/>
    <mergeCell ref="A4:E4"/>
    <mergeCell ref="A249:E249"/>
    <mergeCell ref="A274:E274"/>
    <mergeCell ref="A298:E298"/>
    <mergeCell ref="A342:E342"/>
    <mergeCell ref="A459:E459"/>
    <mergeCell ref="A5:A6"/>
    <mergeCell ref="B5:B6"/>
    <mergeCell ref="C5:C6"/>
    <mergeCell ref="D5:D6"/>
    <mergeCell ref="E5:E6"/>
    <mergeCell ref="A1:E1"/>
    <mergeCell ref="A2:E2"/>
    <mergeCell ref="C461:C462"/>
    <mergeCell ref="D461:D462"/>
    <mergeCell ref="E461:E462"/>
    <mergeCell ref="A461:A462"/>
    <mergeCell ref="B461:B462"/>
    <mergeCell ref="A460:E460"/>
    <mergeCell ref="A205:E205"/>
    <mergeCell ref="A225:E225"/>
  </mergeCells>
  <conditionalFormatting sqref="B18:E18 B17 D17:E17 A342">
    <cfRule type="cellIs" priority="63" dxfId="57" operator="equal" stopIfTrue="1">
      <formula>0</formula>
    </cfRule>
  </conditionalFormatting>
  <conditionalFormatting sqref="C17">
    <cfRule type="cellIs" priority="62" dxfId="57" operator="equal" stopIfTrue="1">
      <formula>0</formula>
    </cfRule>
  </conditionalFormatting>
  <conditionalFormatting sqref="B12:E12 B11 D11:E11">
    <cfRule type="cellIs" priority="61" dxfId="57" operator="equal" stopIfTrue="1">
      <formula>0</formula>
    </cfRule>
  </conditionalFormatting>
  <conditionalFormatting sqref="C11">
    <cfRule type="cellIs" priority="60" dxfId="57" operator="equal" stopIfTrue="1">
      <formula>0</formula>
    </cfRule>
  </conditionalFormatting>
  <conditionalFormatting sqref="B21:E22">
    <cfRule type="cellIs" priority="58" dxfId="57" operator="equal" stopIfTrue="1">
      <formula>0</formula>
    </cfRule>
  </conditionalFormatting>
  <conditionalFormatting sqref="D20:E20 C23:E23 D24:E24">
    <cfRule type="cellIs" priority="59" dxfId="57" operator="equal" stopIfTrue="1">
      <formula>0</formula>
    </cfRule>
  </conditionalFormatting>
  <conditionalFormatting sqref="C20">
    <cfRule type="cellIs" priority="57" dxfId="57" operator="equal" stopIfTrue="1">
      <formula>0</formula>
    </cfRule>
  </conditionalFormatting>
  <conditionalFormatting sqref="B54:E54 B53 D53:E53">
    <cfRule type="cellIs" priority="56" dxfId="57" operator="equal" stopIfTrue="1">
      <formula>0</formula>
    </cfRule>
  </conditionalFormatting>
  <conditionalFormatting sqref="C53">
    <cfRule type="cellIs" priority="55" dxfId="57" operator="equal" stopIfTrue="1">
      <formula>0</formula>
    </cfRule>
  </conditionalFormatting>
  <conditionalFormatting sqref="B48:E48 B47 D47:E47">
    <cfRule type="cellIs" priority="54" dxfId="57" operator="equal" stopIfTrue="1">
      <formula>0</formula>
    </cfRule>
  </conditionalFormatting>
  <conditionalFormatting sqref="C47">
    <cfRule type="cellIs" priority="53" dxfId="57" operator="equal" stopIfTrue="1">
      <formula>0</formula>
    </cfRule>
  </conditionalFormatting>
  <conditionalFormatting sqref="B88:E93">
    <cfRule type="cellIs" priority="51" dxfId="57" operator="equal" stopIfTrue="1">
      <formula>0</formula>
    </cfRule>
  </conditionalFormatting>
  <conditionalFormatting sqref="D94:E94 B95:E97">
    <cfRule type="cellIs" priority="52" dxfId="57" operator="equal" stopIfTrue="1">
      <formula>0</formula>
    </cfRule>
  </conditionalFormatting>
  <conditionalFormatting sqref="C99:E101">
    <cfRule type="cellIs" priority="50" dxfId="57" operator="equal" stopIfTrue="1">
      <formula>0</formula>
    </cfRule>
  </conditionalFormatting>
  <conditionalFormatting sqref="B343:E370">
    <cfRule type="cellIs" priority="49" dxfId="57" operator="equal" stopIfTrue="1">
      <formula>0</formula>
    </cfRule>
  </conditionalFormatting>
  <conditionalFormatting sqref="B387:E388 C393:E393 B394:E403 B386 D386:E386 B390:E392 B389 D389:E389">
    <cfRule type="cellIs" priority="47" dxfId="57" operator="equal" stopIfTrue="1">
      <formula>0</formula>
    </cfRule>
  </conditionalFormatting>
  <conditionalFormatting sqref="B374">
    <cfRule type="cellIs" priority="46" dxfId="57" operator="equal" stopIfTrue="1">
      <formula>0</formula>
    </cfRule>
  </conditionalFormatting>
  <conditionalFormatting sqref="B375">
    <cfRule type="cellIs" priority="45" dxfId="57" operator="equal" stopIfTrue="1">
      <formula>0</formula>
    </cfRule>
  </conditionalFormatting>
  <conditionalFormatting sqref="B376">
    <cfRule type="cellIs" priority="44" dxfId="57" operator="equal" stopIfTrue="1">
      <formula>0</formula>
    </cfRule>
  </conditionalFormatting>
  <conditionalFormatting sqref="C371">
    <cfRule type="cellIs" priority="43" dxfId="57" operator="equal" stopIfTrue="1">
      <formula>0</formula>
    </cfRule>
  </conditionalFormatting>
  <conditionalFormatting sqref="C374">
    <cfRule type="cellIs" priority="42" dxfId="57" operator="equal" stopIfTrue="1">
      <formula>0</formula>
    </cfRule>
  </conditionalFormatting>
  <conditionalFormatting sqref="B385">
    <cfRule type="cellIs" priority="41" dxfId="57" operator="equal" stopIfTrue="1">
      <formula>0</formula>
    </cfRule>
  </conditionalFormatting>
  <conditionalFormatting sqref="B393">
    <cfRule type="cellIs" priority="40" dxfId="57" operator="equal" stopIfTrue="1">
      <formula>0</formula>
    </cfRule>
  </conditionalFormatting>
  <conditionalFormatting sqref="B57:E58">
    <cfRule type="cellIs" priority="38" dxfId="57" operator="equal" stopIfTrue="1">
      <formula>0</formula>
    </cfRule>
  </conditionalFormatting>
  <conditionalFormatting sqref="D56:E56 C59:E59 D60:E60">
    <cfRule type="cellIs" priority="39" dxfId="57" operator="equal" stopIfTrue="1">
      <formula>0</formula>
    </cfRule>
  </conditionalFormatting>
  <conditionalFormatting sqref="C56">
    <cfRule type="cellIs" priority="37" dxfId="57" operator="equal" stopIfTrue="1">
      <formula>0</formula>
    </cfRule>
  </conditionalFormatting>
  <conditionalFormatting sqref="C94">
    <cfRule type="cellIs" priority="36" dxfId="57" operator="equal" stopIfTrue="1">
      <formula>0</formula>
    </cfRule>
  </conditionalFormatting>
  <conditionalFormatting sqref="B102:E106">
    <cfRule type="cellIs" priority="34" dxfId="57" operator="equal" stopIfTrue="1">
      <formula>0</formula>
    </cfRule>
  </conditionalFormatting>
  <conditionalFormatting sqref="D102:E106 B191:D191 B313:E313 B441:C441 B436:C438">
    <cfRule type="cellIs" priority="33" dxfId="58" operator="equal" stopIfTrue="1">
      <formula>8223.307275</formula>
    </cfRule>
  </conditionalFormatting>
  <conditionalFormatting sqref="B108:E109">
    <cfRule type="cellIs" priority="31" dxfId="57" operator="equal" stopIfTrue="1">
      <formula>0</formula>
    </cfRule>
  </conditionalFormatting>
  <conditionalFormatting sqref="D107:E107 C110:E110 D111:E111">
    <cfRule type="cellIs" priority="32" dxfId="57" operator="equal" stopIfTrue="1">
      <formula>0</formula>
    </cfRule>
  </conditionalFormatting>
  <conditionalFormatting sqref="C107">
    <cfRule type="cellIs" priority="30" dxfId="57" operator="equal" stopIfTrue="1">
      <formula>0</formula>
    </cfRule>
  </conditionalFormatting>
  <conditionalFormatting sqref="B107">
    <cfRule type="cellIs" priority="29" dxfId="57" operator="equal" stopIfTrue="1">
      <formula>0</formula>
    </cfRule>
  </conditionalFormatting>
  <conditionalFormatting sqref="B83:C84">
    <cfRule type="cellIs" priority="28" dxfId="57" operator="equal" stopIfTrue="1">
      <formula>0</formula>
    </cfRule>
  </conditionalFormatting>
  <conditionalFormatting sqref="C85">
    <cfRule type="cellIs" priority="27" dxfId="57" operator="equal" stopIfTrue="1">
      <formula>0</formula>
    </cfRule>
  </conditionalFormatting>
  <conditionalFormatting sqref="C86">
    <cfRule type="cellIs" priority="26" dxfId="57" operator="equal" stopIfTrue="1">
      <formula>0</formula>
    </cfRule>
  </conditionalFormatting>
  <conditionalFormatting sqref="B186">
    <cfRule type="cellIs" priority="25" dxfId="58" operator="equal" stopIfTrue="1">
      <formula>8223.307275</formula>
    </cfRule>
  </conditionalFormatting>
  <conditionalFormatting sqref="B187:C188">
    <cfRule type="cellIs" priority="24" dxfId="58" operator="equal" stopIfTrue="1">
      <formula>8223.307275</formula>
    </cfRule>
  </conditionalFormatting>
  <conditionalFormatting sqref="D174:E174 C177:E177 D178:E178">
    <cfRule type="cellIs" priority="20" dxfId="57" operator="equal" stopIfTrue="1">
      <formula>0</formula>
    </cfRule>
  </conditionalFormatting>
  <conditionalFormatting sqref="B172:E172 B171 D171:E171">
    <cfRule type="cellIs" priority="22" dxfId="57" operator="equal" stopIfTrue="1">
      <formula>0</formula>
    </cfRule>
  </conditionalFormatting>
  <conditionalFormatting sqref="C171">
    <cfRule type="cellIs" priority="21" dxfId="57" operator="equal" stopIfTrue="1">
      <formula>0</formula>
    </cfRule>
  </conditionalFormatting>
  <conditionalFormatting sqref="B175:E176">
    <cfRule type="cellIs" priority="19" dxfId="57" operator="equal" stopIfTrue="1">
      <formula>0</formula>
    </cfRule>
  </conditionalFormatting>
  <conditionalFormatting sqref="B317">
    <cfRule type="cellIs" priority="16" dxfId="57" operator="equal" stopIfTrue="1">
      <formula>0</formula>
    </cfRule>
  </conditionalFormatting>
  <conditionalFormatting sqref="C174">
    <cfRule type="cellIs" priority="18" dxfId="57" operator="equal" stopIfTrue="1">
      <formula>0</formula>
    </cfRule>
  </conditionalFormatting>
  <conditionalFormatting sqref="B316">
    <cfRule type="cellIs" priority="17" dxfId="57" operator="equal" stopIfTrue="1">
      <formula>0</formula>
    </cfRule>
  </conditionalFormatting>
  <conditionalFormatting sqref="C310">
    <cfRule type="cellIs" priority="15" dxfId="57" operator="equal" stopIfTrue="1">
      <formula>0</formula>
    </cfRule>
  </conditionalFormatting>
  <conditionalFormatting sqref="C314">
    <cfRule type="cellIs" priority="14" dxfId="57" operator="equal" stopIfTrue="1">
      <formula>0</formula>
    </cfRule>
  </conditionalFormatting>
  <conditionalFormatting sqref="C315">
    <cfRule type="cellIs" priority="12" dxfId="57" operator="equal" stopIfTrue="1">
      <formula>0</formula>
    </cfRule>
  </conditionalFormatting>
  <conditionalFormatting sqref="E439:E441 B440:C440 B439">
    <cfRule type="cellIs" priority="11" dxfId="58" operator="equal" stopIfTrue="1">
      <formula>8223.307275</formula>
    </cfRule>
  </conditionalFormatting>
  <conditionalFormatting sqref="E436:E438">
    <cfRule type="cellIs" priority="10" dxfId="58" operator="equal" stopIfTrue="1">
      <formula>8223.307275</formula>
    </cfRule>
  </conditionalFormatting>
  <conditionalFormatting sqref="C439">
    <cfRule type="cellIs" priority="7" dxfId="58" operator="equal" stopIfTrue="1">
      <formula>8223.307275</formula>
    </cfRule>
  </conditionalFormatting>
  <conditionalFormatting sqref="B453">
    <cfRule type="cellIs" priority="5" dxfId="57" operator="equal" stopIfTrue="1">
      <formula>0</formula>
    </cfRule>
  </conditionalFormatting>
  <conditionalFormatting sqref="B453:E453">
    <cfRule type="cellIs" priority="4" dxfId="58" operator="equal" stopIfTrue="1">
      <formula>8223.307275</formula>
    </cfRule>
  </conditionalFormatting>
  <conditionalFormatting sqref="A454:A455 D454:E455">
    <cfRule type="cellIs" priority="6" dxfId="58" operator="equal" stopIfTrue="1">
      <formula>8223.307275</formula>
    </cfRule>
  </conditionalFormatting>
  <conditionalFormatting sqref="B418:E419">
    <cfRule type="cellIs" priority="2" dxfId="57" operator="equal" stopIfTrue="1">
      <formula>0</formula>
    </cfRule>
  </conditionalFormatting>
  <conditionalFormatting sqref="D417:E417 C420:E420 D421:E421">
    <cfRule type="cellIs" priority="3" dxfId="57" operator="equal" stopIfTrue="1">
      <formula>0</formula>
    </cfRule>
  </conditionalFormatting>
  <conditionalFormatting sqref="C417">
    <cfRule type="cellIs" priority="1" dxfId="57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User</cp:lastModifiedBy>
  <cp:lastPrinted>2023-11-27T12:18:04Z</cp:lastPrinted>
  <dcterms:created xsi:type="dcterms:W3CDTF">2005-10-04T05:52:32Z</dcterms:created>
  <dcterms:modified xsi:type="dcterms:W3CDTF">2023-12-06T09:24:47Z</dcterms:modified>
  <cp:category/>
  <cp:version/>
  <cp:contentType/>
  <cp:contentStatus/>
</cp:coreProperties>
</file>