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\ისანი 2023\შესყიდვები -2023\2023-ბმა\2023-49 353 -გამაგრება- ავლაბრის #19-  (გეგმა გრაფიკით)\"/>
    </mc:Choice>
  </mc:AlternateContent>
  <bookViews>
    <workbookView xWindow="0" yWindow="0" windowWidth="28800" windowHeight="12300"/>
  </bookViews>
  <sheets>
    <sheet name="ხარჯთაღრიცხვა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2" i="2" l="1"/>
  <c r="M200" i="2"/>
  <c r="M198" i="2"/>
  <c r="M196" i="2"/>
  <c r="M194" i="2"/>
  <c r="F192" i="2" l="1"/>
  <c r="M192" i="2" s="1"/>
  <c r="M191" i="2"/>
  <c r="F191" i="2"/>
  <c r="M190" i="2"/>
  <c r="F190" i="2"/>
  <c r="F189" i="2"/>
  <c r="M189" i="2" s="1"/>
  <c r="E189" i="2"/>
  <c r="M188" i="2"/>
  <c r="F188" i="2"/>
  <c r="E188" i="2"/>
  <c r="M186" i="2"/>
  <c r="F185" i="2"/>
  <c r="M185" i="2" s="1"/>
  <c r="E184" i="2"/>
  <c r="F184" i="2" s="1"/>
  <c r="M184" i="2" s="1"/>
  <c r="E183" i="2"/>
  <c r="F183" i="2" s="1"/>
  <c r="M183" i="2" s="1"/>
  <c r="E182" i="2"/>
  <c r="F186" i="2" s="1"/>
  <c r="M180" i="2"/>
  <c r="F180" i="2"/>
  <c r="F179" i="2"/>
  <c r="M179" i="2" s="1"/>
  <c r="E178" i="2"/>
  <c r="E177" i="2"/>
  <c r="E176" i="2"/>
  <c r="F181" i="2" s="1"/>
  <c r="M181" i="2" s="1"/>
  <c r="F175" i="2"/>
  <c r="M175" i="2" s="1"/>
  <c r="E175" i="2"/>
  <c r="M174" i="2"/>
  <c r="F174" i="2"/>
  <c r="E174" i="2"/>
  <c r="F173" i="2"/>
  <c r="M173" i="2" s="1"/>
  <c r="E173" i="2"/>
  <c r="M172" i="2"/>
  <c r="F172" i="2"/>
  <c r="E172" i="2"/>
  <c r="F171" i="2"/>
  <c r="M171" i="2" s="1"/>
  <c r="E171" i="2"/>
  <c r="M168" i="2"/>
  <c r="F168" i="2"/>
  <c r="F167" i="2"/>
  <c r="M167" i="2" s="1"/>
  <c r="E166" i="2"/>
  <c r="F166" i="2" s="1"/>
  <c r="M166" i="2" s="1"/>
  <c r="E165" i="2"/>
  <c r="E164" i="2"/>
  <c r="F169" i="2" s="1"/>
  <c r="M169" i="2" s="1"/>
  <c r="F163" i="2"/>
  <c r="M163" i="2" s="1"/>
  <c r="E163" i="2"/>
  <c r="M162" i="2"/>
  <c r="F162" i="2"/>
  <c r="E162" i="2"/>
  <c r="F161" i="2"/>
  <c r="M161" i="2" s="1"/>
  <c r="E161" i="2"/>
  <c r="M160" i="2"/>
  <c r="F160" i="2"/>
  <c r="F157" i="2"/>
  <c r="M157" i="2" s="1"/>
  <c r="E155" i="2"/>
  <c r="E154" i="2"/>
  <c r="E153" i="2"/>
  <c r="F158" i="2" s="1"/>
  <c r="M158" i="2" s="1"/>
  <c r="F152" i="2"/>
  <c r="M152" i="2" s="1"/>
  <c r="M151" i="2"/>
  <c r="F151" i="2"/>
  <c r="M150" i="2"/>
  <c r="F150" i="2"/>
  <c r="F149" i="2"/>
  <c r="M149" i="2" s="1"/>
  <c r="E149" i="2"/>
  <c r="M148" i="2"/>
  <c r="F148" i="2"/>
  <c r="F147" i="2"/>
  <c r="M147" i="2" s="1"/>
  <c r="E147" i="2"/>
  <c r="F146" i="2"/>
  <c r="M146" i="2" s="1"/>
  <c r="E146" i="2"/>
  <c r="F139" i="2"/>
  <c r="M139" i="2" s="1"/>
  <c r="E136" i="2"/>
  <c r="F135" i="2"/>
  <c r="M135" i="2" s="1"/>
  <c r="E135" i="2"/>
  <c r="E134" i="2"/>
  <c r="F133" i="2"/>
  <c r="M133" i="2" s="1"/>
  <c r="M132" i="2" s="1"/>
  <c r="E129" i="2"/>
  <c r="E128" i="2"/>
  <c r="F129" i="2" s="1"/>
  <c r="M129" i="2" s="1"/>
  <c r="M125" i="2"/>
  <c r="F125" i="2"/>
  <c r="E124" i="2"/>
  <c r="F126" i="2" s="1"/>
  <c r="M126" i="2" s="1"/>
  <c r="M123" i="2"/>
  <c r="F123" i="2"/>
  <c r="M122" i="2"/>
  <c r="F122" i="2"/>
  <c r="F121" i="2"/>
  <c r="M121" i="2" s="1"/>
  <c r="E120" i="2"/>
  <c r="F120" i="2" s="1"/>
  <c r="M120" i="2" s="1"/>
  <c r="E119" i="2"/>
  <c r="F119" i="2" s="1"/>
  <c r="M119" i="2" s="1"/>
  <c r="F117" i="2"/>
  <c r="M117" i="2" s="1"/>
  <c r="F116" i="2"/>
  <c r="M116" i="2" s="1"/>
  <c r="M115" i="2"/>
  <c r="F115" i="2"/>
  <c r="M114" i="2"/>
  <c r="F114" i="2"/>
  <c r="F113" i="2"/>
  <c r="M113" i="2" s="1"/>
  <c r="E112" i="2"/>
  <c r="F112" i="2" s="1"/>
  <c r="M112" i="2" s="1"/>
  <c r="E111" i="2"/>
  <c r="F111" i="2" s="1"/>
  <c r="M111" i="2" s="1"/>
  <c r="F109" i="2"/>
  <c r="M109" i="2" s="1"/>
  <c r="E106" i="2"/>
  <c r="F105" i="2"/>
  <c r="M105" i="2" s="1"/>
  <c r="E105" i="2"/>
  <c r="E104" i="2"/>
  <c r="F103" i="2"/>
  <c r="M103" i="2" s="1"/>
  <c r="M102" i="2"/>
  <c r="F102" i="2"/>
  <c r="M101" i="2"/>
  <c r="F101" i="2"/>
  <c r="F100" i="2"/>
  <c r="M100" i="2" s="1"/>
  <c r="E99" i="2"/>
  <c r="F99" i="2" s="1"/>
  <c r="M99" i="2" s="1"/>
  <c r="E98" i="2"/>
  <c r="F98" i="2" s="1"/>
  <c r="M98" i="2" s="1"/>
  <c r="F96" i="2"/>
  <c r="M96" i="2" s="1"/>
  <c r="E93" i="2"/>
  <c r="F92" i="2"/>
  <c r="M92" i="2" s="1"/>
  <c r="E92" i="2"/>
  <c r="E91" i="2"/>
  <c r="F90" i="2"/>
  <c r="M90" i="2" s="1"/>
  <c r="M89" i="2"/>
  <c r="F89" i="2"/>
  <c r="M88" i="2"/>
  <c r="F88" i="2"/>
  <c r="F87" i="2"/>
  <c r="M87" i="2" s="1"/>
  <c r="E87" i="2"/>
  <c r="F86" i="2"/>
  <c r="M86" i="2" s="1"/>
  <c r="E86" i="2"/>
  <c r="M84" i="2"/>
  <c r="F84" i="2"/>
  <c r="F83" i="2"/>
  <c r="M83" i="2" s="1"/>
  <c r="E82" i="2"/>
  <c r="F82" i="2" s="1"/>
  <c r="M82" i="2" s="1"/>
  <c r="E81" i="2"/>
  <c r="F81" i="2" s="1"/>
  <c r="M81" i="2" s="1"/>
  <c r="M80" i="2" s="1"/>
  <c r="E80" i="2"/>
  <c r="F79" i="2"/>
  <c r="M79" i="2" s="1"/>
  <c r="F78" i="2"/>
  <c r="M78" i="2" s="1"/>
  <c r="M77" i="2"/>
  <c r="F77" i="2"/>
  <c r="E76" i="2"/>
  <c r="F76" i="2" s="1"/>
  <c r="M76" i="2" s="1"/>
  <c r="M75" i="2"/>
  <c r="F75" i="2"/>
  <c r="E75" i="2"/>
  <c r="M73" i="2"/>
  <c r="F73" i="2"/>
  <c r="M72" i="2"/>
  <c r="F72" i="2"/>
  <c r="F71" i="2"/>
  <c r="M71" i="2" s="1"/>
  <c r="E71" i="2"/>
  <c r="M70" i="2"/>
  <c r="F70" i="2"/>
  <c r="E70" i="2"/>
  <c r="M68" i="2"/>
  <c r="F68" i="2"/>
  <c r="F67" i="2"/>
  <c r="M67" i="2" s="1"/>
  <c r="M66" i="2"/>
  <c r="F66" i="2"/>
  <c r="F65" i="2"/>
  <c r="M65" i="2" s="1"/>
  <c r="E65" i="2"/>
  <c r="F64" i="2"/>
  <c r="M64" i="2" s="1"/>
  <c r="E64" i="2"/>
  <c r="M62" i="2"/>
  <c r="F62" i="2"/>
  <c r="F61" i="2"/>
  <c r="M61" i="2" s="1"/>
  <c r="M60" i="2"/>
  <c r="F60" i="2"/>
  <c r="F59" i="2"/>
  <c r="M59" i="2" s="1"/>
  <c r="M58" i="2"/>
  <c r="F58" i="2"/>
  <c r="F57" i="2"/>
  <c r="M57" i="2" s="1"/>
  <c r="M56" i="2"/>
  <c r="F56" i="2"/>
  <c r="F55" i="2"/>
  <c r="M55" i="2" s="1"/>
  <c r="E54" i="2"/>
  <c r="F54" i="2" s="1"/>
  <c r="M54" i="2" s="1"/>
  <c r="E53" i="2"/>
  <c r="F53" i="2" s="1"/>
  <c r="M53" i="2" s="1"/>
  <c r="F51" i="2"/>
  <c r="M51" i="2" s="1"/>
  <c r="M50" i="2"/>
  <c r="F50" i="2"/>
  <c r="F49" i="2"/>
  <c r="M49" i="2" s="1"/>
  <c r="M48" i="2"/>
  <c r="F48" i="2"/>
  <c r="F47" i="2"/>
  <c r="M47" i="2" s="1"/>
  <c r="M46" i="2"/>
  <c r="F46" i="2"/>
  <c r="F45" i="2"/>
  <c r="M45" i="2" s="1"/>
  <c r="M44" i="2"/>
  <c r="F44" i="2"/>
  <c r="F43" i="2"/>
  <c r="M43" i="2" s="1"/>
  <c r="E42" i="2"/>
  <c r="F42" i="2" s="1"/>
  <c r="M42" i="2" s="1"/>
  <c r="E41" i="2"/>
  <c r="F41" i="2" s="1"/>
  <c r="M41" i="2" s="1"/>
  <c r="F39" i="2"/>
  <c r="M39" i="2" s="1"/>
  <c r="M38" i="2"/>
  <c r="F38" i="2"/>
  <c r="F37" i="2"/>
  <c r="M37" i="2" s="1"/>
  <c r="F35" i="2"/>
  <c r="M35" i="2" s="1"/>
  <c r="F33" i="2"/>
  <c r="M33" i="2" s="1"/>
  <c r="E33" i="2"/>
  <c r="F32" i="2"/>
  <c r="M32" i="2" s="1"/>
  <c r="E32" i="2"/>
  <c r="E31" i="2"/>
  <c r="F34" i="2" s="1"/>
  <c r="M34" i="2" s="1"/>
  <c r="F30" i="2"/>
  <c r="M30" i="2" s="1"/>
  <c r="F29" i="2"/>
  <c r="F28" i="2"/>
  <c r="M28" i="2" s="1"/>
  <c r="E28" i="2"/>
  <c r="E23" i="2"/>
  <c r="E25" i="2" s="1"/>
  <c r="M25" i="2" s="1"/>
  <c r="M22" i="2"/>
  <c r="M21" i="2" s="1"/>
  <c r="F22" i="2"/>
  <c r="M20" i="2"/>
  <c r="F20" i="2"/>
  <c r="F19" i="2"/>
  <c r="M19" i="2" s="1"/>
  <c r="M18" i="2" s="1"/>
  <c r="F17" i="2"/>
  <c r="M17" i="2" s="1"/>
  <c r="M16" i="2"/>
  <c r="F16" i="2"/>
  <c r="F13" i="2"/>
  <c r="M13" i="2" s="1"/>
  <c r="E12" i="2"/>
  <c r="F14" i="2" s="1"/>
  <c r="M14" i="2" s="1"/>
  <c r="M11" i="2"/>
  <c r="F11" i="2"/>
  <c r="F10" i="2"/>
  <c r="M10" i="2" s="1"/>
  <c r="M9" i="2" s="1"/>
  <c r="F8" i="2"/>
  <c r="E6" i="2"/>
  <c r="F7" i="2" s="1"/>
  <c r="M40" i="2" l="1"/>
  <c r="M74" i="2"/>
  <c r="M63" i="2"/>
  <c r="M97" i="2"/>
  <c r="M8" i="2"/>
  <c r="M7" i="2"/>
  <c r="M15" i="2"/>
  <c r="M110" i="2"/>
  <c r="M182" i="2"/>
  <c r="M118" i="2"/>
  <c r="M12" i="2"/>
  <c r="M52" i="2"/>
  <c r="M170" i="2"/>
  <c r="F94" i="2"/>
  <c r="M94" i="2" s="1"/>
  <c r="F95" i="2"/>
  <c r="M95" i="2" s="1"/>
  <c r="F107" i="2"/>
  <c r="M107" i="2" s="1"/>
  <c r="F108" i="2"/>
  <c r="M108" i="2" s="1"/>
  <c r="F141" i="2"/>
  <c r="M141" i="2" s="1"/>
  <c r="F137" i="2"/>
  <c r="M137" i="2" s="1"/>
  <c r="F142" i="2"/>
  <c r="M142" i="2" s="1"/>
  <c r="F138" i="2"/>
  <c r="M138" i="2" s="1"/>
  <c r="F143" i="2"/>
  <c r="M143" i="2" s="1"/>
  <c r="M145" i="2"/>
  <c r="M159" i="2"/>
  <c r="F24" i="2"/>
  <c r="M24" i="2" s="1"/>
  <c r="M23" i="2" s="1"/>
  <c r="M29" i="2"/>
  <c r="M27" i="2" s="1"/>
  <c r="F36" i="2"/>
  <c r="M36" i="2" s="1"/>
  <c r="M31" i="2" s="1"/>
  <c r="F93" i="2"/>
  <c r="M93" i="2" s="1"/>
  <c r="M91" i="2" s="1"/>
  <c r="F106" i="2"/>
  <c r="M106" i="2" s="1"/>
  <c r="F136" i="2"/>
  <c r="M136" i="2" s="1"/>
  <c r="F144" i="2"/>
  <c r="M144" i="2" s="1"/>
  <c r="M69" i="2"/>
  <c r="M85" i="2"/>
  <c r="F130" i="2"/>
  <c r="M130" i="2" s="1"/>
  <c r="M128" i="2" s="1"/>
  <c r="F131" i="2"/>
  <c r="M131" i="2" s="1"/>
  <c r="M187" i="2"/>
  <c r="F140" i="2"/>
  <c r="M140" i="2" s="1"/>
  <c r="F155" i="2"/>
  <c r="M155" i="2" s="1"/>
  <c r="F154" i="2"/>
  <c r="M154" i="2" s="1"/>
  <c r="F156" i="2"/>
  <c r="M156" i="2" s="1"/>
  <c r="F127" i="2"/>
  <c r="M127" i="2" s="1"/>
  <c r="M124" i="2" s="1"/>
  <c r="F165" i="2"/>
  <c r="M165" i="2" s="1"/>
  <c r="M164" i="2" s="1"/>
  <c r="F177" i="2"/>
  <c r="M177" i="2" s="1"/>
  <c r="F178" i="2"/>
  <c r="M178" i="2" s="1"/>
  <c r="M6" i="2" l="1"/>
  <c r="M134" i="2"/>
  <c r="M104" i="2"/>
  <c r="H193" i="2"/>
  <c r="J193" i="2"/>
  <c r="M176" i="2"/>
  <c r="M153" i="2"/>
  <c r="L193" i="2"/>
  <c r="M193" i="2" l="1"/>
  <c r="M195" i="2"/>
  <c r="M197" i="2" s="1"/>
  <c r="M199" i="2" s="1"/>
  <c r="M201" i="2" s="1"/>
  <c r="M203" i="2" l="1"/>
</calcChain>
</file>

<file path=xl/sharedStrings.xml><?xml version="1.0" encoding="utf-8"?>
<sst xmlns="http://schemas.openxmlformats.org/spreadsheetml/2006/main" count="576" uniqueCount="243">
  <si>
    <r>
      <t xml:space="preserve">დანართი </t>
    </r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  <charset val="204"/>
      </rPr>
      <t>1</t>
    </r>
  </si>
  <si>
    <t>jami</t>
  </si>
  <si>
    <t>#</t>
  </si>
  <si>
    <t>safuZveli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</si>
  <si>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</si>
  <si>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</si>
  <si>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</si>
  <si>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</si>
  <si>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</si>
  <si>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</si>
  <si>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</si>
  <si>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</si>
  <si>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</si>
  <si>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</si>
  <si>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</si>
  <si>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</si>
  <si>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</si>
  <si>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r>
      <rPr>
        <b/>
        <sz val="11"/>
        <color theme="1"/>
        <rFont val="Sylfaen"/>
        <family val="1"/>
      </rPr>
      <t xml:space="preserve">შენიშვნა: </t>
    </r>
    <r>
      <rPr>
        <sz val="11"/>
        <color theme="1"/>
        <rFont val="Sylfaen"/>
        <family val="1"/>
        <charset val="204"/>
      </rPr>
      <t xml:space="preserve">
მასალის, ხელფასის და ტრანსპორტის (მექანიზმების) გრაფაში მითითებულია ზღვრული ერთეულის ფასები. პრეტენდენტმა აღნიშნული ზღვრული ერთეულის ფასების ნაცვლად, უნდა წარმოადგინოს ერთეულის ფასები, რომლებიც არ უნდა აღემატებოდეს  ზღვრული ერთეულის ფასებს.</t>
    </r>
  </si>
  <si>
    <t>პრეტენდენტის ხელმოწერა -----------------------------------------------------</t>
  </si>
  <si>
    <t>ერთ. ფასი</t>
  </si>
  <si>
    <t>ჯამი</t>
  </si>
  <si>
    <t>სულ ჯამი</t>
  </si>
  <si>
    <t>განზ.</t>
  </si>
  <si>
    <t>ერთეულზე</t>
  </si>
  <si>
    <t>სამუშაოების და დანახარჯების დასახელება</t>
  </si>
  <si>
    <t>ხელფასი</t>
  </si>
  <si>
    <t>მასალა</t>
  </si>
  <si>
    <t>სამშენებლო მექანიზმები</t>
  </si>
  <si>
    <t>ნორმატიული რესურსი</t>
  </si>
  <si>
    <t>46-37-1</t>
  </si>
  <si>
    <t>arsebuli aguris saxlis dazianebuli miwiszeda nawilis demontaJi</t>
  </si>
  <si>
    <t>m3</t>
  </si>
  <si>
    <t xml:space="preserve">Sromis xarji </t>
  </si>
  <si>
    <t>kac/sT</t>
  </si>
  <si>
    <t xml:space="preserve">manqanebi </t>
  </si>
  <si>
    <t>lari</t>
  </si>
  <si>
    <t>46-24-2</t>
  </si>
  <si>
    <t xml:space="preserve"> rkina-betonis gare kibis demontaJi</t>
  </si>
  <si>
    <t>46-23-1</t>
  </si>
  <si>
    <t>yore-qvis saZirkvlebis demontaJi</t>
  </si>
  <si>
    <t>46-23-4</t>
  </si>
  <si>
    <t xml:space="preserve">sardafis aguris kedlebis demontaJi </t>
  </si>
  <si>
    <t>zeZirkvlis dasxmuli rkinabetonis demonaJi demontaJi</t>
  </si>
  <si>
    <t>e1-19,p-1</t>
  </si>
  <si>
    <t>samSeneblo nagvis gamotana ezodan avtoTviTmclelebamde (daaxlovebiT 10 metri)</t>
  </si>
  <si>
    <t>tn</t>
  </si>
  <si>
    <t>Sromis danaxarji</t>
  </si>
  <si>
    <t>k/sT</t>
  </si>
  <si>
    <t>7</t>
  </si>
  <si>
    <t>kr.rem.1-22</t>
  </si>
  <si>
    <t xml:space="preserve">  samSeneblo nagvis datvirTva xeliT  avtoTviTmclelebze    </t>
  </si>
  <si>
    <t>Sromis danaxarjebi</t>
  </si>
  <si>
    <t>srf T15.</t>
  </si>
  <si>
    <t xml:space="preserve"> samSeneblo nagvis gatana 25 km</t>
  </si>
  <si>
    <t>samSeneblo samuSaoebi</t>
  </si>
  <si>
    <t>11.-1-5</t>
  </si>
  <si>
    <t>saZirkvlebis qveS xreSis safuZvlis mowyoba sisq.20sm datkepniT</t>
  </si>
  <si>
    <t>k=1,15</t>
  </si>
  <si>
    <t>Sromis xarji</t>
  </si>
  <si>
    <t>srf3,1-249</t>
  </si>
  <si>
    <t>xreSi</t>
  </si>
  <si>
    <t xml:space="preserve">sxva xarjebi </t>
  </si>
  <si>
    <t>6.-26-4</t>
  </si>
  <si>
    <t>k=1,25</t>
  </si>
  <si>
    <t>manqanebi</t>
  </si>
  <si>
    <t>3.1 p369</t>
  </si>
  <si>
    <t>4.p68</t>
  </si>
  <si>
    <t>yalibis fari</t>
  </si>
  <si>
    <t>4'.p18</t>
  </si>
  <si>
    <t>yalibis ficari IIIxar 40mm-iani</t>
  </si>
  <si>
    <t>1.1 p1</t>
  </si>
  <si>
    <t>tona</t>
  </si>
  <si>
    <t>proeq.</t>
  </si>
  <si>
    <t>1.1 p.31</t>
  </si>
  <si>
    <t>sxva xarjebi</t>
  </si>
  <si>
    <t>6.-14-4</t>
  </si>
  <si>
    <t xml:space="preserve">Zelaki IIIxar 40-60-mm-iani </t>
  </si>
  <si>
    <t>1.9 p.26</t>
  </si>
  <si>
    <t>samSeneblo WanWiki</t>
  </si>
  <si>
    <t>kg</t>
  </si>
  <si>
    <t>1.9 p.21</t>
  </si>
  <si>
    <t>eleqtrodi</t>
  </si>
  <si>
    <t>6-16-1.</t>
  </si>
  <si>
    <t>kub.m.</t>
  </si>
  <si>
    <t>SromiTi resursebi</t>
  </si>
  <si>
    <t>yalibis fari 25mm.</t>
  </si>
  <si>
    <t>kv.m.</t>
  </si>
  <si>
    <t>4'.p14</t>
  </si>
  <si>
    <t>yalibis ficari IIx. 25-32mm-iani</t>
  </si>
  <si>
    <t>4'.p17</t>
  </si>
  <si>
    <t>igive, IIx. 40mm-iani da meti</t>
  </si>
  <si>
    <t>yalibis ficari IIIx. 40mm-iani</t>
  </si>
  <si>
    <t>8.-5-6</t>
  </si>
  <si>
    <t>kedlebis amoyvana aguriT</t>
  </si>
  <si>
    <t>srf3.1-384</t>
  </si>
  <si>
    <t xml:space="preserve">qviSa-cementis xsnari </t>
  </si>
  <si>
    <t>srf3.1-1</t>
  </si>
  <si>
    <t>aguri</t>
  </si>
  <si>
    <t>aT. c.</t>
  </si>
  <si>
    <t>6-9-3.</t>
  </si>
  <si>
    <t>svetqveSa ankerebis mowyoba</t>
  </si>
  <si>
    <t>srf1.6p19</t>
  </si>
  <si>
    <t>svetqveSa ankerebi</t>
  </si>
  <si>
    <t>10-4-1.</t>
  </si>
  <si>
    <t xml:space="preserve"> xis svetebis mowyoba</t>
  </si>
  <si>
    <t>srf4-p3</t>
  </si>
  <si>
    <t>xis masala</t>
  </si>
  <si>
    <t>srf1.9p26</t>
  </si>
  <si>
    <t>WanWiki</t>
  </si>
  <si>
    <t>10-13-3</t>
  </si>
  <si>
    <t xml:space="preserve"> xis SuSabandis da fanjris  montaJi </t>
  </si>
  <si>
    <t>kvm</t>
  </si>
  <si>
    <t>Sromis  danaxarji</t>
  </si>
  <si>
    <t>sxva manqanebi</t>
  </si>
  <si>
    <t>სრფ4-80</t>
  </si>
  <si>
    <t>xis SuSabandis da fanjris Rirebuleba</t>
  </si>
  <si>
    <t>15-201-1</t>
  </si>
  <si>
    <t>xis SuSabandis  Seminva 4 mm-iani miniT</t>
  </si>
  <si>
    <t>3.7-26</t>
  </si>
  <si>
    <t>mina 4mm-iani</t>
  </si>
  <si>
    <t>3.2-128</t>
  </si>
  <si>
    <t>silikoni</t>
  </si>
  <si>
    <t xml:space="preserve">15-164-2 </t>
  </si>
  <si>
    <t>xis SuSabandis  SeRebva zeTovani saRebaviT</t>
  </si>
  <si>
    <t>m2</t>
  </si>
  <si>
    <t>სრფ3.4-36</t>
  </si>
  <si>
    <t xml:space="preserve"> zeTovani saRebavi</t>
  </si>
  <si>
    <t>სრფ3.4-16</t>
  </si>
  <si>
    <t>olifa</t>
  </si>
  <si>
    <t>9.-5-1</t>
  </si>
  <si>
    <t xml:space="preserve"> liTonis  karebis  mowyoba </t>
  </si>
  <si>
    <t>1.8 p.91</t>
  </si>
  <si>
    <t>liTonis  karebis  Rirebuleba</t>
  </si>
  <si>
    <t>1.9p.31</t>
  </si>
  <si>
    <t>samagri elementebi</t>
  </si>
  <si>
    <t>15-164-2</t>
  </si>
  <si>
    <t>liTonis karebis   SeRebva zeTovani saRebaviT 2 jer</t>
  </si>
  <si>
    <t>3.2-35</t>
  </si>
  <si>
    <t xml:space="preserve"> zeTis saRebavi</t>
  </si>
  <si>
    <t>3.2-16</t>
  </si>
  <si>
    <t>10-11-1.</t>
  </si>
  <si>
    <t>saxuravis xis konstruqciebi</t>
  </si>
  <si>
    <t>srf1.9p2</t>
  </si>
  <si>
    <t>lursmani</t>
  </si>
  <si>
    <t>srf1.1p1</t>
  </si>
  <si>
    <t>glinula</t>
  </si>
  <si>
    <t>srf3.2p1</t>
  </si>
  <si>
    <t>toli</t>
  </si>
  <si>
    <t>10-36-4</t>
  </si>
  <si>
    <t>molartyvis mowyoba sisq. 3sm</t>
  </si>
  <si>
    <t>10-38-3</t>
  </si>
  <si>
    <t>molartvis antiseptika</t>
  </si>
  <si>
    <t>srf       3.4p7</t>
  </si>
  <si>
    <t>pasta antiseptikuri</t>
  </si>
  <si>
    <t>errv 6-2-18</t>
  </si>
  <si>
    <t xml:space="preserve">burulis mowyoba moTuTiebuli TunuqiT sisq.0,5mm </t>
  </si>
  <si>
    <t xml:space="preserve">k/sT </t>
  </si>
  <si>
    <t>srf1.6-10</t>
  </si>
  <si>
    <t>Tunuqi moTuTiebuli sisq. 0,5mm</t>
  </si>
  <si>
    <t>srf1,9p5</t>
  </si>
  <si>
    <t>lursmani burulis moTuTiebuli</t>
  </si>
  <si>
    <t>51-2-1</t>
  </si>
  <si>
    <t>miwis damuSaveba sardafSi Casasvleli kibis mosawyobad</t>
  </si>
  <si>
    <t>6-16-5.</t>
  </si>
  <si>
    <t>3.1 p362</t>
  </si>
  <si>
    <t>yalibis ficari II xar 25-32mm-iani</t>
  </si>
  <si>
    <t>igive 40mm-iani da meti</t>
  </si>
  <si>
    <t>yalibis ficari III xar 40mm-iani</t>
  </si>
  <si>
    <t xml:space="preserve">  10-56-1</t>
  </si>
  <si>
    <t xml:space="preserve"> Sekiduli Weris mowyoba TabaSir-muyaos Cveulebrivi filebiT</t>
  </si>
  <si>
    <t xml:space="preserve">Sromis danaxarjebi </t>
  </si>
  <si>
    <t>sxva manqana</t>
  </si>
  <si>
    <t>9,1 p.15</t>
  </si>
  <si>
    <t>g.m</t>
  </si>
  <si>
    <t>9,1 p.38</t>
  </si>
  <si>
    <t>cali</t>
  </si>
  <si>
    <t>9,1-1</t>
  </si>
  <si>
    <t>TabaSirmuyaos fila  sisq. 12,5mm</t>
  </si>
  <si>
    <t>1.9p15</t>
  </si>
  <si>
    <t>saWreli diubeli,Surupi,samagri</t>
  </si>
  <si>
    <t>c</t>
  </si>
  <si>
    <t>15-168-8</t>
  </si>
  <si>
    <t xml:space="preserve"> Weris SeRebva wyalemulsiuri saRebaviT </t>
  </si>
  <si>
    <t xml:space="preserve">SromiTi resursebi </t>
  </si>
  <si>
    <t>3.4 p.43</t>
  </si>
  <si>
    <t>wyalemulsiuri saRebavi</t>
  </si>
  <si>
    <t>3.4 p.69</t>
  </si>
  <si>
    <t>webovan-zeTovani safiTxni</t>
  </si>
  <si>
    <t>11-8-1;11-8-2</t>
  </si>
  <si>
    <t xml:space="preserve">iatakze qv/cementis xsnaris moWimva sisq. 40 mm </t>
  </si>
  <si>
    <t>sabazro</t>
  </si>
  <si>
    <t>manqanebi 0,95+0,23X4=</t>
  </si>
  <si>
    <t>3.1 p.386</t>
  </si>
  <si>
    <t>qv/cementis xsnari 2,04+0,51X4=</t>
  </si>
  <si>
    <t>11-30-7.</t>
  </si>
  <si>
    <t xml:space="preserve"> keramogranitis filebis dageba  iatakze  webocementze</t>
  </si>
  <si>
    <t>3.1p343</t>
  </si>
  <si>
    <t>keramogranitis filebis Rirebuleba</t>
  </si>
  <si>
    <t>3.1 p215</t>
  </si>
  <si>
    <t xml:space="preserve">webocementi </t>
  </si>
  <si>
    <t>vd15-66-9</t>
  </si>
  <si>
    <t>kedlebis lesva gajiT</t>
  </si>
  <si>
    <t>3.1 p.232</t>
  </si>
  <si>
    <t>gaji</t>
  </si>
  <si>
    <t>3.1 p.242</t>
  </si>
  <si>
    <t>wyali</t>
  </si>
  <si>
    <t>15-168-7.</t>
  </si>
  <si>
    <t xml:space="preserve">kedlebis SefiTxvna da SeRebva </t>
  </si>
  <si>
    <t xml:space="preserve"> saRebavi wyalemylsiis</t>
  </si>
  <si>
    <t>3.2 p.69</t>
  </si>
  <si>
    <t>safiTxni</t>
  </si>
  <si>
    <t>15-52-1.</t>
  </si>
  <si>
    <t xml:space="preserve">fasadis lesva qv/cementis  xsnariT </t>
  </si>
  <si>
    <t xml:space="preserve">qv/cementis xsnari </t>
  </si>
  <si>
    <t>kodi1431</t>
  </si>
  <si>
    <t>xsnartumbo</t>
  </si>
  <si>
    <t>m/sT</t>
  </si>
  <si>
    <t>15-12-1.</t>
  </si>
  <si>
    <t>gare kibis  mopirkeTeba keramogranitis filebiT</t>
  </si>
  <si>
    <t>3.1 p.216</t>
  </si>
  <si>
    <t>webo-cementi yinvagamZle</t>
  </si>
  <si>
    <t>satransporto xarjebi masalebze 3%</t>
  </si>
  <si>
    <t>jami d.R.g.-s gareSe</t>
  </si>
  <si>
    <t xml:space="preserve">d.R.g. – 18% </t>
  </si>
  <si>
    <t>jami d.R.g.-s CaTvliT</t>
  </si>
  <si>
    <r>
      <t>m</t>
    </r>
    <r>
      <rPr>
        <b/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</si>
  <si>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</si>
  <si>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r>
      <t xml:space="preserve">monoliTuri r/betonis saZirkvlis filis  mowyoba sisq.30sm betoni </t>
    </r>
    <r>
      <rPr>
        <b/>
        <sz val="11"/>
        <rFont val="Times New Roman"/>
        <family val="1"/>
      </rPr>
      <t>W</t>
    </r>
    <r>
      <rPr>
        <b/>
        <sz val="11"/>
        <rFont val="AcadNusx"/>
      </rPr>
      <t xml:space="preserve">8 </t>
    </r>
    <r>
      <rPr>
        <b/>
        <sz val="11"/>
        <rFont val="Times New Roman"/>
        <family val="1"/>
        <charset val="204"/>
      </rPr>
      <t xml:space="preserve"> B25</t>
    </r>
  </si>
  <si>
    <r>
      <t xml:space="preserve">betoni </t>
    </r>
    <r>
      <rPr>
        <sz val="11"/>
        <rFont val="Times New Roman"/>
        <family val="1"/>
      </rPr>
      <t>W</t>
    </r>
    <r>
      <rPr>
        <sz val="11"/>
        <rFont val="AcadNusx"/>
      </rPr>
      <t xml:space="preserve">8 </t>
    </r>
    <r>
      <rPr>
        <sz val="11"/>
        <rFont val="Times New Roman"/>
        <family val="1"/>
        <charset val="204"/>
      </rPr>
      <t xml:space="preserve"> B</t>
    </r>
    <r>
      <rPr>
        <sz val="11"/>
        <rFont val="AcadNusx"/>
      </rPr>
      <t>25</t>
    </r>
  </si>
  <si>
    <r>
      <t>m</t>
    </r>
    <r>
      <rPr>
        <vertAlign val="superscript"/>
        <sz val="11"/>
        <rFont val="AcadNusx"/>
      </rPr>
      <t>2</t>
    </r>
  </si>
  <si>
    <r>
      <rPr>
        <b/>
        <sz val="11"/>
        <rFont val="Cambria"/>
        <family val="1"/>
        <charset val="204"/>
      </rPr>
      <t>d8A240C</t>
    </r>
    <r>
      <rPr>
        <b/>
        <sz val="11"/>
        <rFont val="AcadNusx"/>
      </rPr>
      <t xml:space="preserve"> klasis armatura</t>
    </r>
  </si>
  <si>
    <r>
      <rPr>
        <b/>
        <sz val="11"/>
        <rFont val="Cambria"/>
        <family val="1"/>
        <charset val="204"/>
      </rPr>
      <t>d12A500C</t>
    </r>
    <r>
      <rPr>
        <b/>
        <sz val="11"/>
        <rFont val="AcadNusx"/>
      </rPr>
      <t xml:space="preserve"> klasis armatura</t>
    </r>
  </si>
  <si>
    <r>
      <t>monoliTuri rkinabetonis sardafis kedlebis mowyoba sisq.30sm betoni</t>
    </r>
    <r>
      <rPr>
        <b/>
        <sz val="11"/>
        <rFont val="Times New Roman"/>
        <family val="1"/>
        <charset val="204"/>
      </rPr>
      <t xml:space="preserve"> W8 B25</t>
    </r>
  </si>
  <si>
    <r>
      <t xml:space="preserve">mon. r/b gadaxurvis filis mowyoba betoni </t>
    </r>
    <r>
      <rPr>
        <b/>
        <sz val="11"/>
        <rFont val="Times New Roman"/>
        <family val="1"/>
      </rPr>
      <t xml:space="preserve"> W8</t>
    </r>
    <r>
      <rPr>
        <b/>
        <sz val="11"/>
        <rFont val="AcadNusx"/>
      </rPr>
      <t>~</t>
    </r>
    <r>
      <rPr>
        <b/>
        <sz val="11"/>
        <rFont val="Times New Roman"/>
        <family val="1"/>
        <charset val="204"/>
      </rPr>
      <t>B</t>
    </r>
    <r>
      <rPr>
        <b/>
        <sz val="11"/>
        <rFont val="AcadNusx"/>
      </rPr>
      <t>25~</t>
    </r>
  </si>
  <si>
    <r>
      <t>m</t>
    </r>
    <r>
      <rPr>
        <b/>
        <vertAlign val="superscript"/>
        <sz val="11"/>
        <rFont val="AcadNusx"/>
      </rPr>
      <t>2</t>
    </r>
  </si>
  <si>
    <r>
      <t>kibeebis monoliTuri rk/betonis elementebi betoni ~</t>
    </r>
    <r>
      <rPr>
        <b/>
        <sz val="11"/>
        <rFont val="Times New Roman"/>
        <family val="1"/>
        <charset val="204"/>
      </rPr>
      <t>B</t>
    </r>
    <r>
      <rPr>
        <b/>
        <sz val="11"/>
        <rFont val="AcadNusx"/>
      </rPr>
      <t>25~</t>
    </r>
  </si>
  <si>
    <r>
      <t>betoni ~</t>
    </r>
    <r>
      <rPr>
        <sz val="11"/>
        <rFont val="Cambria"/>
        <family val="1"/>
        <charset val="204"/>
      </rPr>
      <t>B25</t>
    </r>
    <r>
      <rPr>
        <sz val="11"/>
        <rFont val="AcadNusx"/>
      </rPr>
      <t>~</t>
    </r>
  </si>
  <si>
    <r>
      <t>CD-</t>
    </r>
    <r>
      <rPr>
        <sz val="11"/>
        <rFont val="AcadNusx"/>
      </rPr>
      <t>profili</t>
    </r>
  </si>
  <si>
    <r>
      <t>CD-</t>
    </r>
    <r>
      <rPr>
        <sz val="11"/>
        <rFont val="AcadNusx"/>
      </rPr>
      <t>profilis gadasabmelebi da sxva</t>
    </r>
  </si>
  <si>
    <t>zednadebi xarjebi არაუმეტეს 10%</t>
  </si>
  <si>
    <t>gegmiuri mogeba არაუმეტეს 8%</t>
  </si>
  <si>
    <t xml:space="preserve">rezervi gauTvaliswinebel xarjebze არაუმეტეს 3% </t>
  </si>
  <si>
    <t>ავლაბრის ქ. №19-ში მდებარე საცხოვრებელი სახლის გამაგრების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</si>
</sst>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0000"/>
    <numFmt numFmtId="168" formatCode="_-* #,##0.00\ _₾_-;\-* #,##0.00\ _₾_-;_-* &quot;-&quot;??\ _₾_-;_-@_-"/>
  </numFmts>
  <fonts count="32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b/>
      <sz val="11"/>
      <color theme="1"/>
      <name val="Sylfaen"/>
      <family val="1"/>
      <charset val="204"/>
    </font>
    <font>
      <b/>
      <sz val="11"/>
      <color theme="1"/>
      <name val="AcadNusx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2"/>
      <name val="AcadNusx"/>
    </font>
    <font>
      <sz val="11"/>
      <name val="AcadNusx"/>
    </font>
    <font>
      <b/>
      <sz val="10"/>
      <color theme="1"/>
      <name val="Sylfaen"/>
      <family val="1"/>
    </font>
    <font>
      <b/>
      <sz val="10"/>
      <name val="Sylfaen"/>
      <family val="1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</font>
    <font>
      <b/>
      <sz val="11"/>
      <name val="AcadNusx"/>
    </font>
    <font>
      <b/>
      <sz val="11"/>
      <name val="AcadMtavr"/>
    </font>
    <font>
      <b/>
      <vertAlign val="superscript"/>
      <sz val="11"/>
      <name val="AcadNusx"/>
    </font>
    <font>
      <vertAlign val="superscript"/>
      <sz val="11"/>
      <name val="AcadNusx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Helv"/>
    </font>
    <font>
      <b/>
      <sz val="11"/>
      <name val="Arial Cyr"/>
      <family val="2"/>
      <charset val="204"/>
    </font>
    <font>
      <sz val="11"/>
      <name val="Arial Cyr"/>
      <family val="2"/>
      <charset val="1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AcadNusx"/>
      <family val="1"/>
      <charset val="204"/>
    </font>
    <font>
      <b/>
      <sz val="11"/>
      <name val="Cambria"/>
      <family val="1"/>
      <charset val="204"/>
    </font>
    <font>
      <b/>
      <sz val="11"/>
      <name val="Arial Cyr"/>
      <charset val="1"/>
    </font>
    <font>
      <sz val="11"/>
      <name val="Cambria"/>
      <family val="1"/>
      <charset val="204"/>
    </font>
    <font>
      <b/>
      <i/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</cellStyleXfs>
  <cellXfs count="246">
    <xf numFmtId="0" fontId="0" fillId="0" borderId="0" xfId="0"/>
    <xf numFmtId="0" fontId="1" fillId="0" borderId="0" xfId="0" applyNumberFormat="1" applyFont="1" applyFill="1"/>
    <xf numFmtId="0" fontId="1" fillId="0" borderId="0" xfId="0" applyNumberFormat="1" applyFont="1"/>
    <xf numFmtId="0" fontId="11" fillId="3" borderId="1" xfId="0" applyNumberFormat="1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9" fillId="3" borderId="1" xfId="5" applyFont="1" applyFill="1" applyBorder="1" applyAlignment="1">
      <alignment horizontal="center"/>
    </xf>
    <xf numFmtId="0" fontId="14" fillId="0" borderId="1" xfId="0" applyFont="1" applyBorder="1"/>
    <xf numFmtId="0" fontId="10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horizontal="center" vertical="top"/>
    </xf>
    <xf numFmtId="166" fontId="16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/>
    </xf>
    <xf numFmtId="166" fontId="10" fillId="2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/>
    <xf numFmtId="2" fontId="16" fillId="0" borderId="1" xfId="0" applyNumberFormat="1" applyFont="1" applyFill="1" applyBorder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top" wrapText="1"/>
    </xf>
    <xf numFmtId="0" fontId="10" fillId="0" borderId="1" xfId="0" applyFont="1" applyBorder="1"/>
    <xf numFmtId="2" fontId="10" fillId="0" borderId="1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166" fontId="10" fillId="4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vertical="top"/>
    </xf>
    <xf numFmtId="2" fontId="23" fillId="0" borderId="1" xfId="0" applyNumberFormat="1" applyFont="1" applyBorder="1"/>
    <xf numFmtId="2" fontId="16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165" fontId="10" fillId="0" borderId="1" xfId="0" applyNumberFormat="1" applyFont="1" applyBorder="1" applyAlignment="1">
      <alignment horizontal="center"/>
    </xf>
    <xf numFmtId="47" fontId="10" fillId="5" borderId="1" xfId="7" quotePrefix="1" applyNumberFormat="1" applyFont="1" applyFill="1" applyBorder="1" applyAlignment="1">
      <alignment horizontal="center"/>
    </xf>
    <xf numFmtId="0" fontId="10" fillId="5" borderId="1" xfId="7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165" fontId="16" fillId="5" borderId="1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0" fontId="10" fillId="5" borderId="1" xfId="8" applyFont="1" applyFill="1" applyBorder="1" applyAlignment="1">
      <alignment horizontal="center"/>
    </xf>
    <xf numFmtId="164" fontId="10" fillId="5" borderId="1" xfId="8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2" fontId="14" fillId="0" borderId="1" xfId="0" applyNumberFormat="1" applyFont="1" applyBorder="1" applyAlignment="1">
      <alignment vertical="top"/>
    </xf>
    <xf numFmtId="0" fontId="10" fillId="5" borderId="1" xfId="7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10" fillId="0" borderId="1" xfId="9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2" fontId="10" fillId="0" borderId="1" xfId="9" applyNumberFormat="1" applyFont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left" vertical="top" wrapText="1"/>
    </xf>
    <xf numFmtId="2" fontId="16" fillId="5" borderId="1" xfId="0" applyNumberFormat="1" applyFont="1" applyFill="1" applyBorder="1" applyAlignment="1">
      <alignment horizontal="center" vertical="top"/>
    </xf>
    <xf numFmtId="166" fontId="0" fillId="0" borderId="1" xfId="0" applyNumberFormat="1" applyFont="1" applyBorder="1"/>
    <xf numFmtId="0" fontId="16" fillId="5" borderId="1" xfId="8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left" vertical="top"/>
    </xf>
    <xf numFmtId="2" fontId="10" fillId="5" borderId="1" xfId="0" applyNumberFormat="1" applyFont="1" applyFill="1" applyBorder="1" applyAlignment="1">
      <alignment horizontal="center" vertical="top"/>
    </xf>
    <xf numFmtId="2" fontId="10" fillId="5" borderId="1" xfId="8" applyNumberFormat="1" applyFont="1" applyFill="1" applyBorder="1" applyAlignment="1">
      <alignment horizontal="center" vertical="top"/>
    </xf>
    <xf numFmtId="165" fontId="10" fillId="5" borderId="1" xfId="0" applyNumberFormat="1" applyFont="1" applyFill="1" applyBorder="1" applyAlignment="1">
      <alignment horizontal="center" vertical="top"/>
    </xf>
    <xf numFmtId="0" fontId="10" fillId="5" borderId="1" xfId="8" applyFont="1" applyFill="1" applyBorder="1" applyAlignment="1">
      <alignment horizontal="center" vertical="top"/>
    </xf>
    <xf numFmtId="164" fontId="10" fillId="5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10" fillId="5" borderId="1" xfId="0" applyFont="1" applyFill="1" applyBorder="1" applyAlignment="1">
      <alignment horizontal="center" vertical="top" wrapText="1"/>
    </xf>
    <xf numFmtId="0" fontId="16" fillId="5" borderId="1" xfId="0" quotePrefix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vertical="top" wrapText="1"/>
    </xf>
    <xf numFmtId="0" fontId="16" fillId="5" borderId="1" xfId="0" applyFont="1" applyFill="1" applyBorder="1" applyAlignment="1">
      <alignment horizontal="center" vertical="top" wrapText="1"/>
    </xf>
    <xf numFmtId="2" fontId="16" fillId="5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2" fontId="16" fillId="5" borderId="1" xfId="1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1" xfId="10" applyFont="1" applyFill="1" applyBorder="1" applyAlignment="1">
      <alignment horizontal="center" vertical="top" wrapText="1"/>
    </xf>
    <xf numFmtId="2" fontId="10" fillId="5" borderId="1" xfId="10" applyNumberFormat="1" applyFont="1" applyFill="1" applyBorder="1" applyAlignment="1">
      <alignment horizontal="center" vertical="top" wrapText="1"/>
    </xf>
    <xf numFmtId="165" fontId="10" fillId="5" borderId="1" xfId="10" applyNumberFormat="1" applyFont="1" applyFill="1" applyBorder="1" applyAlignment="1">
      <alignment horizontal="center" vertical="top" wrapText="1"/>
    </xf>
    <xf numFmtId="0" fontId="10" fillId="5" borderId="1" xfId="0" quotePrefix="1" applyFont="1" applyFill="1" applyBorder="1" applyAlignment="1">
      <alignment horizontal="center" vertical="top" wrapText="1"/>
    </xf>
    <xf numFmtId="0" fontId="21" fillId="5" borderId="1" xfId="0" quotePrefix="1" applyFont="1" applyFill="1" applyBorder="1" applyAlignment="1">
      <alignment horizontal="center" vertical="top" wrapText="1"/>
    </xf>
    <xf numFmtId="14" fontId="10" fillId="0" borderId="1" xfId="0" quotePrefix="1" applyNumberFormat="1" applyFont="1" applyBorder="1" applyAlignment="1">
      <alignment horizontal="center" vertical="top"/>
    </xf>
    <xf numFmtId="164" fontId="10" fillId="5" borderId="1" xfId="10" applyNumberFormat="1" applyFont="1" applyFill="1" applyBorder="1" applyAlignment="1">
      <alignment horizontal="center" vertical="top" wrapText="1"/>
    </xf>
    <xf numFmtId="0" fontId="10" fillId="5" borderId="1" xfId="10" applyFont="1" applyFill="1" applyBorder="1" applyAlignment="1">
      <alignment vertical="top" wrapText="1"/>
    </xf>
    <xf numFmtId="0" fontId="16" fillId="0" borderId="1" xfId="9" applyFont="1" applyBorder="1" applyAlignment="1">
      <alignment horizontal="left" vertical="top" wrapText="1"/>
    </xf>
    <xf numFmtId="0" fontId="16" fillId="0" borderId="1" xfId="9" applyFont="1" applyBorder="1" applyAlignment="1">
      <alignment horizontal="center" vertical="top"/>
    </xf>
    <xf numFmtId="2" fontId="16" fillId="0" borderId="1" xfId="9" applyNumberFormat="1" applyFont="1" applyBorder="1" applyAlignment="1">
      <alignment horizontal="center" vertical="top"/>
    </xf>
    <xf numFmtId="0" fontId="10" fillId="0" borderId="1" xfId="9" applyFont="1" applyBorder="1" applyAlignment="1">
      <alignment horizontal="center"/>
    </xf>
    <xf numFmtId="0" fontId="10" fillId="0" borderId="1" xfId="9" applyFont="1" applyBorder="1" applyAlignment="1">
      <alignment horizontal="left"/>
    </xf>
    <xf numFmtId="2" fontId="10" fillId="0" borderId="1" xfId="9" applyNumberFormat="1" applyFont="1" applyBorder="1" applyAlignment="1">
      <alignment horizontal="center"/>
    </xf>
    <xf numFmtId="2" fontId="10" fillId="5" borderId="1" xfId="11" applyNumberFormat="1" applyFont="1" applyFill="1" applyBorder="1" applyAlignment="1">
      <alignment horizontal="center" vertical="center"/>
    </xf>
    <xf numFmtId="2" fontId="14" fillId="0" borderId="1" xfId="9" applyNumberFormat="1" applyFont="1" applyBorder="1"/>
    <xf numFmtId="2" fontId="14" fillId="0" borderId="1" xfId="9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/>
    </xf>
    <xf numFmtId="2" fontId="29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left"/>
    </xf>
    <xf numFmtId="49" fontId="16" fillId="0" borderId="1" xfId="0" applyNumberFormat="1" applyFont="1" applyBorder="1" applyAlignment="1">
      <alignment horizontal="left" wrapText="1"/>
    </xf>
    <xf numFmtId="0" fontId="10" fillId="5" borderId="1" xfId="7" applyFont="1" applyFill="1" applyBorder="1" applyAlignment="1">
      <alignment horizontal="left"/>
    </xf>
    <xf numFmtId="0" fontId="25" fillId="5" borderId="1" xfId="0" quotePrefix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2" fontId="10" fillId="5" borderId="1" xfId="0" applyNumberFormat="1" applyFont="1" applyFill="1" applyBorder="1" applyAlignment="1">
      <alignment horizontal="center" vertical="top" wrapText="1"/>
    </xf>
    <xf numFmtId="165" fontId="10" fillId="5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" xfId="4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1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12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5" borderId="1" xfId="11" applyFont="1" applyFill="1" applyBorder="1" applyAlignment="1">
      <alignment horizontal="center" vertical="center"/>
    </xf>
    <xf numFmtId="0" fontId="16" fillId="0" borderId="1" xfId="11" applyFont="1" applyBorder="1" applyAlignment="1">
      <alignment horizontal="center" vertical="center"/>
    </xf>
    <xf numFmtId="0" fontId="16" fillId="0" borderId="1" xfId="11" applyFont="1" applyBorder="1" applyAlignment="1">
      <alignment horizontal="left" vertical="center" wrapText="1"/>
    </xf>
    <xf numFmtId="2" fontId="16" fillId="0" borderId="1" xfId="11" applyNumberFormat="1" applyFont="1" applyBorder="1" applyAlignment="1">
      <alignment horizontal="center" vertical="center"/>
    </xf>
    <xf numFmtId="0" fontId="10" fillId="0" borderId="1" xfId="11" applyFont="1" applyBorder="1" applyAlignment="1">
      <alignment horizontal="center" vertical="center"/>
    </xf>
    <xf numFmtId="0" fontId="10" fillId="0" borderId="1" xfId="11" applyFont="1" applyBorder="1" applyAlignment="1">
      <alignment vertical="center"/>
    </xf>
    <xf numFmtId="0" fontId="10" fillId="0" borderId="1" xfId="11" applyFont="1" applyBorder="1" applyAlignment="1">
      <alignment horizontal="left" vertical="center"/>
    </xf>
    <xf numFmtId="2" fontId="10" fillId="0" borderId="1" xfId="11" applyNumberFormat="1" applyFont="1" applyBorder="1" applyAlignment="1">
      <alignment horizontal="center" vertical="center"/>
    </xf>
    <xf numFmtId="165" fontId="10" fillId="0" borderId="1" xfId="11" applyNumberFormat="1" applyFont="1" applyBorder="1" applyAlignment="1">
      <alignment horizontal="center" vertical="center"/>
    </xf>
    <xf numFmtId="0" fontId="10" fillId="0" borderId="1" xfId="11" applyFont="1" applyBorder="1" applyAlignment="1">
      <alignment horizontal="left" vertical="center" wrapText="1"/>
    </xf>
    <xf numFmtId="164" fontId="10" fillId="0" borderId="1" xfId="11" applyNumberFormat="1" applyFont="1" applyBorder="1" applyAlignment="1">
      <alignment horizontal="center" vertical="center"/>
    </xf>
    <xf numFmtId="16" fontId="10" fillId="0" borderId="1" xfId="9" applyNumberFormat="1" applyFont="1" applyBorder="1" applyAlignment="1">
      <alignment horizontal="center" vertical="top"/>
    </xf>
    <xf numFmtId="2" fontId="16" fillId="0" borderId="1" xfId="13" applyNumberFormat="1" applyFont="1" applyBorder="1" applyAlignment="1">
      <alignment horizontal="center" vertical="top"/>
    </xf>
    <xf numFmtId="2" fontId="10" fillId="0" borderId="1" xfId="13" applyNumberFormat="1" applyFont="1" applyBorder="1" applyAlignment="1">
      <alignment horizontal="center"/>
    </xf>
    <xf numFmtId="2" fontId="10" fillId="0" borderId="1" xfId="13" applyNumberFormat="1" applyFont="1" applyBorder="1" applyAlignment="1">
      <alignment horizontal="center" vertical="top" wrapText="1"/>
    </xf>
    <xf numFmtId="0" fontId="16" fillId="5" borderId="1" xfId="11" applyFont="1" applyFill="1" applyBorder="1" applyAlignment="1">
      <alignment horizontal="center"/>
    </xf>
    <xf numFmtId="0" fontId="16" fillId="5" borderId="1" xfId="11" applyFont="1" applyFill="1" applyBorder="1" applyAlignment="1">
      <alignment horizontal="left"/>
    </xf>
    <xf numFmtId="2" fontId="16" fillId="5" borderId="1" xfId="11" applyNumberFormat="1" applyFont="1" applyFill="1" applyBorder="1" applyAlignment="1">
      <alignment horizontal="center"/>
    </xf>
    <xf numFmtId="0" fontId="16" fillId="5" borderId="1" xfId="8" applyFont="1" applyFill="1" applyBorder="1" applyAlignment="1">
      <alignment horizontal="center"/>
    </xf>
    <xf numFmtId="0" fontId="10" fillId="5" borderId="1" xfId="11" applyFont="1" applyFill="1" applyBorder="1" applyAlignment="1">
      <alignment horizontal="center"/>
    </xf>
    <xf numFmtId="0" fontId="10" fillId="5" borderId="1" xfId="11" applyFont="1" applyFill="1" applyBorder="1" applyAlignment="1">
      <alignment horizontal="left"/>
    </xf>
    <xf numFmtId="2" fontId="10" fillId="5" borderId="1" xfId="11" applyNumberFormat="1" applyFont="1" applyFill="1" applyBorder="1" applyAlignment="1">
      <alignment horizontal="center"/>
    </xf>
    <xf numFmtId="2" fontId="10" fillId="5" borderId="1" xfId="8" applyNumberFormat="1" applyFont="1" applyFill="1" applyBorder="1" applyAlignment="1">
      <alignment horizontal="center"/>
    </xf>
    <xf numFmtId="165" fontId="10" fillId="5" borderId="1" xfId="11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0" fontId="10" fillId="5" borderId="1" xfId="12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165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5" borderId="1" xfId="12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center" vertical="center" wrapText="1"/>
    </xf>
    <xf numFmtId="2" fontId="10" fillId="5" borderId="1" xfId="12" applyNumberFormat="1" applyFont="1" applyFill="1" applyBorder="1" applyAlignment="1">
      <alignment horizontal="center"/>
    </xf>
    <xf numFmtId="2" fontId="10" fillId="0" borderId="1" xfId="12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2" fontId="10" fillId="5" borderId="1" xfId="12" applyNumberFormat="1" applyFont="1" applyFill="1" applyBorder="1" applyAlignment="1">
      <alignment horizontal="center" vertical="center"/>
    </xf>
    <xf numFmtId="0" fontId="10" fillId="0" borderId="1" xfId="11" applyFont="1" applyBorder="1" applyAlignment="1">
      <alignment horizontal="center"/>
    </xf>
    <xf numFmtId="0" fontId="10" fillId="0" borderId="1" xfId="8" applyFont="1" applyBorder="1" applyAlignment="1">
      <alignment horizontal="center"/>
    </xf>
    <xf numFmtId="2" fontId="10" fillId="0" borderId="1" xfId="8" applyNumberFormat="1" applyFont="1" applyBorder="1" applyAlignment="1">
      <alignment horizontal="center"/>
    </xf>
    <xf numFmtId="0" fontId="10" fillId="0" borderId="1" xfId="14" applyFont="1" applyBorder="1" applyAlignment="1">
      <alignment horizontal="center" vertical="center"/>
    </xf>
    <xf numFmtId="0" fontId="16" fillId="0" borderId="1" xfId="14" applyFont="1" applyBorder="1" applyAlignment="1">
      <alignment horizontal="left" vertical="center" wrapText="1"/>
    </xf>
    <xf numFmtId="0" fontId="16" fillId="0" borderId="1" xfId="14" applyFont="1" applyBorder="1" applyAlignment="1">
      <alignment horizontal="center" vertical="center"/>
    </xf>
    <xf numFmtId="2" fontId="16" fillId="0" borderId="1" xfId="14" applyNumberFormat="1" applyFont="1" applyBorder="1" applyAlignment="1">
      <alignment horizontal="center" vertical="center"/>
    </xf>
    <xf numFmtId="2" fontId="10" fillId="0" borderId="1" xfId="14" applyNumberFormat="1" applyFont="1" applyBorder="1" applyAlignment="1">
      <alignment horizontal="center" vertical="center"/>
    </xf>
    <xf numFmtId="0" fontId="10" fillId="0" borderId="1" xfId="14" applyFont="1" applyBorder="1" applyAlignment="1">
      <alignment horizontal="left" vertical="center"/>
    </xf>
    <xf numFmtId="2" fontId="10" fillId="5" borderId="1" xfId="13" applyNumberFormat="1" applyFont="1" applyFill="1" applyBorder="1" applyAlignment="1">
      <alignment horizontal="center" vertical="top"/>
    </xf>
    <xf numFmtId="167" fontId="10" fillId="0" borderId="1" xfId="14" applyNumberFormat="1" applyFont="1" applyBorder="1" applyAlignment="1">
      <alignment horizontal="center" vertical="center"/>
    </xf>
    <xf numFmtId="0" fontId="10" fillId="0" borderId="1" xfId="14" applyFont="1" applyBorder="1" applyAlignment="1">
      <alignment horizontal="center"/>
    </xf>
    <xf numFmtId="0" fontId="10" fillId="0" borderId="1" xfId="14" applyFont="1" applyBorder="1" applyAlignment="1">
      <alignment horizontal="left"/>
    </xf>
    <xf numFmtId="2" fontId="10" fillId="0" borderId="1" xfId="14" applyNumberFormat="1" applyFont="1" applyBorder="1" applyAlignment="1">
      <alignment horizontal="center"/>
    </xf>
    <xf numFmtId="0" fontId="10" fillId="0" borderId="1" xfId="12" applyFont="1" applyBorder="1" applyAlignment="1">
      <alignment horizontal="center"/>
    </xf>
    <xf numFmtId="165" fontId="10" fillId="0" borderId="1" xfId="14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2" fontId="23" fillId="2" borderId="1" xfId="0" applyNumberFormat="1" applyFont="1" applyFill="1" applyBorder="1" applyAlignment="1">
      <alignment horizontal="center" vertical="top"/>
    </xf>
    <xf numFmtId="0" fontId="16" fillId="2" borderId="1" xfId="15" applyFont="1" applyFill="1" applyBorder="1" applyAlignment="1">
      <alignment horizontal="center" vertical="top"/>
    </xf>
    <xf numFmtId="0" fontId="31" fillId="2" borderId="1" xfId="15" applyFont="1" applyFill="1" applyBorder="1" applyAlignment="1">
      <alignment horizontal="center" vertical="top"/>
    </xf>
    <xf numFmtId="4" fontId="16" fillId="2" borderId="1" xfId="0" applyNumberFormat="1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6" fillId="4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5" borderId="1" xfId="0" applyNumberFormat="1" applyFont="1" applyFill="1" applyBorder="1" applyAlignment="1">
      <alignment horizontal="center"/>
    </xf>
    <xf numFmtId="4" fontId="16" fillId="5" borderId="1" xfId="8" applyNumberFormat="1" applyFont="1" applyFill="1" applyBorder="1" applyAlignment="1">
      <alignment horizontal="center" vertical="top"/>
    </xf>
    <xf numFmtId="4" fontId="10" fillId="5" borderId="1" xfId="0" applyNumberFormat="1" applyFont="1" applyFill="1" applyBorder="1" applyAlignment="1">
      <alignment horizontal="center" vertical="top"/>
    </xf>
    <xf numFmtId="4" fontId="16" fillId="5" borderId="1" xfId="0" applyNumberFormat="1" applyFont="1" applyFill="1" applyBorder="1" applyAlignment="1">
      <alignment horizontal="center" vertical="top"/>
    </xf>
    <xf numFmtId="4" fontId="10" fillId="5" borderId="1" xfId="10" applyNumberFormat="1" applyFont="1" applyFill="1" applyBorder="1" applyAlignment="1">
      <alignment horizontal="center" vertical="top" wrapText="1"/>
    </xf>
    <xf numFmtId="4" fontId="16" fillId="5" borderId="1" xfId="10" applyNumberFormat="1" applyFont="1" applyFill="1" applyBorder="1" applyAlignment="1">
      <alignment horizontal="center" vertical="top" wrapText="1"/>
    </xf>
    <xf numFmtId="4" fontId="16" fillId="0" borderId="1" xfId="9" applyNumberFormat="1" applyFont="1" applyBorder="1" applyAlignment="1">
      <alignment horizontal="center" vertical="top"/>
    </xf>
    <xf numFmtId="4" fontId="10" fillId="0" borderId="1" xfId="9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 vertical="top" wrapText="1"/>
    </xf>
    <xf numFmtId="4" fontId="16" fillId="5" borderId="1" xfId="0" applyNumberFormat="1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horizontal="center" vertical="top" wrapText="1"/>
    </xf>
    <xf numFmtId="4" fontId="16" fillId="0" borderId="1" xfId="12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6" fillId="0" borderId="1" xfId="11" applyNumberFormat="1" applyFont="1" applyBorder="1" applyAlignment="1">
      <alignment horizontal="center" vertical="center"/>
    </xf>
    <xf numFmtId="4" fontId="10" fillId="0" borderId="1" xfId="11" applyNumberFormat="1" applyFont="1" applyBorder="1" applyAlignment="1">
      <alignment horizontal="center" vertical="center"/>
    </xf>
    <xf numFmtId="4" fontId="16" fillId="0" borderId="1" xfId="13" applyNumberFormat="1" applyFont="1" applyBorder="1" applyAlignment="1">
      <alignment horizontal="center" vertical="top"/>
    </xf>
    <xf numFmtId="4" fontId="10" fillId="0" borderId="1" xfId="13" applyNumberFormat="1" applyFont="1" applyBorder="1" applyAlignment="1">
      <alignment horizontal="center"/>
    </xf>
    <xf numFmtId="4" fontId="16" fillId="5" borderId="1" xfId="8" applyNumberFormat="1" applyFont="1" applyFill="1" applyBorder="1" applyAlignment="1">
      <alignment horizontal="center"/>
    </xf>
    <xf numFmtId="4" fontId="10" fillId="5" borderId="1" xfId="11" applyNumberFormat="1" applyFont="1" applyFill="1" applyBorder="1" applyAlignment="1">
      <alignment horizontal="center"/>
    </xf>
    <xf numFmtId="4" fontId="16" fillId="5" borderId="1" xfId="12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14" applyNumberFormat="1" applyFont="1" applyBorder="1" applyAlignment="1">
      <alignment horizontal="center" vertical="center"/>
    </xf>
    <xf numFmtId="4" fontId="10" fillId="0" borderId="1" xfId="14" applyNumberFormat="1" applyFont="1" applyBorder="1" applyAlignment="1">
      <alignment horizontal="center" vertical="center"/>
    </xf>
    <xf numFmtId="4" fontId="10" fillId="0" borderId="1" xfId="14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/>
    </xf>
    <xf numFmtId="0" fontId="1" fillId="0" borderId="2" xfId="0" applyNumberFormat="1" applyFont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/>
    </xf>
    <xf numFmtId="0" fontId="9" fillId="3" borderId="6" xfId="5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12" fillId="3" borderId="3" xfId="5" applyFont="1" applyFill="1" applyBorder="1" applyAlignment="1">
      <alignment horizontal="center" vertical="center"/>
    </xf>
    <xf numFmtId="0" fontId="12" fillId="3" borderId="7" xfId="5" applyFont="1" applyFill="1" applyBorder="1" applyAlignment="1">
      <alignment horizontal="center" vertical="center"/>
    </xf>
    <xf numFmtId="0" fontId="12" fillId="3" borderId="4" xfId="5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</cellXfs>
  <cellStyles count="16">
    <cellStyle name="Comma 51 4" xfId="13"/>
    <cellStyle name="Normal" xfId="0" builtinId="0"/>
    <cellStyle name="Normal 2" xfId="1"/>
    <cellStyle name="Normal 2 2" xfId="2"/>
    <cellStyle name="Normal 2 57" xfId="10"/>
    <cellStyle name="Normal 29" xfId="6"/>
    <cellStyle name="Normal 3 2 2" xfId="3"/>
    <cellStyle name="Normal 37 2" xfId="14"/>
    <cellStyle name="Normal 56" xfId="7"/>
    <cellStyle name="Normal_dasakorektirebeli xarjTaRricxva auziT 2" xfId="9"/>
    <cellStyle name="Normal_gare wyalsadfenigagarini 10" xfId="8"/>
    <cellStyle name="Normal_gare wyalsadfenigagarini 2_SMSH2008-IIkv ." xfId="12"/>
    <cellStyle name="Normal_gare wyalsadfenigagarini_VENTILACIA" xfId="5"/>
    <cellStyle name="Normal_krebsiti esp" xfId="15"/>
    <cellStyle name="Style 1" xfId="4"/>
    <cellStyle name="Обычный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zoomScaleNormal="100" zoomScaleSheetLayoutView="11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7" sqref="F197"/>
    </sheetView>
  </sheetViews>
  <sheetFormatPr defaultColWidth="9.125" defaultRowHeight="15"/>
  <cols>
    <col min="1" max="1" width="5" style="1" customWidth="1"/>
    <col min="2" max="2" width="12.875" style="1" customWidth="1"/>
    <col min="3" max="3" width="53.875" style="1" customWidth="1"/>
    <col min="4" max="4" width="9.125" style="1"/>
    <col min="5" max="5" width="8.125" style="1" customWidth="1"/>
    <col min="6" max="6" width="9" style="1" customWidth="1"/>
    <col min="7" max="7" width="8.125" style="1" customWidth="1"/>
    <col min="8" max="8" width="8.625" style="1" customWidth="1"/>
    <col min="9" max="9" width="8.75" style="1" customWidth="1"/>
    <col min="10" max="10" width="9" style="1" customWidth="1"/>
    <col min="11" max="11" width="7.75" style="1" customWidth="1"/>
    <col min="12" max="12" width="9.875" style="1" customWidth="1"/>
    <col min="13" max="13" width="12.25" style="1" customWidth="1"/>
    <col min="14" max="16384" width="9.125" style="1"/>
  </cols>
  <sheetData>
    <row r="1" spans="1:13" s="2" customFormat="1" ht="20.25" customHeight="1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2" customFormat="1" ht="45" customHeight="1">
      <c r="A2" s="234" t="s">
        <v>242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ht="30.75" customHeight="1">
      <c r="A3" s="235" t="s">
        <v>2</v>
      </c>
      <c r="B3" s="235" t="s">
        <v>3</v>
      </c>
      <c r="C3" s="237" t="s">
        <v>24</v>
      </c>
      <c r="D3" s="239" t="s">
        <v>28</v>
      </c>
      <c r="E3" s="240"/>
      <c r="F3" s="241"/>
      <c r="G3" s="242" t="s">
        <v>25</v>
      </c>
      <c r="H3" s="243"/>
      <c r="I3" s="242" t="s">
        <v>26</v>
      </c>
      <c r="J3" s="243"/>
      <c r="K3" s="242" t="s">
        <v>27</v>
      </c>
      <c r="L3" s="243"/>
      <c r="M3" s="244" t="s">
        <v>21</v>
      </c>
    </row>
    <row r="4" spans="1:13" ht="41.25" customHeight="1">
      <c r="A4" s="236"/>
      <c r="B4" s="236"/>
      <c r="C4" s="238"/>
      <c r="D4" s="3" t="s">
        <v>22</v>
      </c>
      <c r="E4" s="3" t="s">
        <v>23</v>
      </c>
      <c r="F4" s="3" t="s">
        <v>20</v>
      </c>
      <c r="G4" s="3" t="s">
        <v>19</v>
      </c>
      <c r="H4" s="3" t="s">
        <v>20</v>
      </c>
      <c r="I4" s="3" t="s">
        <v>19</v>
      </c>
      <c r="J4" s="3" t="s">
        <v>20</v>
      </c>
      <c r="K4" s="3" t="s">
        <v>19</v>
      </c>
      <c r="L4" s="3" t="s">
        <v>20</v>
      </c>
      <c r="M4" s="245"/>
    </row>
    <row r="5" spans="1:13" ht="17.25">
      <c r="A5" s="4" t="s">
        <v>4</v>
      </c>
      <c r="B5" s="5" t="s">
        <v>5</v>
      </c>
      <c r="C5" s="5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</row>
    <row r="6" spans="1:13" ht="33">
      <c r="A6" s="7">
        <v>1</v>
      </c>
      <c r="B6" s="7" t="s">
        <v>29</v>
      </c>
      <c r="C6" s="8" t="s">
        <v>30</v>
      </c>
      <c r="D6" s="9" t="s">
        <v>31</v>
      </c>
      <c r="E6" s="10">
        <f>4.96*4.36*2.9</f>
        <v>62.714240000000004</v>
      </c>
      <c r="F6" s="10"/>
      <c r="G6" s="10"/>
      <c r="H6" s="10"/>
      <c r="I6" s="10"/>
      <c r="J6" s="11"/>
      <c r="K6" s="10"/>
      <c r="L6" s="10"/>
      <c r="M6" s="197">
        <f>SUM(M7:M8)</f>
        <v>0</v>
      </c>
    </row>
    <row r="7" spans="1:13" ht="15.75">
      <c r="A7" s="7"/>
      <c r="B7" s="7"/>
      <c r="C7" s="7" t="s">
        <v>32</v>
      </c>
      <c r="D7" s="12" t="s">
        <v>33</v>
      </c>
      <c r="E7" s="7">
        <v>2.2799999999999998</v>
      </c>
      <c r="F7" s="13">
        <f>E6*E7</f>
        <v>142.9884672</v>
      </c>
      <c r="G7" s="13">
        <v>6.6</v>
      </c>
      <c r="H7" s="13"/>
      <c r="I7" s="13"/>
      <c r="J7" s="14"/>
      <c r="K7" s="13"/>
      <c r="L7" s="13"/>
      <c r="M7" s="198">
        <f>H7</f>
        <v>0</v>
      </c>
    </row>
    <row r="8" spans="1:13" ht="15.75">
      <c r="A8" s="7"/>
      <c r="B8" s="7"/>
      <c r="C8" s="7" t="s">
        <v>34</v>
      </c>
      <c r="D8" s="7" t="s">
        <v>35</v>
      </c>
      <c r="E8" s="7">
        <v>0.70150000000000001</v>
      </c>
      <c r="F8" s="13">
        <f>E6*E8</f>
        <v>43.994039360000002</v>
      </c>
      <c r="G8" s="13"/>
      <c r="H8" s="13"/>
      <c r="I8" s="13"/>
      <c r="J8" s="14"/>
      <c r="K8" s="13">
        <v>4</v>
      </c>
      <c r="L8" s="13"/>
      <c r="M8" s="198">
        <f>L8</f>
        <v>0</v>
      </c>
    </row>
    <row r="9" spans="1:13" ht="16.5">
      <c r="A9" s="7">
        <v>2</v>
      </c>
      <c r="B9" s="7" t="s">
        <v>36</v>
      </c>
      <c r="C9" s="8" t="s">
        <v>37</v>
      </c>
      <c r="D9" s="9" t="s">
        <v>31</v>
      </c>
      <c r="E9" s="10">
        <v>1.4</v>
      </c>
      <c r="F9" s="10"/>
      <c r="G9" s="10"/>
      <c r="H9" s="10"/>
      <c r="I9" s="10"/>
      <c r="J9" s="11"/>
      <c r="K9" s="10"/>
      <c r="L9" s="10"/>
      <c r="M9" s="197">
        <f>SUM(M10:M11)</f>
        <v>0</v>
      </c>
    </row>
    <row r="10" spans="1:13" ht="15.75">
      <c r="A10" s="7"/>
      <c r="B10" s="7"/>
      <c r="C10" s="7" t="s">
        <v>32</v>
      </c>
      <c r="D10" s="12" t="s">
        <v>33</v>
      </c>
      <c r="E10" s="7">
        <v>8.8000000000000007</v>
      </c>
      <c r="F10" s="13">
        <f>E9*E10</f>
        <v>12.32</v>
      </c>
      <c r="G10" s="13">
        <v>6.6</v>
      </c>
      <c r="H10" s="13"/>
      <c r="I10" s="13"/>
      <c r="J10" s="14"/>
      <c r="K10" s="13"/>
      <c r="L10" s="13"/>
      <c r="M10" s="198">
        <f>H10</f>
        <v>0</v>
      </c>
    </row>
    <row r="11" spans="1:13" ht="15.75">
      <c r="A11" s="7"/>
      <c r="B11" s="7"/>
      <c r="C11" s="7" t="s">
        <v>34</v>
      </c>
      <c r="D11" s="7" t="s">
        <v>35</v>
      </c>
      <c r="E11" s="7">
        <v>4.8</v>
      </c>
      <c r="F11" s="13">
        <f>E9*E11</f>
        <v>6.72</v>
      </c>
      <c r="G11" s="13"/>
      <c r="H11" s="13"/>
      <c r="I11" s="13"/>
      <c r="J11" s="14"/>
      <c r="K11" s="13">
        <v>4</v>
      </c>
      <c r="L11" s="13"/>
      <c r="M11" s="198">
        <f>L11</f>
        <v>0</v>
      </c>
    </row>
    <row r="12" spans="1:13" ht="16.5">
      <c r="A12" s="7">
        <v>3</v>
      </c>
      <c r="B12" s="7" t="s">
        <v>38</v>
      </c>
      <c r="C12" s="8" t="s">
        <v>39</v>
      </c>
      <c r="D12" s="9" t="s">
        <v>31</v>
      </c>
      <c r="E12" s="10">
        <f>15.4*0.6</f>
        <v>9.24</v>
      </c>
      <c r="F12" s="10"/>
      <c r="G12" s="10"/>
      <c r="H12" s="10"/>
      <c r="I12" s="10"/>
      <c r="J12" s="11"/>
      <c r="K12" s="10"/>
      <c r="L12" s="10"/>
      <c r="M12" s="197">
        <f>SUM(M13:M14)</f>
        <v>0</v>
      </c>
    </row>
    <row r="13" spans="1:13" ht="15.75">
      <c r="A13" s="7"/>
      <c r="B13" s="7"/>
      <c r="C13" s="7" t="s">
        <v>32</v>
      </c>
      <c r="D13" s="12" t="s">
        <v>33</v>
      </c>
      <c r="E13" s="7">
        <v>5.9</v>
      </c>
      <c r="F13" s="13">
        <f>E12*E13</f>
        <v>54.516000000000005</v>
      </c>
      <c r="G13" s="13">
        <v>6.6</v>
      </c>
      <c r="H13" s="13"/>
      <c r="I13" s="13"/>
      <c r="J13" s="14"/>
      <c r="K13" s="13"/>
      <c r="L13" s="13"/>
      <c r="M13" s="198">
        <f>H13</f>
        <v>0</v>
      </c>
    </row>
    <row r="14" spans="1:13" ht="15.75">
      <c r="A14" s="7"/>
      <c r="B14" s="7"/>
      <c r="C14" s="7" t="s">
        <v>34</v>
      </c>
      <c r="D14" s="7" t="s">
        <v>35</v>
      </c>
      <c r="E14" s="7">
        <v>1.8</v>
      </c>
      <c r="F14" s="13">
        <f>E12*E14</f>
        <v>16.632000000000001</v>
      </c>
      <c r="G14" s="13"/>
      <c r="H14" s="13"/>
      <c r="I14" s="13"/>
      <c r="J14" s="14"/>
      <c r="K14" s="13">
        <v>4</v>
      </c>
      <c r="L14" s="13"/>
      <c r="M14" s="198">
        <f>L14</f>
        <v>0</v>
      </c>
    </row>
    <row r="15" spans="1:13" ht="16.5">
      <c r="A15" s="7">
        <v>4</v>
      </c>
      <c r="B15" s="7" t="s">
        <v>40</v>
      </c>
      <c r="C15" s="8" t="s">
        <v>41</v>
      </c>
      <c r="D15" s="9" t="s">
        <v>31</v>
      </c>
      <c r="E15" s="10">
        <v>10.8</v>
      </c>
      <c r="F15" s="10"/>
      <c r="G15" s="10"/>
      <c r="H15" s="10"/>
      <c r="I15" s="10"/>
      <c r="J15" s="11"/>
      <c r="K15" s="10"/>
      <c r="L15" s="10"/>
      <c r="M15" s="197">
        <f>SUM(M16:M17)</f>
        <v>0</v>
      </c>
    </row>
    <row r="16" spans="1:13" ht="15.75">
      <c r="A16" s="7"/>
      <c r="B16" s="7"/>
      <c r="C16" s="7" t="s">
        <v>32</v>
      </c>
      <c r="D16" s="12" t="s">
        <v>33</v>
      </c>
      <c r="E16" s="7">
        <v>6.5</v>
      </c>
      <c r="F16" s="13">
        <f>E15*E16</f>
        <v>70.2</v>
      </c>
      <c r="G16" s="13">
        <v>6.6</v>
      </c>
      <c r="H16" s="13"/>
      <c r="I16" s="13"/>
      <c r="J16" s="14"/>
      <c r="K16" s="13"/>
      <c r="L16" s="13"/>
      <c r="M16" s="198">
        <f>H16</f>
        <v>0</v>
      </c>
    </row>
    <row r="17" spans="1:13" ht="15.75">
      <c r="A17" s="7"/>
      <c r="B17" s="7"/>
      <c r="C17" s="7" t="s">
        <v>34</v>
      </c>
      <c r="D17" s="7" t="s">
        <v>35</v>
      </c>
      <c r="E17" s="7">
        <v>1.8</v>
      </c>
      <c r="F17" s="13">
        <f>E15*E17</f>
        <v>19.440000000000001</v>
      </c>
      <c r="G17" s="13"/>
      <c r="H17" s="13"/>
      <c r="I17" s="13"/>
      <c r="J17" s="14"/>
      <c r="K17" s="13">
        <v>4</v>
      </c>
      <c r="L17" s="13"/>
      <c r="M17" s="198">
        <f>L17</f>
        <v>0</v>
      </c>
    </row>
    <row r="18" spans="1:13" ht="33">
      <c r="A18" s="7">
        <v>5</v>
      </c>
      <c r="B18" s="7" t="s">
        <v>36</v>
      </c>
      <c r="C18" s="8" t="s">
        <v>42</v>
      </c>
      <c r="D18" s="9" t="s">
        <v>31</v>
      </c>
      <c r="E18" s="10">
        <v>3.5</v>
      </c>
      <c r="F18" s="10"/>
      <c r="G18" s="10"/>
      <c r="H18" s="10"/>
      <c r="I18" s="10"/>
      <c r="J18" s="11"/>
      <c r="K18" s="10"/>
      <c r="L18" s="10"/>
      <c r="M18" s="197">
        <f>SUM(M19:M20)</f>
        <v>0</v>
      </c>
    </row>
    <row r="19" spans="1:13" ht="15.75">
      <c r="A19" s="7"/>
      <c r="B19" s="7"/>
      <c r="C19" s="7" t="s">
        <v>32</v>
      </c>
      <c r="D19" s="12" t="s">
        <v>33</v>
      </c>
      <c r="E19" s="7">
        <v>8.8000000000000007</v>
      </c>
      <c r="F19" s="13">
        <f>E18*E19</f>
        <v>30.800000000000004</v>
      </c>
      <c r="G19" s="13">
        <v>6.6</v>
      </c>
      <c r="H19" s="13"/>
      <c r="I19" s="13"/>
      <c r="J19" s="14"/>
      <c r="K19" s="13"/>
      <c r="L19" s="13"/>
      <c r="M19" s="198">
        <f>H19</f>
        <v>0</v>
      </c>
    </row>
    <row r="20" spans="1:13" ht="15.75">
      <c r="A20" s="7"/>
      <c r="B20" s="7"/>
      <c r="C20" s="7" t="s">
        <v>34</v>
      </c>
      <c r="D20" s="7" t="s">
        <v>35</v>
      </c>
      <c r="E20" s="7">
        <v>4.8</v>
      </c>
      <c r="F20" s="13">
        <f>E18*E20</f>
        <v>16.8</v>
      </c>
      <c r="G20" s="13"/>
      <c r="H20" s="13"/>
      <c r="I20" s="13"/>
      <c r="J20" s="14"/>
      <c r="K20" s="13">
        <v>4</v>
      </c>
      <c r="L20" s="13"/>
      <c r="M20" s="198">
        <f>L20</f>
        <v>0</v>
      </c>
    </row>
    <row r="21" spans="1:13" ht="33">
      <c r="A21" s="15">
        <v>6</v>
      </c>
      <c r="B21" s="15" t="s">
        <v>43</v>
      </c>
      <c r="C21" s="16" t="s">
        <v>44</v>
      </c>
      <c r="D21" s="17" t="s">
        <v>45</v>
      </c>
      <c r="E21" s="17">
        <v>77.239999999999995</v>
      </c>
      <c r="F21" s="17"/>
      <c r="G21" s="18"/>
      <c r="H21" s="17"/>
      <c r="I21" s="18"/>
      <c r="J21" s="17"/>
      <c r="K21" s="18"/>
      <c r="L21" s="17"/>
      <c r="M21" s="199">
        <f>M22</f>
        <v>0</v>
      </c>
    </row>
    <row r="22" spans="1:13" ht="15.75">
      <c r="A22" s="15"/>
      <c r="B22" s="15"/>
      <c r="C22" s="15" t="s">
        <v>46</v>
      </c>
      <c r="D22" s="15" t="s">
        <v>47</v>
      </c>
      <c r="E22" s="15">
        <v>1.1000000000000001</v>
      </c>
      <c r="F22" s="19">
        <f>E21*E22</f>
        <v>84.963999999999999</v>
      </c>
      <c r="G22" s="19">
        <v>6.6</v>
      </c>
      <c r="H22" s="15"/>
      <c r="I22" s="19"/>
      <c r="J22" s="15"/>
      <c r="K22" s="19"/>
      <c r="L22" s="15"/>
      <c r="M22" s="200">
        <f>H22</f>
        <v>0</v>
      </c>
    </row>
    <row r="23" spans="1:13" ht="33">
      <c r="A23" s="20" t="s">
        <v>48</v>
      </c>
      <c r="B23" s="21" t="s">
        <v>49</v>
      </c>
      <c r="C23" s="22" t="s">
        <v>50</v>
      </c>
      <c r="D23" s="22" t="s">
        <v>45</v>
      </c>
      <c r="E23" s="23">
        <f>E21</f>
        <v>77.239999999999995</v>
      </c>
      <c r="F23" s="24"/>
      <c r="G23" s="25"/>
      <c r="H23" s="25"/>
      <c r="I23" s="25"/>
      <c r="J23" s="25"/>
      <c r="K23" s="25"/>
      <c r="L23" s="25"/>
      <c r="M23" s="201">
        <f>SUM(M24)</f>
        <v>0</v>
      </c>
    </row>
    <row r="24" spans="1:13" ht="16.5">
      <c r="A24" s="26"/>
      <c r="B24" s="27"/>
      <c r="C24" s="21" t="s">
        <v>51</v>
      </c>
      <c r="D24" s="21" t="s">
        <v>33</v>
      </c>
      <c r="E24" s="21">
        <v>0.53</v>
      </c>
      <c r="F24" s="28">
        <f>E23*E24</f>
        <v>40.937199999999997</v>
      </c>
      <c r="G24" s="28">
        <v>6.6</v>
      </c>
      <c r="H24" s="28"/>
      <c r="I24" s="28"/>
      <c r="J24" s="28"/>
      <c r="K24" s="28"/>
      <c r="L24" s="28"/>
      <c r="M24" s="202">
        <f>J24+H24+L24</f>
        <v>0</v>
      </c>
    </row>
    <row r="25" spans="1:13" ht="16.5">
      <c r="A25" s="7">
        <v>8</v>
      </c>
      <c r="B25" s="7" t="s">
        <v>52</v>
      </c>
      <c r="C25" s="9" t="s">
        <v>53</v>
      </c>
      <c r="D25" s="9" t="s">
        <v>45</v>
      </c>
      <c r="E25" s="9">
        <f>E23</f>
        <v>77.239999999999995</v>
      </c>
      <c r="F25" s="13"/>
      <c r="G25" s="13"/>
      <c r="H25" s="13"/>
      <c r="I25" s="13"/>
      <c r="J25" s="14"/>
      <c r="K25" s="13">
        <v>11.72</v>
      </c>
      <c r="L25" s="13"/>
      <c r="M25" s="197">
        <f>L25</f>
        <v>0</v>
      </c>
    </row>
    <row r="26" spans="1:13" ht="16.5">
      <c r="A26" s="29"/>
      <c r="B26" s="29"/>
      <c r="C26" s="30" t="s">
        <v>54</v>
      </c>
      <c r="D26" s="31"/>
      <c r="E26" s="31"/>
      <c r="F26" s="32"/>
      <c r="G26" s="32"/>
      <c r="H26" s="32"/>
      <c r="I26" s="32"/>
      <c r="J26" s="33"/>
      <c r="K26" s="32"/>
      <c r="L26" s="32"/>
      <c r="M26" s="203"/>
    </row>
    <row r="27" spans="1:13" ht="33">
      <c r="A27" s="15">
        <v>1</v>
      </c>
      <c r="B27" s="34" t="s">
        <v>55</v>
      </c>
      <c r="C27" s="35" t="s">
        <v>56</v>
      </c>
      <c r="D27" s="17" t="s">
        <v>225</v>
      </c>
      <c r="E27" s="17">
        <v>5</v>
      </c>
      <c r="F27" s="18"/>
      <c r="G27" s="18"/>
      <c r="H27" s="18"/>
      <c r="I27" s="18"/>
      <c r="J27" s="18"/>
      <c r="K27" s="18"/>
      <c r="L27" s="18"/>
      <c r="M27" s="199">
        <f>SUM(M28:M30)</f>
        <v>0</v>
      </c>
    </row>
    <row r="28" spans="1:13" ht="15.75">
      <c r="A28" s="15"/>
      <c r="B28" s="34" t="s">
        <v>57</v>
      </c>
      <c r="C28" s="36" t="s">
        <v>58</v>
      </c>
      <c r="D28" s="15" t="s">
        <v>47</v>
      </c>
      <c r="E28" s="15">
        <f>3.16*1.15</f>
        <v>3.6339999999999999</v>
      </c>
      <c r="F28" s="19">
        <f>E27*E28</f>
        <v>18.169999999999998</v>
      </c>
      <c r="G28" s="19">
        <v>6</v>
      </c>
      <c r="H28" s="19"/>
      <c r="I28" s="19"/>
      <c r="J28" s="19"/>
      <c r="K28" s="19"/>
      <c r="L28" s="19"/>
      <c r="M28" s="200">
        <f>H28</f>
        <v>0</v>
      </c>
    </row>
    <row r="29" spans="1:13" ht="18">
      <c r="A29" s="15"/>
      <c r="B29" s="15" t="s">
        <v>59</v>
      </c>
      <c r="C29" s="36" t="s">
        <v>60</v>
      </c>
      <c r="D29" s="15" t="s">
        <v>226</v>
      </c>
      <c r="E29" s="15">
        <v>1.25</v>
      </c>
      <c r="F29" s="19">
        <f>E27*E29</f>
        <v>6.25</v>
      </c>
      <c r="G29" s="19"/>
      <c r="H29" s="19"/>
      <c r="I29" s="19">
        <v>24</v>
      </c>
      <c r="J29" s="19"/>
      <c r="K29" s="19"/>
      <c r="L29" s="19"/>
      <c r="M29" s="200">
        <f>J29</f>
        <v>0</v>
      </c>
    </row>
    <row r="30" spans="1:13" ht="15.75">
      <c r="A30" s="15"/>
      <c r="B30" s="15"/>
      <c r="C30" s="36" t="s">
        <v>61</v>
      </c>
      <c r="D30" s="15" t="s">
        <v>35</v>
      </c>
      <c r="E30" s="15">
        <v>0.01</v>
      </c>
      <c r="F30" s="19">
        <f>E27*E30</f>
        <v>0.05</v>
      </c>
      <c r="G30" s="19"/>
      <c r="H30" s="19"/>
      <c r="I30" s="19">
        <v>4</v>
      </c>
      <c r="J30" s="19"/>
      <c r="K30" s="19"/>
      <c r="L30" s="19"/>
      <c r="M30" s="200">
        <f>J30</f>
        <v>0</v>
      </c>
    </row>
    <row r="31" spans="1:13" ht="33">
      <c r="A31" s="37">
        <v>2</v>
      </c>
      <c r="B31" s="37" t="s">
        <v>62</v>
      </c>
      <c r="C31" s="38" t="s">
        <v>227</v>
      </c>
      <c r="D31" s="39" t="s">
        <v>225</v>
      </c>
      <c r="E31" s="39">
        <f>5+2.3</f>
        <v>7.3</v>
      </c>
      <c r="F31" s="40"/>
      <c r="G31" s="41"/>
      <c r="H31" s="41"/>
      <c r="I31" s="41"/>
      <c r="J31" s="41"/>
      <c r="K31" s="41"/>
      <c r="L31" s="41"/>
      <c r="M31" s="204">
        <f>SUM(M32:M39)</f>
        <v>0</v>
      </c>
    </row>
    <row r="32" spans="1:13" ht="15.75">
      <c r="A32" s="43"/>
      <c r="B32" s="37" t="s">
        <v>57</v>
      </c>
      <c r="C32" s="44" t="s">
        <v>58</v>
      </c>
      <c r="D32" s="37" t="s">
        <v>47</v>
      </c>
      <c r="E32" s="37">
        <f>1.15*3.83</f>
        <v>4.4044999999999996</v>
      </c>
      <c r="F32" s="45">
        <f>E31*E32</f>
        <v>32.152849999999994</v>
      </c>
      <c r="G32" s="45">
        <v>8.5</v>
      </c>
      <c r="H32" s="45"/>
      <c r="I32" s="46"/>
      <c r="J32" s="46"/>
      <c r="K32" s="46"/>
      <c r="L32" s="46"/>
      <c r="M32" s="205">
        <f>H32</f>
        <v>0</v>
      </c>
    </row>
    <row r="33" spans="1:13" ht="15.75">
      <c r="A33" s="43"/>
      <c r="B33" s="37" t="s">
        <v>63</v>
      </c>
      <c r="C33" s="44" t="s">
        <v>64</v>
      </c>
      <c r="D33" s="37" t="s">
        <v>35</v>
      </c>
      <c r="E33" s="37">
        <f>1.37*1.25</f>
        <v>1.7125000000000001</v>
      </c>
      <c r="F33" s="45">
        <f>E31*E33</f>
        <v>12.501250000000001</v>
      </c>
      <c r="G33" s="46"/>
      <c r="H33" s="46"/>
      <c r="I33" s="46"/>
      <c r="J33" s="46"/>
      <c r="K33" s="45">
        <v>4</v>
      </c>
      <c r="L33" s="45"/>
      <c r="M33" s="205">
        <f>L33</f>
        <v>0</v>
      </c>
    </row>
    <row r="34" spans="1:13" ht="18">
      <c r="A34" s="43"/>
      <c r="B34" s="37" t="s">
        <v>65</v>
      </c>
      <c r="C34" s="44" t="s">
        <v>228</v>
      </c>
      <c r="D34" s="37" t="s">
        <v>226</v>
      </c>
      <c r="E34" s="37">
        <v>1.0149999999999999</v>
      </c>
      <c r="F34" s="47">
        <f>E31*E34</f>
        <v>7.4094999999999995</v>
      </c>
      <c r="G34" s="46"/>
      <c r="H34" s="46"/>
      <c r="I34" s="45">
        <v>174</v>
      </c>
      <c r="J34" s="45"/>
      <c r="K34" s="46"/>
      <c r="L34" s="46"/>
      <c r="M34" s="205">
        <f t="shared" ref="M34:M39" si="0">J34</f>
        <v>0</v>
      </c>
    </row>
    <row r="35" spans="1:13" ht="18">
      <c r="A35" s="43"/>
      <c r="B35" s="48" t="s">
        <v>66</v>
      </c>
      <c r="C35" s="44" t="s">
        <v>67</v>
      </c>
      <c r="D35" s="37" t="s">
        <v>229</v>
      </c>
      <c r="E35" s="37">
        <v>0.25600000000000001</v>
      </c>
      <c r="F35" s="45">
        <f>E31*E35</f>
        <v>1.8688</v>
      </c>
      <c r="G35" s="46"/>
      <c r="H35" s="46"/>
      <c r="I35" s="45">
        <v>43</v>
      </c>
      <c r="J35" s="45"/>
      <c r="K35" s="46"/>
      <c r="L35" s="46"/>
      <c r="M35" s="205">
        <f t="shared" si="0"/>
        <v>0</v>
      </c>
    </row>
    <row r="36" spans="1:13" ht="18">
      <c r="A36" s="43"/>
      <c r="B36" s="49" t="s">
        <v>68</v>
      </c>
      <c r="C36" s="44" t="s">
        <v>69</v>
      </c>
      <c r="D36" s="37" t="s">
        <v>226</v>
      </c>
      <c r="E36" s="37">
        <v>3.0000000000000001E-3</v>
      </c>
      <c r="F36" s="45">
        <f>E31*E36</f>
        <v>2.1899999999999999E-2</v>
      </c>
      <c r="G36" s="46"/>
      <c r="H36" s="46"/>
      <c r="I36" s="45">
        <v>655</v>
      </c>
      <c r="J36" s="45"/>
      <c r="K36" s="46"/>
      <c r="L36" s="46"/>
      <c r="M36" s="205">
        <f t="shared" si="0"/>
        <v>0</v>
      </c>
    </row>
    <row r="37" spans="1:13" ht="16.5">
      <c r="A37" s="37"/>
      <c r="B37" s="37" t="s">
        <v>70</v>
      </c>
      <c r="C37" s="50" t="s">
        <v>230</v>
      </c>
      <c r="D37" s="39" t="s">
        <v>71</v>
      </c>
      <c r="E37" s="51" t="s">
        <v>72</v>
      </c>
      <c r="F37" s="52">
        <f>0.395/1000*173</f>
        <v>6.8335000000000007E-2</v>
      </c>
      <c r="G37" s="53"/>
      <c r="H37" s="54"/>
      <c r="I37" s="55">
        <v>2136</v>
      </c>
      <c r="J37" s="55"/>
      <c r="K37" s="53"/>
      <c r="L37" s="53"/>
      <c r="M37" s="206">
        <f t="shared" si="0"/>
        <v>0</v>
      </c>
    </row>
    <row r="38" spans="1:13" ht="16.5">
      <c r="A38" s="37"/>
      <c r="B38" s="37" t="s">
        <v>73</v>
      </c>
      <c r="C38" s="50" t="s">
        <v>231</v>
      </c>
      <c r="D38" s="39" t="s">
        <v>71</v>
      </c>
      <c r="E38" s="51" t="s">
        <v>72</v>
      </c>
      <c r="F38" s="52">
        <f>515*0.888/1000</f>
        <v>0.45732</v>
      </c>
      <c r="G38" s="53"/>
      <c r="H38" s="53"/>
      <c r="I38" s="55">
        <v>1993</v>
      </c>
      <c r="J38" s="55"/>
      <c r="K38" s="53"/>
      <c r="L38" s="53"/>
      <c r="M38" s="206">
        <f t="shared" si="0"/>
        <v>0</v>
      </c>
    </row>
    <row r="39" spans="1:13" ht="15.75">
      <c r="A39" s="37"/>
      <c r="B39" s="37"/>
      <c r="C39" s="44" t="s">
        <v>74</v>
      </c>
      <c r="D39" s="37" t="s">
        <v>35</v>
      </c>
      <c r="E39" s="37">
        <v>0.63</v>
      </c>
      <c r="F39" s="45">
        <f>E31*E39</f>
        <v>4.5990000000000002</v>
      </c>
      <c r="G39" s="45"/>
      <c r="H39" s="45"/>
      <c r="I39" s="45">
        <v>4</v>
      </c>
      <c r="J39" s="45"/>
      <c r="K39" s="45"/>
      <c r="L39" s="45"/>
      <c r="M39" s="205">
        <f t="shared" si="0"/>
        <v>0</v>
      </c>
    </row>
    <row r="40" spans="1:13" ht="33">
      <c r="A40" s="15">
        <v>3</v>
      </c>
      <c r="B40" s="15" t="s">
        <v>75</v>
      </c>
      <c r="C40" s="35" t="s">
        <v>232</v>
      </c>
      <c r="D40" s="17" t="s">
        <v>225</v>
      </c>
      <c r="E40" s="17">
        <v>14.2</v>
      </c>
      <c r="F40" s="6"/>
      <c r="G40" s="56"/>
      <c r="H40" s="56"/>
      <c r="I40" s="56"/>
      <c r="J40" s="56"/>
      <c r="K40" s="56"/>
      <c r="L40" s="56"/>
      <c r="M40" s="199">
        <f>SUM(M41:M51)</f>
        <v>0</v>
      </c>
    </row>
    <row r="41" spans="1:13" ht="15.75">
      <c r="A41" s="57"/>
      <c r="B41" s="37" t="s">
        <v>57</v>
      </c>
      <c r="C41" s="36" t="s">
        <v>58</v>
      </c>
      <c r="D41" s="15" t="s">
        <v>47</v>
      </c>
      <c r="E41" s="15">
        <f>9.2*1.155</f>
        <v>10.625999999999999</v>
      </c>
      <c r="F41" s="19">
        <f>E40*E41</f>
        <v>150.88919999999999</v>
      </c>
      <c r="G41" s="19">
        <v>8.5</v>
      </c>
      <c r="H41" s="19"/>
      <c r="I41" s="58"/>
      <c r="J41" s="58"/>
      <c r="K41" s="58"/>
      <c r="L41" s="58"/>
      <c r="M41" s="200">
        <f>H41</f>
        <v>0</v>
      </c>
    </row>
    <row r="42" spans="1:13" ht="15.75">
      <c r="A42" s="57"/>
      <c r="B42" s="37" t="s">
        <v>63</v>
      </c>
      <c r="C42" s="36" t="s">
        <v>64</v>
      </c>
      <c r="D42" s="15" t="s">
        <v>35</v>
      </c>
      <c r="E42" s="15">
        <f>1.14*1.25</f>
        <v>1.4249999999999998</v>
      </c>
      <c r="F42" s="19">
        <f>E40*E42</f>
        <v>20.234999999999996</v>
      </c>
      <c r="G42" s="58"/>
      <c r="H42" s="58"/>
      <c r="I42" s="58"/>
      <c r="J42" s="58"/>
      <c r="K42" s="19">
        <v>4</v>
      </c>
      <c r="L42" s="19"/>
      <c r="M42" s="200">
        <f>L42</f>
        <v>0</v>
      </c>
    </row>
    <row r="43" spans="1:13" ht="18">
      <c r="A43" s="57"/>
      <c r="B43" s="37" t="s">
        <v>65</v>
      </c>
      <c r="C43" s="44" t="s">
        <v>228</v>
      </c>
      <c r="D43" s="15" t="s">
        <v>226</v>
      </c>
      <c r="E43" s="15">
        <v>1</v>
      </c>
      <c r="F43" s="19">
        <f>E40*E43</f>
        <v>14.2</v>
      </c>
      <c r="G43" s="58"/>
      <c r="H43" s="58"/>
      <c r="I43" s="19">
        <v>174</v>
      </c>
      <c r="J43" s="19"/>
      <c r="K43" s="58"/>
      <c r="L43" s="58"/>
      <c r="M43" s="200">
        <f>J43</f>
        <v>0</v>
      </c>
    </row>
    <row r="44" spans="1:13" ht="18">
      <c r="A44" s="57"/>
      <c r="B44" s="48" t="s">
        <v>66</v>
      </c>
      <c r="C44" s="36" t="s">
        <v>67</v>
      </c>
      <c r="D44" s="15" t="s">
        <v>229</v>
      </c>
      <c r="E44" s="15">
        <v>1.76</v>
      </c>
      <c r="F44" s="19">
        <f>E40*E44</f>
        <v>24.991999999999997</v>
      </c>
      <c r="G44" s="58"/>
      <c r="H44" s="58"/>
      <c r="I44" s="19">
        <v>43</v>
      </c>
      <c r="J44" s="19"/>
      <c r="K44" s="58"/>
      <c r="L44" s="58"/>
      <c r="M44" s="200">
        <f t="shared" ref="M44:M51" si="1">J44</f>
        <v>0</v>
      </c>
    </row>
    <row r="45" spans="1:13" ht="18">
      <c r="A45" s="57"/>
      <c r="B45" s="49" t="s">
        <v>68</v>
      </c>
      <c r="C45" s="36" t="s">
        <v>76</v>
      </c>
      <c r="D45" s="15" t="s">
        <v>226</v>
      </c>
      <c r="E45" s="15">
        <v>3.3E-3</v>
      </c>
      <c r="F45" s="19">
        <f>E40*E45</f>
        <v>4.6859999999999999E-2</v>
      </c>
      <c r="G45" s="58"/>
      <c r="H45" s="58"/>
      <c r="I45" s="45">
        <v>655</v>
      </c>
      <c r="J45" s="19"/>
      <c r="K45" s="58"/>
      <c r="L45" s="58"/>
      <c r="M45" s="200">
        <f t="shared" si="1"/>
        <v>0</v>
      </c>
    </row>
    <row r="46" spans="1:13" ht="18">
      <c r="A46" s="57"/>
      <c r="B46" s="49" t="s">
        <v>68</v>
      </c>
      <c r="C46" s="36" t="s">
        <v>69</v>
      </c>
      <c r="D46" s="15" t="s">
        <v>226</v>
      </c>
      <c r="E46" s="15">
        <v>3.6499999999999998E-2</v>
      </c>
      <c r="F46" s="19">
        <f>E40*E46</f>
        <v>0.51829999999999998</v>
      </c>
      <c r="G46" s="58"/>
      <c r="H46" s="58"/>
      <c r="I46" s="45">
        <v>655</v>
      </c>
      <c r="J46" s="19"/>
      <c r="K46" s="58"/>
      <c r="L46" s="58"/>
      <c r="M46" s="200">
        <f t="shared" si="1"/>
        <v>0</v>
      </c>
    </row>
    <row r="47" spans="1:13" ht="15.75">
      <c r="A47" s="57"/>
      <c r="B47" s="59" t="s">
        <v>77</v>
      </c>
      <c r="C47" s="36" t="s">
        <v>78</v>
      </c>
      <c r="D47" s="15" t="s">
        <v>79</v>
      </c>
      <c r="E47" s="15">
        <v>2.1</v>
      </c>
      <c r="F47" s="19">
        <f>E40*E47</f>
        <v>29.82</v>
      </c>
      <c r="G47" s="58"/>
      <c r="H47" s="58"/>
      <c r="I47" s="19">
        <v>7.4</v>
      </c>
      <c r="J47" s="19"/>
      <c r="K47" s="58"/>
      <c r="L47" s="58"/>
      <c r="M47" s="200">
        <f t="shared" si="1"/>
        <v>0</v>
      </c>
    </row>
    <row r="48" spans="1:13" ht="15.75">
      <c r="A48" s="60"/>
      <c r="B48" s="61" t="s">
        <v>80</v>
      </c>
      <c r="C48" s="36" t="s">
        <v>81</v>
      </c>
      <c r="D48" s="15" t="s">
        <v>79</v>
      </c>
      <c r="E48" s="15">
        <v>2.7</v>
      </c>
      <c r="F48" s="19">
        <f>E40*E48</f>
        <v>38.340000000000003</v>
      </c>
      <c r="G48" s="62"/>
      <c r="H48" s="62"/>
      <c r="I48" s="63">
        <v>3.47</v>
      </c>
      <c r="J48" s="19"/>
      <c r="K48" s="62"/>
      <c r="L48" s="62"/>
      <c r="M48" s="200">
        <f t="shared" si="1"/>
        <v>0</v>
      </c>
    </row>
    <row r="49" spans="1:13" ht="16.5">
      <c r="A49" s="37"/>
      <c r="B49" s="37" t="s">
        <v>70</v>
      </c>
      <c r="C49" s="50" t="s">
        <v>230</v>
      </c>
      <c r="D49" s="39" t="s">
        <v>71</v>
      </c>
      <c r="E49" s="51" t="s">
        <v>72</v>
      </c>
      <c r="F49" s="52">
        <f>0.395/1000*110</f>
        <v>4.3450000000000003E-2</v>
      </c>
      <c r="G49" s="53"/>
      <c r="H49" s="54"/>
      <c r="I49" s="55">
        <v>2136</v>
      </c>
      <c r="J49" s="55"/>
      <c r="K49" s="53"/>
      <c r="L49" s="53"/>
      <c r="M49" s="206">
        <f t="shared" si="1"/>
        <v>0</v>
      </c>
    </row>
    <row r="50" spans="1:13" ht="16.5">
      <c r="A50" s="37"/>
      <c r="B50" s="37" t="s">
        <v>73</v>
      </c>
      <c r="C50" s="50" t="s">
        <v>231</v>
      </c>
      <c r="D50" s="39" t="s">
        <v>71</v>
      </c>
      <c r="E50" s="51" t="s">
        <v>72</v>
      </c>
      <c r="F50" s="52">
        <f>1050*0.888/1000</f>
        <v>0.93240000000000001</v>
      </c>
      <c r="G50" s="53"/>
      <c r="H50" s="53"/>
      <c r="I50" s="55">
        <v>1993</v>
      </c>
      <c r="J50" s="55"/>
      <c r="K50" s="53"/>
      <c r="L50" s="53"/>
      <c r="M50" s="206">
        <f t="shared" si="1"/>
        <v>0</v>
      </c>
    </row>
    <row r="51" spans="1:13" ht="15.75">
      <c r="A51" s="15"/>
      <c r="B51" s="15"/>
      <c r="C51" s="36" t="s">
        <v>74</v>
      </c>
      <c r="D51" s="15" t="s">
        <v>35</v>
      </c>
      <c r="E51" s="15">
        <v>0.32</v>
      </c>
      <c r="F51" s="19">
        <f>E40*E51</f>
        <v>4.5439999999999996</v>
      </c>
      <c r="G51" s="19"/>
      <c r="H51" s="19"/>
      <c r="I51" s="19">
        <v>4</v>
      </c>
      <c r="J51" s="19"/>
      <c r="K51" s="19"/>
      <c r="L51" s="19"/>
      <c r="M51" s="200">
        <f t="shared" si="1"/>
        <v>0</v>
      </c>
    </row>
    <row r="52" spans="1:13" ht="16.5">
      <c r="A52" s="64">
        <v>4</v>
      </c>
      <c r="B52" s="65" t="s">
        <v>82</v>
      </c>
      <c r="C52" s="66" t="s">
        <v>233</v>
      </c>
      <c r="D52" s="65" t="s">
        <v>83</v>
      </c>
      <c r="E52" s="67">
        <v>4.2</v>
      </c>
      <c r="F52" s="68"/>
      <c r="G52" s="69"/>
      <c r="H52" s="69"/>
      <c r="I52" s="69"/>
      <c r="J52" s="69"/>
      <c r="K52" s="69"/>
      <c r="L52" s="69"/>
      <c r="M52" s="207">
        <f>SUM(M53:M62)</f>
        <v>0</v>
      </c>
    </row>
    <row r="53" spans="1:13" ht="15.75">
      <c r="A53" s="64"/>
      <c r="B53" s="37" t="s">
        <v>57</v>
      </c>
      <c r="C53" s="70" t="s">
        <v>84</v>
      </c>
      <c r="D53" s="64" t="s">
        <v>33</v>
      </c>
      <c r="E53" s="71">
        <f>8.4*1.15</f>
        <v>9.66</v>
      </c>
      <c r="F53" s="71">
        <f>E52*E53</f>
        <v>40.572000000000003</v>
      </c>
      <c r="G53" s="71">
        <v>8.5</v>
      </c>
      <c r="H53" s="71"/>
      <c r="I53" s="72"/>
      <c r="J53" s="72"/>
      <c r="K53" s="72"/>
      <c r="L53" s="72"/>
      <c r="M53" s="208">
        <f>H53</f>
        <v>0</v>
      </c>
    </row>
    <row r="54" spans="1:13" ht="15.75">
      <c r="A54" s="64"/>
      <c r="B54" s="37" t="s">
        <v>63</v>
      </c>
      <c r="C54" s="70" t="s">
        <v>64</v>
      </c>
      <c r="D54" s="64" t="s">
        <v>35</v>
      </c>
      <c r="E54" s="73">
        <f>0.81*1.25</f>
        <v>1.0125000000000002</v>
      </c>
      <c r="F54" s="73">
        <f>E52*E54</f>
        <v>4.2525000000000013</v>
      </c>
      <c r="G54" s="74"/>
      <c r="H54" s="72"/>
      <c r="I54" s="72"/>
      <c r="J54" s="72"/>
      <c r="K54" s="71">
        <v>4</v>
      </c>
      <c r="L54" s="71"/>
      <c r="M54" s="208">
        <f>L54</f>
        <v>0</v>
      </c>
    </row>
    <row r="55" spans="1:13" ht="22.5" customHeight="1">
      <c r="A55" s="64"/>
      <c r="B55" s="37" t="s">
        <v>65</v>
      </c>
      <c r="C55" s="44" t="s">
        <v>228</v>
      </c>
      <c r="D55" s="64" t="s">
        <v>83</v>
      </c>
      <c r="E55" s="73">
        <v>1.0149999999999999</v>
      </c>
      <c r="F55" s="73">
        <f>E52*E55</f>
        <v>4.2629999999999999</v>
      </c>
      <c r="G55" s="74"/>
      <c r="H55" s="72"/>
      <c r="I55" s="71">
        <v>174</v>
      </c>
      <c r="J55" s="71"/>
      <c r="K55" s="72"/>
      <c r="L55" s="72"/>
      <c r="M55" s="208">
        <f>J55</f>
        <v>0</v>
      </c>
    </row>
    <row r="56" spans="1:13" ht="15.75">
      <c r="A56" s="64"/>
      <c r="B56" s="48" t="s">
        <v>66</v>
      </c>
      <c r="C56" s="70" t="s">
        <v>85</v>
      </c>
      <c r="D56" s="64" t="s">
        <v>86</v>
      </c>
      <c r="E56" s="71">
        <v>1.37</v>
      </c>
      <c r="F56" s="73">
        <f>E52*E56</f>
        <v>5.7540000000000004</v>
      </c>
      <c r="G56" s="74"/>
      <c r="H56" s="72"/>
      <c r="I56" s="71">
        <v>43</v>
      </c>
      <c r="J56" s="71"/>
      <c r="K56" s="72"/>
      <c r="L56" s="72"/>
      <c r="M56" s="208">
        <f t="shared" ref="M56:M62" si="2">J56</f>
        <v>0</v>
      </c>
    </row>
    <row r="57" spans="1:13" ht="15.75">
      <c r="A57" s="64"/>
      <c r="B57" s="59" t="s">
        <v>87</v>
      </c>
      <c r="C57" s="70" t="s">
        <v>88</v>
      </c>
      <c r="D57" s="64" t="s">
        <v>83</v>
      </c>
      <c r="E57" s="75">
        <v>8.3999999999999995E-3</v>
      </c>
      <c r="F57" s="73">
        <f>E52*E57</f>
        <v>3.5279999999999999E-2</v>
      </c>
      <c r="G57" s="74"/>
      <c r="H57" s="72"/>
      <c r="I57" s="71">
        <v>727</v>
      </c>
      <c r="J57" s="71"/>
      <c r="K57" s="72"/>
      <c r="L57" s="72"/>
      <c r="M57" s="208">
        <f t="shared" si="2"/>
        <v>0</v>
      </c>
    </row>
    <row r="58" spans="1:13" ht="15.75">
      <c r="A58" s="64"/>
      <c r="B58" s="59" t="s">
        <v>89</v>
      </c>
      <c r="C58" s="70" t="s">
        <v>90</v>
      </c>
      <c r="D58" s="64" t="s">
        <v>83</v>
      </c>
      <c r="E58" s="75">
        <v>2.5600000000000001E-2</v>
      </c>
      <c r="F58" s="73">
        <f>E52*E58</f>
        <v>0.10752</v>
      </c>
      <c r="G58" s="74"/>
      <c r="H58" s="72"/>
      <c r="I58" s="71">
        <v>730</v>
      </c>
      <c r="J58" s="71"/>
      <c r="K58" s="72"/>
      <c r="L58" s="72"/>
      <c r="M58" s="208">
        <f t="shared" si="2"/>
        <v>0</v>
      </c>
    </row>
    <row r="59" spans="1:13" ht="15.75">
      <c r="A59" s="64"/>
      <c r="B59" s="49" t="s">
        <v>68</v>
      </c>
      <c r="C59" s="70" t="s">
        <v>91</v>
      </c>
      <c r="D59" s="64" t="s">
        <v>83</v>
      </c>
      <c r="E59" s="75">
        <v>2.5999999999999999E-3</v>
      </c>
      <c r="F59" s="73">
        <f>E52*E59</f>
        <v>1.0919999999999999E-2</v>
      </c>
      <c r="G59" s="74"/>
      <c r="H59" s="72"/>
      <c r="I59" s="71">
        <v>655</v>
      </c>
      <c r="J59" s="71"/>
      <c r="K59" s="72"/>
      <c r="L59" s="72"/>
      <c r="M59" s="208">
        <f t="shared" si="2"/>
        <v>0</v>
      </c>
    </row>
    <row r="60" spans="1:13" ht="16.5">
      <c r="A60" s="37"/>
      <c r="B60" s="37" t="s">
        <v>70</v>
      </c>
      <c r="C60" s="50" t="s">
        <v>230</v>
      </c>
      <c r="D60" s="39" t="s">
        <v>71</v>
      </c>
      <c r="E60" s="51" t="s">
        <v>72</v>
      </c>
      <c r="F60" s="52">
        <f>0.395/1000*112</f>
        <v>4.4240000000000002E-2</v>
      </c>
      <c r="G60" s="53"/>
      <c r="H60" s="54"/>
      <c r="I60" s="55">
        <v>2136</v>
      </c>
      <c r="J60" s="55"/>
      <c r="K60" s="53"/>
      <c r="L60" s="53"/>
      <c r="M60" s="206">
        <f t="shared" si="2"/>
        <v>0</v>
      </c>
    </row>
    <row r="61" spans="1:13" ht="16.5">
      <c r="A61" s="37"/>
      <c r="B61" s="37" t="s">
        <v>73</v>
      </c>
      <c r="C61" s="50" t="s">
        <v>231</v>
      </c>
      <c r="D61" s="39" t="s">
        <v>71</v>
      </c>
      <c r="E61" s="51" t="s">
        <v>72</v>
      </c>
      <c r="F61" s="52">
        <f>420*0.888/1000</f>
        <v>0.37295999999999996</v>
      </c>
      <c r="G61" s="53"/>
      <c r="H61" s="53"/>
      <c r="I61" s="55">
        <v>1993</v>
      </c>
      <c r="J61" s="55"/>
      <c r="K61" s="53"/>
      <c r="L61" s="53"/>
      <c r="M61" s="206">
        <f t="shared" si="2"/>
        <v>0</v>
      </c>
    </row>
    <row r="62" spans="1:13" ht="15.75">
      <c r="A62" s="64"/>
      <c r="B62" s="64"/>
      <c r="C62" s="70" t="s">
        <v>74</v>
      </c>
      <c r="D62" s="64" t="s">
        <v>35</v>
      </c>
      <c r="E62" s="71">
        <v>0.39</v>
      </c>
      <c r="F62" s="73">
        <f>E52*E62</f>
        <v>1.6380000000000001</v>
      </c>
      <c r="G62" s="74"/>
      <c r="H62" s="72"/>
      <c r="I62" s="71">
        <v>4</v>
      </c>
      <c r="J62" s="71"/>
      <c r="K62" s="72"/>
      <c r="L62" s="72"/>
      <c r="M62" s="208">
        <f t="shared" si="2"/>
        <v>0</v>
      </c>
    </row>
    <row r="63" spans="1:13" ht="18.75">
      <c r="A63" s="37">
        <v>5</v>
      </c>
      <c r="B63" s="37" t="s">
        <v>92</v>
      </c>
      <c r="C63" s="76" t="s">
        <v>93</v>
      </c>
      <c r="D63" s="39" t="s">
        <v>225</v>
      </c>
      <c r="E63" s="42">
        <v>2.15</v>
      </c>
      <c r="F63" s="42"/>
      <c r="G63" s="42"/>
      <c r="H63" s="42"/>
      <c r="I63" s="42"/>
      <c r="J63" s="42"/>
      <c r="K63" s="42"/>
      <c r="L63" s="42"/>
      <c r="M63" s="204">
        <f>SUM(M64:M68)</f>
        <v>0</v>
      </c>
    </row>
    <row r="64" spans="1:13" ht="15.75">
      <c r="A64" s="37"/>
      <c r="B64" s="37" t="s">
        <v>57</v>
      </c>
      <c r="C64" s="44" t="s">
        <v>58</v>
      </c>
      <c r="D64" s="37" t="s">
        <v>47</v>
      </c>
      <c r="E64" s="37">
        <f>4.48*1.15</f>
        <v>5.1520000000000001</v>
      </c>
      <c r="F64" s="45">
        <f>E64*E63</f>
        <v>11.0768</v>
      </c>
      <c r="G64" s="45">
        <v>8.5</v>
      </c>
      <c r="H64" s="45"/>
      <c r="I64" s="45"/>
      <c r="J64" s="45"/>
      <c r="K64" s="45"/>
      <c r="L64" s="45"/>
      <c r="M64" s="205">
        <f>H64</f>
        <v>0</v>
      </c>
    </row>
    <row r="65" spans="1:13" ht="15.75">
      <c r="A65" s="37"/>
      <c r="B65" s="37" t="s">
        <v>63</v>
      </c>
      <c r="C65" s="44" t="s">
        <v>64</v>
      </c>
      <c r="D65" s="37" t="s">
        <v>35</v>
      </c>
      <c r="E65" s="47">
        <f>0.88*1.25</f>
        <v>1.1000000000000001</v>
      </c>
      <c r="F65" s="45">
        <f>E65*E63</f>
        <v>2.3650000000000002</v>
      </c>
      <c r="G65" s="45"/>
      <c r="H65" s="45"/>
      <c r="I65" s="45"/>
      <c r="J65" s="45"/>
      <c r="K65" s="45">
        <v>4</v>
      </c>
      <c r="L65" s="45"/>
      <c r="M65" s="205">
        <f>L65</f>
        <v>0</v>
      </c>
    </row>
    <row r="66" spans="1:13" ht="18">
      <c r="A66" s="37"/>
      <c r="B66" s="37" t="s">
        <v>94</v>
      </c>
      <c r="C66" s="44" t="s">
        <v>95</v>
      </c>
      <c r="D66" s="37" t="s">
        <v>226</v>
      </c>
      <c r="E66" s="37">
        <v>0.22</v>
      </c>
      <c r="F66" s="45">
        <f>E66*E63</f>
        <v>0.47299999999999998</v>
      </c>
      <c r="G66" s="45"/>
      <c r="H66" s="45"/>
      <c r="I66" s="45">
        <v>92</v>
      </c>
      <c r="J66" s="45"/>
      <c r="K66" s="45"/>
      <c r="L66" s="45"/>
      <c r="M66" s="205">
        <f>J66</f>
        <v>0</v>
      </c>
    </row>
    <row r="67" spans="1:13" ht="15.75">
      <c r="A67" s="37"/>
      <c r="B67" s="37" t="s">
        <v>96</v>
      </c>
      <c r="C67" s="44" t="s">
        <v>97</v>
      </c>
      <c r="D67" s="37" t="s">
        <v>98</v>
      </c>
      <c r="E67" s="47">
        <v>0.4</v>
      </c>
      <c r="F67" s="47">
        <f>E67*E63</f>
        <v>0.86</v>
      </c>
      <c r="G67" s="45"/>
      <c r="H67" s="45"/>
      <c r="I67" s="45">
        <v>720</v>
      </c>
      <c r="J67" s="45"/>
      <c r="K67" s="45"/>
      <c r="L67" s="45"/>
      <c r="M67" s="205">
        <f>J67</f>
        <v>0</v>
      </c>
    </row>
    <row r="68" spans="1:13" ht="15.75">
      <c r="A68" s="37"/>
      <c r="B68" s="37"/>
      <c r="C68" s="44" t="s">
        <v>74</v>
      </c>
      <c r="D68" s="37" t="s">
        <v>35</v>
      </c>
      <c r="E68" s="37">
        <v>0.38</v>
      </c>
      <c r="F68" s="45">
        <f>E68*E63</f>
        <v>0.81699999999999995</v>
      </c>
      <c r="G68" s="45"/>
      <c r="H68" s="45"/>
      <c r="I68" s="45">
        <v>4</v>
      </c>
      <c r="J68" s="45"/>
      <c r="K68" s="45"/>
      <c r="L68" s="45"/>
      <c r="M68" s="205">
        <f>J68</f>
        <v>0</v>
      </c>
    </row>
    <row r="69" spans="1:13" ht="16.5">
      <c r="A69" s="37">
        <v>6</v>
      </c>
      <c r="B69" s="37" t="s">
        <v>99</v>
      </c>
      <c r="C69" s="76" t="s">
        <v>100</v>
      </c>
      <c r="D69" s="39" t="s">
        <v>45</v>
      </c>
      <c r="E69" s="39">
        <v>3.3000000000000002E-2</v>
      </c>
      <c r="F69" s="42"/>
      <c r="G69" s="42"/>
      <c r="H69" s="42"/>
      <c r="I69" s="42"/>
      <c r="J69" s="42"/>
      <c r="K69" s="42"/>
      <c r="L69" s="42"/>
      <c r="M69" s="204">
        <f>SUM(M70:M73)</f>
        <v>0</v>
      </c>
    </row>
    <row r="70" spans="1:13" ht="15.75">
      <c r="A70" s="37"/>
      <c r="B70" s="37" t="s">
        <v>57</v>
      </c>
      <c r="C70" s="44" t="s">
        <v>58</v>
      </c>
      <c r="D70" s="37" t="s">
        <v>47</v>
      </c>
      <c r="E70" s="37">
        <f>123*1.15</f>
        <v>141.44999999999999</v>
      </c>
      <c r="F70" s="45">
        <f>E69*E70</f>
        <v>4.6678499999999996</v>
      </c>
      <c r="G70" s="45">
        <v>8.5</v>
      </c>
      <c r="H70" s="45"/>
      <c r="I70" s="45"/>
      <c r="J70" s="45"/>
      <c r="K70" s="45"/>
      <c r="L70" s="45"/>
      <c r="M70" s="205">
        <f>H70</f>
        <v>0</v>
      </c>
    </row>
    <row r="71" spans="1:13" ht="15.75">
      <c r="A71" s="37"/>
      <c r="B71" s="37" t="s">
        <v>63</v>
      </c>
      <c r="C71" s="44" t="s">
        <v>64</v>
      </c>
      <c r="D71" s="37" t="s">
        <v>35</v>
      </c>
      <c r="E71" s="37">
        <f>2.2*1.25</f>
        <v>2.75</v>
      </c>
      <c r="F71" s="45">
        <f>E69*E71</f>
        <v>9.0749999999999997E-2</v>
      </c>
      <c r="G71" s="45"/>
      <c r="H71" s="45"/>
      <c r="I71" s="45"/>
      <c r="J71" s="45"/>
      <c r="K71" s="45">
        <v>4</v>
      </c>
      <c r="L71" s="45"/>
      <c r="M71" s="205">
        <f>L71</f>
        <v>0</v>
      </c>
    </row>
    <row r="72" spans="1:13" ht="15.75">
      <c r="A72" s="37"/>
      <c r="B72" s="37" t="s">
        <v>101</v>
      </c>
      <c r="C72" s="44" t="s">
        <v>102</v>
      </c>
      <c r="D72" s="37" t="s">
        <v>45</v>
      </c>
      <c r="E72" s="37">
        <v>1</v>
      </c>
      <c r="F72" s="77">
        <f>E69*E72</f>
        <v>3.3000000000000002E-2</v>
      </c>
      <c r="G72" s="45"/>
      <c r="H72" s="45"/>
      <c r="I72" s="45">
        <v>3090</v>
      </c>
      <c r="J72" s="45"/>
      <c r="K72" s="45"/>
      <c r="L72" s="45"/>
      <c r="M72" s="205">
        <f>J72</f>
        <v>0</v>
      </c>
    </row>
    <row r="73" spans="1:13" ht="15.75">
      <c r="A73" s="37"/>
      <c r="B73" s="37"/>
      <c r="C73" s="44" t="s">
        <v>74</v>
      </c>
      <c r="D73" s="37" t="s">
        <v>35</v>
      </c>
      <c r="E73" s="37">
        <v>0.4</v>
      </c>
      <c r="F73" s="45">
        <f>E69*E73</f>
        <v>1.3200000000000002E-2</v>
      </c>
      <c r="G73" s="45"/>
      <c r="H73" s="45"/>
      <c r="I73" s="45">
        <v>4</v>
      </c>
      <c r="J73" s="45"/>
      <c r="K73" s="45"/>
      <c r="L73" s="45"/>
      <c r="M73" s="205">
        <f>J73</f>
        <v>0</v>
      </c>
    </row>
    <row r="74" spans="1:13" ht="18.75">
      <c r="A74" s="37">
        <v>7</v>
      </c>
      <c r="B74" s="37" t="s">
        <v>103</v>
      </c>
      <c r="C74" s="76" t="s">
        <v>104</v>
      </c>
      <c r="D74" s="39" t="s">
        <v>225</v>
      </c>
      <c r="E74" s="39">
        <v>0.2</v>
      </c>
      <c r="F74" s="42"/>
      <c r="G74" s="42"/>
      <c r="H74" s="42"/>
      <c r="I74" s="42"/>
      <c r="J74" s="42"/>
      <c r="K74" s="42"/>
      <c r="L74" s="42"/>
      <c r="M74" s="204">
        <f>SUM(M75:M79)</f>
        <v>0</v>
      </c>
    </row>
    <row r="75" spans="1:13" ht="15.75">
      <c r="A75" s="37"/>
      <c r="B75" s="37" t="s">
        <v>57</v>
      </c>
      <c r="C75" s="44" t="s">
        <v>58</v>
      </c>
      <c r="D75" s="37" t="s">
        <v>47</v>
      </c>
      <c r="E75" s="37">
        <f>24*1.15</f>
        <v>27.599999999999998</v>
      </c>
      <c r="F75" s="45">
        <f>E74*E75</f>
        <v>5.52</v>
      </c>
      <c r="G75" s="45">
        <v>8.5</v>
      </c>
      <c r="H75" s="45"/>
      <c r="I75" s="45"/>
      <c r="J75" s="45"/>
      <c r="K75" s="45"/>
      <c r="L75" s="45"/>
      <c r="M75" s="205">
        <f>H75</f>
        <v>0</v>
      </c>
    </row>
    <row r="76" spans="1:13" ht="15.75">
      <c r="A76" s="37"/>
      <c r="B76" s="37" t="s">
        <v>63</v>
      </c>
      <c r="C76" s="44" t="s">
        <v>64</v>
      </c>
      <c r="D76" s="37" t="s">
        <v>35</v>
      </c>
      <c r="E76" s="37">
        <f>1.3*1.25</f>
        <v>1.625</v>
      </c>
      <c r="F76" s="45">
        <f>E74*E76</f>
        <v>0.32500000000000001</v>
      </c>
      <c r="G76" s="45"/>
      <c r="H76" s="45"/>
      <c r="I76" s="45"/>
      <c r="J76" s="45"/>
      <c r="K76" s="45">
        <v>4</v>
      </c>
      <c r="L76" s="45"/>
      <c r="M76" s="205">
        <f>L76</f>
        <v>0</v>
      </c>
    </row>
    <row r="77" spans="1:13" ht="18">
      <c r="A77" s="37"/>
      <c r="B77" s="37" t="s">
        <v>105</v>
      </c>
      <c r="C77" s="44" t="s">
        <v>106</v>
      </c>
      <c r="D77" s="37" t="s">
        <v>226</v>
      </c>
      <c r="E77" s="37">
        <v>1.05</v>
      </c>
      <c r="F77" s="45">
        <f>E74*E77</f>
        <v>0.21000000000000002</v>
      </c>
      <c r="G77" s="45"/>
      <c r="H77" s="78"/>
      <c r="I77" s="45">
        <v>870</v>
      </c>
      <c r="J77" s="45"/>
      <c r="K77" s="45"/>
      <c r="L77" s="45"/>
      <c r="M77" s="205">
        <f>J77</f>
        <v>0</v>
      </c>
    </row>
    <row r="78" spans="1:13" ht="15.75">
      <c r="A78" s="37"/>
      <c r="B78" s="37" t="s">
        <v>107</v>
      </c>
      <c r="C78" s="44" t="s">
        <v>108</v>
      </c>
      <c r="D78" s="37" t="s">
        <v>79</v>
      </c>
      <c r="E78" s="37">
        <v>7.5</v>
      </c>
      <c r="F78" s="45">
        <f>E74*E78</f>
        <v>1.5</v>
      </c>
      <c r="G78" s="45"/>
      <c r="H78" s="78"/>
      <c r="I78" s="45">
        <v>6.8</v>
      </c>
      <c r="J78" s="45"/>
      <c r="K78" s="45"/>
      <c r="L78" s="45"/>
      <c r="M78" s="205">
        <f>J78</f>
        <v>0</v>
      </c>
    </row>
    <row r="79" spans="1:13" ht="15.75">
      <c r="A79" s="37"/>
      <c r="B79" s="37"/>
      <c r="C79" s="44" t="s">
        <v>74</v>
      </c>
      <c r="D79" s="37" t="s">
        <v>35</v>
      </c>
      <c r="E79" s="37">
        <v>1.38</v>
      </c>
      <c r="F79" s="45">
        <f>E74*E79</f>
        <v>0.27599999999999997</v>
      </c>
      <c r="G79" s="45"/>
      <c r="H79" s="78"/>
      <c r="I79" s="45">
        <v>4</v>
      </c>
      <c r="J79" s="45"/>
      <c r="K79" s="45"/>
      <c r="L79" s="45"/>
      <c r="M79" s="205">
        <f>J79</f>
        <v>0</v>
      </c>
    </row>
    <row r="80" spans="1:13" ht="16.5">
      <c r="A80" s="79">
        <v>8</v>
      </c>
      <c r="B80" s="80" t="s">
        <v>109</v>
      </c>
      <c r="C80" s="81" t="s">
        <v>110</v>
      </c>
      <c r="D80" s="82" t="s">
        <v>111</v>
      </c>
      <c r="E80" s="83">
        <f>8.5+1.2</f>
        <v>9.6999999999999993</v>
      </c>
      <c r="F80" s="68"/>
      <c r="G80" s="84"/>
      <c r="H80" s="84"/>
      <c r="I80" s="85"/>
      <c r="J80" s="85"/>
      <c r="K80" s="85"/>
      <c r="L80" s="85"/>
      <c r="M80" s="209">
        <f>SUM(M81:M84)</f>
        <v>0</v>
      </c>
    </row>
    <row r="81" spans="1:13" ht="16.5">
      <c r="A81" s="79"/>
      <c r="B81" s="37" t="s">
        <v>57</v>
      </c>
      <c r="C81" s="86" t="s">
        <v>112</v>
      </c>
      <c r="D81" s="87" t="s">
        <v>33</v>
      </c>
      <c r="E81" s="88">
        <f>2.56*1.15</f>
        <v>2.944</v>
      </c>
      <c r="F81" s="88">
        <f>E81*E80</f>
        <v>28.556799999999999</v>
      </c>
      <c r="G81" s="88">
        <v>8.5</v>
      </c>
      <c r="H81" s="88"/>
      <c r="I81" s="84"/>
      <c r="J81" s="84"/>
      <c r="K81" s="85"/>
      <c r="L81" s="85"/>
      <c r="M81" s="210">
        <f>H81</f>
        <v>0</v>
      </c>
    </row>
    <row r="82" spans="1:13" ht="16.5">
      <c r="A82" s="79"/>
      <c r="B82" s="37" t="s">
        <v>63</v>
      </c>
      <c r="C82" s="86" t="s">
        <v>113</v>
      </c>
      <c r="D82" s="87" t="s">
        <v>35</v>
      </c>
      <c r="E82" s="89">
        <f>0.338*1.25</f>
        <v>0.42250000000000004</v>
      </c>
      <c r="F82" s="88">
        <f>E82*E80</f>
        <v>4.0982500000000002</v>
      </c>
      <c r="G82" s="85"/>
      <c r="H82" s="85"/>
      <c r="I82" s="84"/>
      <c r="J82" s="84"/>
      <c r="K82" s="88">
        <v>4</v>
      </c>
      <c r="L82" s="88"/>
      <c r="M82" s="210">
        <f>L82</f>
        <v>0</v>
      </c>
    </row>
    <row r="83" spans="1:13" ht="15.75">
      <c r="A83" s="79"/>
      <c r="B83" s="90" t="s">
        <v>114</v>
      </c>
      <c r="C83" s="86" t="s">
        <v>115</v>
      </c>
      <c r="D83" s="87" t="s">
        <v>111</v>
      </c>
      <c r="E83" s="88">
        <v>1</v>
      </c>
      <c r="F83" s="88">
        <f>E83*E80</f>
        <v>9.6999999999999993</v>
      </c>
      <c r="G83" s="84"/>
      <c r="H83" s="84"/>
      <c r="I83" s="88">
        <v>240</v>
      </c>
      <c r="J83" s="88"/>
      <c r="K83" s="88"/>
      <c r="L83" s="88"/>
      <c r="M83" s="210">
        <f>L83+J83</f>
        <v>0</v>
      </c>
    </row>
    <row r="84" spans="1:13" ht="15.75">
      <c r="A84" s="79"/>
      <c r="B84" s="91"/>
      <c r="C84" s="86" t="s">
        <v>74</v>
      </c>
      <c r="D84" s="87" t="s">
        <v>35</v>
      </c>
      <c r="E84" s="89">
        <v>0.26200000000000001</v>
      </c>
      <c r="F84" s="88">
        <f>E84*E80</f>
        <v>2.5413999999999999</v>
      </c>
      <c r="G84" s="84"/>
      <c r="H84" s="84"/>
      <c r="I84" s="88">
        <v>4</v>
      </c>
      <c r="J84" s="88"/>
      <c r="K84" s="88"/>
      <c r="L84" s="88"/>
      <c r="M84" s="210">
        <f>J84</f>
        <v>0</v>
      </c>
    </row>
    <row r="85" spans="1:13" ht="18.75">
      <c r="A85" s="15">
        <v>9</v>
      </c>
      <c r="B85" s="15" t="s">
        <v>116</v>
      </c>
      <c r="C85" s="35" t="s">
        <v>117</v>
      </c>
      <c r="D85" s="17" t="s">
        <v>234</v>
      </c>
      <c r="E85" s="18">
        <v>4.3</v>
      </c>
      <c r="F85" s="68"/>
      <c r="G85" s="18"/>
      <c r="H85" s="18"/>
      <c r="I85" s="18"/>
      <c r="J85" s="18"/>
      <c r="K85" s="18"/>
      <c r="L85" s="18"/>
      <c r="M85" s="199">
        <f>SUM(M86:M90)</f>
        <v>0</v>
      </c>
    </row>
    <row r="86" spans="1:13" ht="15.75">
      <c r="A86" s="15"/>
      <c r="B86" s="37" t="s">
        <v>57</v>
      </c>
      <c r="C86" s="36" t="s">
        <v>32</v>
      </c>
      <c r="D86" s="15" t="s">
        <v>47</v>
      </c>
      <c r="E86" s="15">
        <f>0.228*1.15</f>
        <v>0.26219999999999999</v>
      </c>
      <c r="F86" s="19">
        <f>E86*E85</f>
        <v>1.1274599999999999</v>
      </c>
      <c r="G86" s="19">
        <v>8.5</v>
      </c>
      <c r="H86" s="19"/>
      <c r="I86" s="84"/>
      <c r="J86" s="84"/>
      <c r="K86" s="19"/>
      <c r="L86" s="19"/>
      <c r="M86" s="200">
        <f>H86</f>
        <v>0</v>
      </c>
    </row>
    <row r="87" spans="1:13" ht="15.75">
      <c r="A87" s="15"/>
      <c r="B87" s="37" t="s">
        <v>63</v>
      </c>
      <c r="C87" s="36" t="s">
        <v>64</v>
      </c>
      <c r="D87" s="15" t="s">
        <v>35</v>
      </c>
      <c r="E87" s="15">
        <f>0.008*1.25</f>
        <v>0.01</v>
      </c>
      <c r="F87" s="19">
        <f>E87*E85</f>
        <v>4.2999999999999997E-2</v>
      </c>
      <c r="G87" s="19"/>
      <c r="H87" s="19"/>
      <c r="I87" s="19"/>
      <c r="J87" s="19"/>
      <c r="K87" s="19">
        <v>4</v>
      </c>
      <c r="L87" s="19"/>
      <c r="M87" s="200">
        <f>L87</f>
        <v>0</v>
      </c>
    </row>
    <row r="88" spans="1:13" ht="18">
      <c r="A88" s="15"/>
      <c r="B88" s="92" t="s">
        <v>118</v>
      </c>
      <c r="C88" s="36" t="s">
        <v>119</v>
      </c>
      <c r="D88" s="15" t="s">
        <v>229</v>
      </c>
      <c r="E88" s="15">
        <v>0.78</v>
      </c>
      <c r="F88" s="19">
        <f>E88*E85</f>
        <v>3.3540000000000001</v>
      </c>
      <c r="G88" s="84"/>
      <c r="H88" s="84"/>
      <c r="I88" s="19">
        <v>23.7</v>
      </c>
      <c r="J88" s="19"/>
      <c r="K88" s="19"/>
      <c r="L88" s="19"/>
      <c r="M88" s="200">
        <f>J88</f>
        <v>0</v>
      </c>
    </row>
    <row r="89" spans="1:13" ht="15.75">
      <c r="A89" s="15"/>
      <c r="B89" s="15" t="s">
        <v>120</v>
      </c>
      <c r="C89" s="36" t="s">
        <v>121</v>
      </c>
      <c r="D89" s="15" t="s">
        <v>79</v>
      </c>
      <c r="E89" s="15">
        <v>0.34</v>
      </c>
      <c r="F89" s="19">
        <f>E89*E85</f>
        <v>1.462</v>
      </c>
      <c r="G89" s="84"/>
      <c r="H89" s="84"/>
      <c r="I89" s="19">
        <v>11.5</v>
      </c>
      <c r="J89" s="19"/>
      <c r="K89" s="19"/>
      <c r="L89" s="19"/>
      <c r="M89" s="200">
        <f>J89</f>
        <v>0</v>
      </c>
    </row>
    <row r="90" spans="1:13" ht="15.75">
      <c r="A90" s="15"/>
      <c r="B90" s="15"/>
      <c r="C90" s="36" t="s">
        <v>74</v>
      </c>
      <c r="D90" s="15" t="s">
        <v>35</v>
      </c>
      <c r="E90" s="15">
        <v>2E-3</v>
      </c>
      <c r="F90" s="19">
        <f>E85*E90</f>
        <v>8.6E-3</v>
      </c>
      <c r="G90" s="84"/>
      <c r="H90" s="84"/>
      <c r="I90" s="19">
        <v>4</v>
      </c>
      <c r="J90" s="19"/>
      <c r="K90" s="19"/>
      <c r="L90" s="19"/>
      <c r="M90" s="200">
        <f>J90</f>
        <v>0</v>
      </c>
    </row>
    <row r="91" spans="1:13" ht="16.5">
      <c r="A91" s="79">
        <v>10</v>
      </c>
      <c r="B91" s="80" t="s">
        <v>122</v>
      </c>
      <c r="C91" s="81" t="s">
        <v>123</v>
      </c>
      <c r="D91" s="82" t="s">
        <v>124</v>
      </c>
      <c r="E91" s="83">
        <f>E80*1.5</f>
        <v>14.549999999999999</v>
      </c>
      <c r="F91" s="68"/>
      <c r="G91" s="85"/>
      <c r="H91" s="85"/>
      <c r="I91" s="88"/>
      <c r="J91" s="88"/>
      <c r="K91" s="88"/>
      <c r="L91" s="88"/>
      <c r="M91" s="211">
        <f>SUM(M92:M96)</f>
        <v>0</v>
      </c>
    </row>
    <row r="92" spans="1:13" ht="16.5">
      <c r="A92" s="79"/>
      <c r="B92" s="37" t="s">
        <v>57</v>
      </c>
      <c r="C92" s="86" t="s">
        <v>112</v>
      </c>
      <c r="D92" s="87" t="s">
        <v>33</v>
      </c>
      <c r="E92" s="88">
        <f>0.68*1.15</f>
        <v>0.78200000000000003</v>
      </c>
      <c r="F92" s="88">
        <f>E92*E91</f>
        <v>11.3781</v>
      </c>
      <c r="G92" s="88">
        <v>8.5</v>
      </c>
      <c r="H92" s="88"/>
      <c r="I92" s="85"/>
      <c r="J92" s="85"/>
      <c r="K92" s="85"/>
      <c r="L92" s="85"/>
      <c r="M92" s="210">
        <f>H92</f>
        <v>0</v>
      </c>
    </row>
    <row r="93" spans="1:13" ht="16.5">
      <c r="A93" s="79"/>
      <c r="B93" s="37" t="s">
        <v>63</v>
      </c>
      <c r="C93" s="86" t="s">
        <v>113</v>
      </c>
      <c r="D93" s="87" t="s">
        <v>35</v>
      </c>
      <c r="E93" s="89">
        <f>0.008*1.25</f>
        <v>0.01</v>
      </c>
      <c r="F93" s="93">
        <f>E93*E91</f>
        <v>0.14549999999999999</v>
      </c>
      <c r="G93" s="85"/>
      <c r="H93" s="85"/>
      <c r="I93" s="85"/>
      <c r="J93" s="85"/>
      <c r="K93" s="88">
        <v>4</v>
      </c>
      <c r="L93" s="88"/>
      <c r="M93" s="210">
        <f>L93</f>
        <v>0</v>
      </c>
    </row>
    <row r="94" spans="1:13" ht="16.5">
      <c r="A94" s="79"/>
      <c r="B94" s="90" t="s">
        <v>125</v>
      </c>
      <c r="C94" s="94" t="s">
        <v>126</v>
      </c>
      <c r="D94" s="87" t="s">
        <v>79</v>
      </c>
      <c r="E94" s="89">
        <v>0.27300000000000002</v>
      </c>
      <c r="F94" s="89">
        <f>E94*E91</f>
        <v>3.9721500000000001</v>
      </c>
      <c r="G94" s="85"/>
      <c r="H94" s="85"/>
      <c r="I94" s="88">
        <v>13</v>
      </c>
      <c r="J94" s="88"/>
      <c r="K94" s="88"/>
      <c r="L94" s="88"/>
      <c r="M94" s="210">
        <f>L94+J94</f>
        <v>0</v>
      </c>
    </row>
    <row r="95" spans="1:13" ht="16.5">
      <c r="A95" s="79"/>
      <c r="B95" s="90" t="s">
        <v>127</v>
      </c>
      <c r="C95" s="86" t="s">
        <v>128</v>
      </c>
      <c r="D95" s="87" t="s">
        <v>79</v>
      </c>
      <c r="E95" s="93">
        <v>3.2000000000000001E-2</v>
      </c>
      <c r="F95" s="88">
        <f>E95*E91</f>
        <v>0.46559999999999996</v>
      </c>
      <c r="G95" s="85"/>
      <c r="H95" s="85"/>
      <c r="I95" s="88">
        <v>3.8</v>
      </c>
      <c r="J95" s="88"/>
      <c r="K95" s="88"/>
      <c r="L95" s="88"/>
      <c r="M95" s="210">
        <f>L95+J95</f>
        <v>0</v>
      </c>
    </row>
    <row r="96" spans="1:13" ht="16.5">
      <c r="A96" s="79"/>
      <c r="B96" s="91"/>
      <c r="C96" s="86" t="s">
        <v>74</v>
      </c>
      <c r="D96" s="87" t="s">
        <v>35</v>
      </c>
      <c r="E96" s="89">
        <v>1E-3</v>
      </c>
      <c r="F96" s="89">
        <f>E96*E91</f>
        <v>1.4549999999999999E-2</v>
      </c>
      <c r="G96" s="85"/>
      <c r="H96" s="85"/>
      <c r="I96" s="88">
        <v>4</v>
      </c>
      <c r="J96" s="88"/>
      <c r="K96" s="88"/>
      <c r="L96" s="88"/>
      <c r="M96" s="210">
        <f>J96</f>
        <v>0</v>
      </c>
    </row>
    <row r="97" spans="1:13" ht="18.75">
      <c r="A97" s="61">
        <v>11</v>
      </c>
      <c r="B97" s="61" t="s">
        <v>129</v>
      </c>
      <c r="C97" s="95" t="s">
        <v>130</v>
      </c>
      <c r="D97" s="96" t="s">
        <v>234</v>
      </c>
      <c r="E97" s="96">
        <v>3.9</v>
      </c>
      <c r="F97" s="68"/>
      <c r="G97" s="97"/>
      <c r="H97" s="97"/>
      <c r="I97" s="97"/>
      <c r="J97" s="97"/>
      <c r="K97" s="97"/>
      <c r="L97" s="97"/>
      <c r="M97" s="212">
        <f>SUM(M98:M103)</f>
        <v>0</v>
      </c>
    </row>
    <row r="98" spans="1:13" ht="15.75">
      <c r="A98" s="98"/>
      <c r="B98" s="37" t="s">
        <v>57</v>
      </c>
      <c r="C98" s="99" t="s">
        <v>58</v>
      </c>
      <c r="D98" s="61" t="s">
        <v>47</v>
      </c>
      <c r="E98" s="98">
        <f>1.11*1.15</f>
        <v>1.2765</v>
      </c>
      <c r="F98" s="100">
        <f>E97*E98</f>
        <v>4.9783499999999998</v>
      </c>
      <c r="G98" s="101">
        <v>8.5</v>
      </c>
      <c r="H98" s="100"/>
      <c r="I98" s="100"/>
      <c r="J98" s="100"/>
      <c r="K98" s="100"/>
      <c r="L98" s="100"/>
      <c r="M98" s="213">
        <f>H98</f>
        <v>0</v>
      </c>
    </row>
    <row r="99" spans="1:13" ht="15.75">
      <c r="A99" s="98"/>
      <c r="B99" s="37" t="s">
        <v>63</v>
      </c>
      <c r="C99" s="99" t="s">
        <v>64</v>
      </c>
      <c r="D99" s="98" t="s">
        <v>35</v>
      </c>
      <c r="E99" s="98">
        <f>0.516*1.25</f>
        <v>0.64500000000000002</v>
      </c>
      <c r="F99" s="100">
        <f>E97*E99</f>
        <v>2.5154999999999998</v>
      </c>
      <c r="G99" s="100"/>
      <c r="H99" s="100"/>
      <c r="I99" s="100"/>
      <c r="J99" s="100"/>
      <c r="K99" s="100">
        <v>4</v>
      </c>
      <c r="L99" s="100"/>
      <c r="M99" s="213">
        <f>L99</f>
        <v>0</v>
      </c>
    </row>
    <row r="100" spans="1:13" ht="18">
      <c r="A100" s="98"/>
      <c r="B100" s="98" t="s">
        <v>131</v>
      </c>
      <c r="C100" s="99" t="s">
        <v>132</v>
      </c>
      <c r="D100" s="98" t="s">
        <v>229</v>
      </c>
      <c r="E100" s="98">
        <v>1</v>
      </c>
      <c r="F100" s="100">
        <f>E100*E97</f>
        <v>3.9</v>
      </c>
      <c r="G100" s="100"/>
      <c r="H100" s="100"/>
      <c r="I100" s="100">
        <v>380</v>
      </c>
      <c r="J100" s="100"/>
      <c r="K100" s="100"/>
      <c r="L100" s="100"/>
      <c r="M100" s="213">
        <f>J100</f>
        <v>0</v>
      </c>
    </row>
    <row r="101" spans="1:13" ht="15.75">
      <c r="A101" s="98"/>
      <c r="B101" s="98" t="s">
        <v>133</v>
      </c>
      <c r="C101" s="99" t="s">
        <v>134</v>
      </c>
      <c r="D101" s="98" t="s">
        <v>79</v>
      </c>
      <c r="E101" s="98">
        <v>1.56</v>
      </c>
      <c r="F101" s="100">
        <f>E101*E97</f>
        <v>6.0839999999999996</v>
      </c>
      <c r="G101" s="102"/>
      <c r="H101" s="100"/>
      <c r="I101" s="100">
        <v>4.3</v>
      </c>
      <c r="J101" s="100"/>
      <c r="K101" s="102"/>
      <c r="L101" s="100"/>
      <c r="M101" s="213">
        <f>J101</f>
        <v>0</v>
      </c>
    </row>
    <row r="102" spans="1:13" ht="15.75">
      <c r="A102" s="98"/>
      <c r="B102" s="98" t="s">
        <v>80</v>
      </c>
      <c r="C102" s="99" t="s">
        <v>81</v>
      </c>
      <c r="D102" s="98" t="s">
        <v>79</v>
      </c>
      <c r="E102" s="98">
        <v>4.8000000000000001E-2</v>
      </c>
      <c r="F102" s="98">
        <f>E102*E97</f>
        <v>0.18720000000000001</v>
      </c>
      <c r="G102" s="103"/>
      <c r="H102" s="103"/>
      <c r="I102" s="100">
        <v>3.47</v>
      </c>
      <c r="J102" s="100"/>
      <c r="K102" s="103"/>
      <c r="L102" s="103"/>
      <c r="M102" s="213">
        <f>J102</f>
        <v>0</v>
      </c>
    </row>
    <row r="103" spans="1:13" ht="15.75">
      <c r="A103" s="98"/>
      <c r="B103" s="98"/>
      <c r="C103" s="99" t="s">
        <v>74</v>
      </c>
      <c r="D103" s="98" t="s">
        <v>35</v>
      </c>
      <c r="E103" s="98">
        <v>5.3999999999999999E-2</v>
      </c>
      <c r="F103" s="98">
        <f>E103*E97</f>
        <v>0.21059999999999998</v>
      </c>
      <c r="G103" s="100"/>
      <c r="H103" s="100"/>
      <c r="I103" s="100">
        <v>4</v>
      </c>
      <c r="J103" s="100"/>
      <c r="K103" s="100"/>
      <c r="L103" s="100"/>
      <c r="M103" s="213">
        <f>J103</f>
        <v>0</v>
      </c>
    </row>
    <row r="104" spans="1:13" ht="33">
      <c r="A104" s="21">
        <v>12</v>
      </c>
      <c r="B104" s="21" t="s">
        <v>135</v>
      </c>
      <c r="C104" s="35" t="s">
        <v>136</v>
      </c>
      <c r="D104" s="16" t="s">
        <v>234</v>
      </c>
      <c r="E104" s="104">
        <f>E97*2.2</f>
        <v>8.58</v>
      </c>
      <c r="F104" s="68"/>
      <c r="G104" s="104"/>
      <c r="H104" s="104"/>
      <c r="I104" s="104"/>
      <c r="J104" s="104"/>
      <c r="K104" s="104"/>
      <c r="L104" s="104"/>
      <c r="M104" s="214">
        <f>SUM(M105:M109)</f>
        <v>0</v>
      </c>
    </row>
    <row r="105" spans="1:13" ht="15.75">
      <c r="A105" s="37"/>
      <c r="B105" s="37" t="s">
        <v>57</v>
      </c>
      <c r="C105" s="44" t="s">
        <v>32</v>
      </c>
      <c r="D105" s="37" t="s">
        <v>47</v>
      </c>
      <c r="E105" s="37">
        <f>0.68*1.15</f>
        <v>0.78200000000000003</v>
      </c>
      <c r="F105" s="45">
        <f>E104*E105</f>
        <v>6.7095600000000006</v>
      </c>
      <c r="G105" s="101">
        <v>8.5</v>
      </c>
      <c r="H105" s="45"/>
      <c r="I105" s="45"/>
      <c r="J105" s="45"/>
      <c r="K105" s="45"/>
      <c r="L105" s="45"/>
      <c r="M105" s="205">
        <f>H105</f>
        <v>0</v>
      </c>
    </row>
    <row r="106" spans="1:13" ht="15.75">
      <c r="A106" s="37"/>
      <c r="B106" s="37" t="s">
        <v>63</v>
      </c>
      <c r="C106" s="44" t="s">
        <v>64</v>
      </c>
      <c r="D106" s="37" t="s">
        <v>35</v>
      </c>
      <c r="E106" s="37">
        <f>0.008*1.25</f>
        <v>0.01</v>
      </c>
      <c r="F106" s="45">
        <f>E106*E104</f>
        <v>8.5800000000000001E-2</v>
      </c>
      <c r="G106" s="45"/>
      <c r="H106" s="45"/>
      <c r="I106" s="45"/>
      <c r="J106" s="45"/>
      <c r="K106" s="45">
        <v>4</v>
      </c>
      <c r="L106" s="45"/>
      <c r="M106" s="205">
        <f>L106</f>
        <v>0</v>
      </c>
    </row>
    <row r="107" spans="1:13" ht="15.75">
      <c r="A107" s="37"/>
      <c r="B107" s="37" t="s">
        <v>137</v>
      </c>
      <c r="C107" s="44" t="s">
        <v>138</v>
      </c>
      <c r="D107" s="37" t="s">
        <v>79</v>
      </c>
      <c r="E107" s="37">
        <v>0.27300000000000002</v>
      </c>
      <c r="F107" s="45">
        <f>E107*E104</f>
        <v>2.3423400000000001</v>
      </c>
      <c r="G107" s="45"/>
      <c r="H107" s="45"/>
      <c r="I107" s="45">
        <v>6.5</v>
      </c>
      <c r="J107" s="45"/>
      <c r="K107" s="45"/>
      <c r="L107" s="45"/>
      <c r="M107" s="205">
        <f>J107</f>
        <v>0</v>
      </c>
    </row>
    <row r="108" spans="1:13" ht="15.75">
      <c r="A108" s="37"/>
      <c r="B108" s="37" t="s">
        <v>139</v>
      </c>
      <c r="C108" s="44" t="s">
        <v>128</v>
      </c>
      <c r="D108" s="37" t="s">
        <v>79</v>
      </c>
      <c r="E108" s="37">
        <v>3.2000000000000001E-2</v>
      </c>
      <c r="F108" s="45">
        <f>E108*E104</f>
        <v>0.27456000000000003</v>
      </c>
      <c r="G108" s="45"/>
      <c r="H108" s="45"/>
      <c r="I108" s="45">
        <v>3.8</v>
      </c>
      <c r="J108" s="45"/>
      <c r="K108" s="45"/>
      <c r="L108" s="45"/>
      <c r="M108" s="205">
        <f>J108</f>
        <v>0</v>
      </c>
    </row>
    <row r="109" spans="1:13" ht="15.75">
      <c r="A109" s="37"/>
      <c r="B109" s="37"/>
      <c r="C109" s="44" t="s">
        <v>74</v>
      </c>
      <c r="D109" s="37" t="s">
        <v>35</v>
      </c>
      <c r="E109" s="37">
        <v>1E-3</v>
      </c>
      <c r="F109" s="77">
        <f>E104*E109</f>
        <v>8.5800000000000008E-3</v>
      </c>
      <c r="G109" s="45"/>
      <c r="H109" s="45"/>
      <c r="I109" s="45">
        <v>4</v>
      </c>
      <c r="J109" s="45"/>
      <c r="K109" s="45"/>
      <c r="L109" s="45"/>
      <c r="M109" s="205">
        <f>J109</f>
        <v>0</v>
      </c>
    </row>
    <row r="110" spans="1:13" ht="18.75">
      <c r="A110" s="37">
        <v>13</v>
      </c>
      <c r="B110" s="37" t="s">
        <v>140</v>
      </c>
      <c r="C110" s="76" t="s">
        <v>141</v>
      </c>
      <c r="D110" s="39" t="s">
        <v>225</v>
      </c>
      <c r="E110" s="39">
        <v>1.3</v>
      </c>
      <c r="F110" s="42"/>
      <c r="G110" s="42"/>
      <c r="H110" s="42"/>
      <c r="I110" s="42"/>
      <c r="J110" s="42"/>
      <c r="K110" s="42"/>
      <c r="L110" s="42"/>
      <c r="M110" s="204">
        <f>SUM(M111:M117)</f>
        <v>0</v>
      </c>
    </row>
    <row r="111" spans="1:13" ht="15.75">
      <c r="A111" s="37"/>
      <c r="B111" s="37" t="s">
        <v>57</v>
      </c>
      <c r="C111" s="44" t="s">
        <v>58</v>
      </c>
      <c r="D111" s="37" t="s">
        <v>47</v>
      </c>
      <c r="E111" s="37">
        <f>23.8*1.15</f>
        <v>27.369999999999997</v>
      </c>
      <c r="F111" s="45">
        <f>E110*E111</f>
        <v>35.580999999999996</v>
      </c>
      <c r="G111" s="45">
        <v>8.5</v>
      </c>
      <c r="H111" s="45"/>
      <c r="I111" s="45"/>
      <c r="J111" s="45"/>
      <c r="K111" s="45"/>
      <c r="L111" s="45"/>
      <c r="M111" s="205">
        <f>H111</f>
        <v>0</v>
      </c>
    </row>
    <row r="112" spans="1:13" ht="15.75">
      <c r="A112" s="37"/>
      <c r="B112" s="37" t="s">
        <v>63</v>
      </c>
      <c r="C112" s="44" t="s">
        <v>64</v>
      </c>
      <c r="D112" s="37" t="s">
        <v>35</v>
      </c>
      <c r="E112" s="37">
        <f>2.1*1.25</f>
        <v>2.625</v>
      </c>
      <c r="F112" s="45">
        <f>E110*E112</f>
        <v>3.4125000000000001</v>
      </c>
      <c r="G112" s="45"/>
      <c r="H112" s="45"/>
      <c r="I112" s="45"/>
      <c r="J112" s="45"/>
      <c r="K112" s="45">
        <v>4</v>
      </c>
      <c r="L112" s="45"/>
      <c r="M112" s="205">
        <f>L112</f>
        <v>0</v>
      </c>
    </row>
    <row r="113" spans="1:13" ht="18">
      <c r="A113" s="37"/>
      <c r="B113" s="37" t="s">
        <v>105</v>
      </c>
      <c r="C113" s="44" t="s">
        <v>106</v>
      </c>
      <c r="D113" s="37" t="s">
        <v>226</v>
      </c>
      <c r="E113" s="37">
        <v>1.05</v>
      </c>
      <c r="F113" s="45">
        <f>E110*E113</f>
        <v>1.3650000000000002</v>
      </c>
      <c r="G113" s="45"/>
      <c r="H113" s="78"/>
      <c r="I113" s="45">
        <v>870</v>
      </c>
      <c r="J113" s="45"/>
      <c r="K113" s="45"/>
      <c r="L113" s="45"/>
      <c r="M113" s="205">
        <f>J113</f>
        <v>0</v>
      </c>
    </row>
    <row r="114" spans="1:13" ht="15.75">
      <c r="A114" s="37"/>
      <c r="B114" s="37" t="s">
        <v>142</v>
      </c>
      <c r="C114" s="44" t="s">
        <v>143</v>
      </c>
      <c r="D114" s="37" t="s">
        <v>79</v>
      </c>
      <c r="E114" s="37">
        <v>7.2</v>
      </c>
      <c r="F114" s="45">
        <f>E110*E114</f>
        <v>9.3600000000000012</v>
      </c>
      <c r="G114" s="45"/>
      <c r="H114" s="78"/>
      <c r="I114" s="45">
        <v>4.2</v>
      </c>
      <c r="J114" s="45"/>
      <c r="K114" s="45"/>
      <c r="L114" s="45"/>
      <c r="M114" s="205">
        <f>J114</f>
        <v>0</v>
      </c>
    </row>
    <row r="115" spans="1:13" ht="15.75">
      <c r="A115" s="37"/>
      <c r="B115" s="37" t="s">
        <v>144</v>
      </c>
      <c r="C115" s="44" t="s">
        <v>145</v>
      </c>
      <c r="D115" s="37" t="s">
        <v>79</v>
      </c>
      <c r="E115" s="37">
        <v>4.38</v>
      </c>
      <c r="F115" s="45">
        <f>E110*E115</f>
        <v>5.694</v>
      </c>
      <c r="G115" s="45"/>
      <c r="H115" s="78"/>
      <c r="I115" s="47">
        <v>2.1360000000000001</v>
      </c>
      <c r="J115" s="45"/>
      <c r="K115" s="45"/>
      <c r="L115" s="45"/>
      <c r="M115" s="205">
        <f>J115</f>
        <v>0</v>
      </c>
    </row>
    <row r="116" spans="1:13" ht="18">
      <c r="A116" s="37"/>
      <c r="B116" s="37" t="s">
        <v>146</v>
      </c>
      <c r="C116" s="44" t="s">
        <v>147</v>
      </c>
      <c r="D116" s="37" t="s">
        <v>229</v>
      </c>
      <c r="E116" s="37">
        <v>3.38</v>
      </c>
      <c r="F116" s="45">
        <f>E110*E116</f>
        <v>4.3940000000000001</v>
      </c>
      <c r="G116" s="45"/>
      <c r="H116" s="78"/>
      <c r="I116" s="45">
        <v>8.8000000000000007</v>
      </c>
      <c r="J116" s="45"/>
      <c r="K116" s="45"/>
      <c r="L116" s="45"/>
      <c r="M116" s="205">
        <f>J116</f>
        <v>0</v>
      </c>
    </row>
    <row r="117" spans="1:13" ht="15.75">
      <c r="A117" s="37"/>
      <c r="B117" s="37"/>
      <c r="C117" s="44" t="s">
        <v>74</v>
      </c>
      <c r="D117" s="37" t="s">
        <v>35</v>
      </c>
      <c r="E117" s="37">
        <v>3.44</v>
      </c>
      <c r="F117" s="45">
        <f>E110*E117</f>
        <v>4.4720000000000004</v>
      </c>
      <c r="G117" s="45"/>
      <c r="H117" s="78"/>
      <c r="I117" s="45">
        <v>4</v>
      </c>
      <c r="J117" s="45"/>
      <c r="K117" s="45"/>
      <c r="L117" s="45"/>
      <c r="M117" s="205">
        <f>J117</f>
        <v>0</v>
      </c>
    </row>
    <row r="118" spans="1:13" ht="18.75">
      <c r="A118" s="37">
        <v>14</v>
      </c>
      <c r="B118" s="105" t="s">
        <v>148</v>
      </c>
      <c r="C118" s="76" t="s">
        <v>149</v>
      </c>
      <c r="D118" s="39" t="s">
        <v>234</v>
      </c>
      <c r="E118" s="39">
        <v>27.5</v>
      </c>
      <c r="F118" s="42"/>
      <c r="G118" s="42"/>
      <c r="H118" s="42"/>
      <c r="I118" s="42"/>
      <c r="J118" s="42"/>
      <c r="K118" s="42"/>
      <c r="L118" s="42"/>
      <c r="M118" s="204">
        <f>SUM(M119:M123)</f>
        <v>0</v>
      </c>
    </row>
    <row r="119" spans="1:13" ht="15.75">
      <c r="A119" s="37"/>
      <c r="B119" s="37" t="s">
        <v>57</v>
      </c>
      <c r="C119" s="44" t="s">
        <v>58</v>
      </c>
      <c r="D119" s="37" t="s">
        <v>47</v>
      </c>
      <c r="E119" s="37">
        <f>0.227*1.15</f>
        <v>0.26105</v>
      </c>
      <c r="F119" s="45">
        <f>E118*E119</f>
        <v>7.1788749999999997</v>
      </c>
      <c r="G119" s="45">
        <v>8.5</v>
      </c>
      <c r="H119" s="45"/>
      <c r="I119" s="45"/>
      <c r="J119" s="45"/>
      <c r="K119" s="45"/>
      <c r="L119" s="45"/>
      <c r="M119" s="205">
        <f>H119</f>
        <v>0</v>
      </c>
    </row>
    <row r="120" spans="1:13" ht="15.75">
      <c r="A120" s="37"/>
      <c r="B120" s="37" t="s">
        <v>63</v>
      </c>
      <c r="C120" s="44" t="s">
        <v>64</v>
      </c>
      <c r="D120" s="37" t="s">
        <v>35</v>
      </c>
      <c r="E120" s="37">
        <f>0.0276*1.25</f>
        <v>3.4500000000000003E-2</v>
      </c>
      <c r="F120" s="45">
        <f>E118*E120</f>
        <v>0.94875000000000009</v>
      </c>
      <c r="G120" s="45"/>
      <c r="H120" s="45"/>
      <c r="I120" s="45"/>
      <c r="J120" s="45"/>
      <c r="K120" s="45">
        <v>4</v>
      </c>
      <c r="L120" s="45"/>
      <c r="M120" s="205">
        <f>L120</f>
        <v>0</v>
      </c>
    </row>
    <row r="121" spans="1:13" ht="18">
      <c r="A121" s="37"/>
      <c r="B121" s="37" t="s">
        <v>105</v>
      </c>
      <c r="C121" s="44" t="s">
        <v>106</v>
      </c>
      <c r="D121" s="37" t="s">
        <v>226</v>
      </c>
      <c r="E121" s="37">
        <v>2.1000000000000001E-2</v>
      </c>
      <c r="F121" s="45">
        <f>E118*E121</f>
        <v>0.57750000000000001</v>
      </c>
      <c r="G121" s="45"/>
      <c r="H121" s="45"/>
      <c r="I121" s="45">
        <v>870</v>
      </c>
      <c r="J121" s="45"/>
      <c r="K121" s="45"/>
      <c r="L121" s="45"/>
      <c r="M121" s="205">
        <f>J121</f>
        <v>0</v>
      </c>
    </row>
    <row r="122" spans="1:13" ht="15.75">
      <c r="A122" s="37"/>
      <c r="B122" s="37" t="s">
        <v>142</v>
      </c>
      <c r="C122" s="44" t="s">
        <v>143</v>
      </c>
      <c r="D122" s="37" t="s">
        <v>79</v>
      </c>
      <c r="E122" s="37">
        <v>7.0000000000000007E-2</v>
      </c>
      <c r="F122" s="45">
        <f>E122*E118</f>
        <v>1.9250000000000003</v>
      </c>
      <c r="G122" s="45"/>
      <c r="H122" s="45"/>
      <c r="I122" s="45">
        <v>4.2</v>
      </c>
      <c r="J122" s="45"/>
      <c r="K122" s="45"/>
      <c r="L122" s="45"/>
      <c r="M122" s="205">
        <f>J122</f>
        <v>0</v>
      </c>
    </row>
    <row r="123" spans="1:13" ht="15.75">
      <c r="A123" s="37"/>
      <c r="B123" s="37"/>
      <c r="C123" s="44" t="s">
        <v>74</v>
      </c>
      <c r="D123" s="37" t="s">
        <v>35</v>
      </c>
      <c r="E123" s="37">
        <v>4.4999999999999998E-2</v>
      </c>
      <c r="F123" s="45">
        <f>E118*E123</f>
        <v>1.2375</v>
      </c>
      <c r="G123" s="45"/>
      <c r="H123" s="45"/>
      <c r="I123" s="45">
        <v>4</v>
      </c>
      <c r="J123" s="45"/>
      <c r="K123" s="45"/>
      <c r="L123" s="45"/>
      <c r="M123" s="205">
        <f>J123</f>
        <v>0</v>
      </c>
    </row>
    <row r="124" spans="1:13" ht="18.75">
      <c r="A124" s="37">
        <v>15</v>
      </c>
      <c r="B124" s="37" t="s">
        <v>150</v>
      </c>
      <c r="C124" s="76" t="s">
        <v>151</v>
      </c>
      <c r="D124" s="39" t="s">
        <v>234</v>
      </c>
      <c r="E124" s="39">
        <f>E118</f>
        <v>27.5</v>
      </c>
      <c r="F124" s="42"/>
      <c r="G124" s="42"/>
      <c r="H124" s="106"/>
      <c r="I124" s="42"/>
      <c r="J124" s="42"/>
      <c r="K124" s="42"/>
      <c r="L124" s="42"/>
      <c r="M124" s="204">
        <f>SUM(M125:M127)</f>
        <v>0</v>
      </c>
    </row>
    <row r="125" spans="1:13" ht="15.75">
      <c r="A125" s="37"/>
      <c r="B125" s="37" t="s">
        <v>57</v>
      </c>
      <c r="C125" s="44" t="s">
        <v>58</v>
      </c>
      <c r="D125" s="37" t="s">
        <v>47</v>
      </c>
      <c r="E125" s="37">
        <v>4.24E-2</v>
      </c>
      <c r="F125" s="45">
        <f>E125*E124</f>
        <v>1.1659999999999999</v>
      </c>
      <c r="G125" s="45">
        <v>8.5</v>
      </c>
      <c r="H125" s="45"/>
      <c r="I125" s="45"/>
      <c r="J125" s="45"/>
      <c r="K125" s="45"/>
      <c r="L125" s="45"/>
      <c r="M125" s="205">
        <f>H125</f>
        <v>0</v>
      </c>
    </row>
    <row r="126" spans="1:13" ht="15.75">
      <c r="A126" s="37"/>
      <c r="B126" s="37" t="s">
        <v>63</v>
      </c>
      <c r="C126" s="44" t="s">
        <v>64</v>
      </c>
      <c r="D126" s="37" t="s">
        <v>35</v>
      </c>
      <c r="E126" s="37">
        <v>2.0999999999999999E-3</v>
      </c>
      <c r="F126" s="45">
        <f>E126*E124</f>
        <v>5.7749999999999996E-2</v>
      </c>
      <c r="G126" s="45"/>
      <c r="H126" s="78"/>
      <c r="I126" s="45"/>
      <c r="J126" s="45"/>
      <c r="K126" s="45">
        <v>4</v>
      </c>
      <c r="L126" s="45"/>
      <c r="M126" s="205">
        <f>L126</f>
        <v>0</v>
      </c>
    </row>
    <row r="127" spans="1:13" ht="31.5">
      <c r="A127" s="37"/>
      <c r="B127" s="107" t="s">
        <v>152</v>
      </c>
      <c r="C127" s="44" t="s">
        <v>153</v>
      </c>
      <c r="D127" s="37" t="s">
        <v>79</v>
      </c>
      <c r="E127" s="37">
        <v>1.5</v>
      </c>
      <c r="F127" s="45">
        <f>E127*E124</f>
        <v>41.25</v>
      </c>
      <c r="G127" s="45"/>
      <c r="H127" s="45"/>
      <c r="I127" s="45">
        <v>8.5</v>
      </c>
      <c r="J127" s="45"/>
      <c r="K127" s="45"/>
      <c r="L127" s="45"/>
      <c r="M127" s="205">
        <f>J127</f>
        <v>0</v>
      </c>
    </row>
    <row r="128" spans="1:13" ht="18.75">
      <c r="A128" s="37">
        <v>16</v>
      </c>
      <c r="B128" s="105" t="s">
        <v>154</v>
      </c>
      <c r="C128" s="108" t="s">
        <v>155</v>
      </c>
      <c r="D128" s="39" t="s">
        <v>234</v>
      </c>
      <c r="E128" s="39">
        <f>E124</f>
        <v>27.5</v>
      </c>
      <c r="F128" s="42"/>
      <c r="G128" s="42"/>
      <c r="H128" s="42"/>
      <c r="I128" s="42"/>
      <c r="J128" s="42"/>
      <c r="K128" s="42"/>
      <c r="L128" s="42"/>
      <c r="M128" s="204">
        <f>SUM(M129:M131)</f>
        <v>0</v>
      </c>
    </row>
    <row r="129" spans="1:13" ht="15.75">
      <c r="A129" s="37"/>
      <c r="B129" s="37" t="s">
        <v>57</v>
      </c>
      <c r="C129" s="44" t="s">
        <v>32</v>
      </c>
      <c r="D129" s="37" t="s">
        <v>156</v>
      </c>
      <c r="E129" s="37">
        <f>1.94*1.15</f>
        <v>2.2309999999999999</v>
      </c>
      <c r="F129" s="45">
        <f>E129*E128</f>
        <v>61.352499999999999</v>
      </c>
      <c r="G129" s="45">
        <v>8.5</v>
      </c>
      <c r="H129" s="45"/>
      <c r="I129" s="45"/>
      <c r="J129" s="45"/>
      <c r="K129" s="45"/>
      <c r="L129" s="45"/>
      <c r="M129" s="205">
        <f>H129</f>
        <v>0</v>
      </c>
    </row>
    <row r="130" spans="1:13" ht="18">
      <c r="A130" s="37"/>
      <c r="B130" s="37" t="s">
        <v>157</v>
      </c>
      <c r="C130" s="44" t="s">
        <v>158</v>
      </c>
      <c r="D130" s="37" t="s">
        <v>229</v>
      </c>
      <c r="E130" s="37">
        <v>1.1000000000000001</v>
      </c>
      <c r="F130" s="45">
        <f>E130*E128</f>
        <v>30.250000000000004</v>
      </c>
      <c r="G130" s="45"/>
      <c r="H130" s="45"/>
      <c r="I130" s="45">
        <v>13.1</v>
      </c>
      <c r="J130" s="45"/>
      <c r="K130" s="45"/>
      <c r="L130" s="45"/>
      <c r="M130" s="205">
        <f>J130</f>
        <v>0</v>
      </c>
    </row>
    <row r="131" spans="1:13" ht="15.75">
      <c r="A131" s="37"/>
      <c r="B131" s="37" t="s">
        <v>159</v>
      </c>
      <c r="C131" s="44" t="s">
        <v>160</v>
      </c>
      <c r="D131" s="37" t="s">
        <v>79</v>
      </c>
      <c r="E131" s="37">
        <v>0.08</v>
      </c>
      <c r="F131" s="45">
        <f>E131*E128</f>
        <v>2.2000000000000002</v>
      </c>
      <c r="G131" s="45"/>
      <c r="H131" s="78"/>
      <c r="I131" s="45">
        <v>11.3</v>
      </c>
      <c r="J131" s="45"/>
      <c r="K131" s="45"/>
      <c r="L131" s="45"/>
      <c r="M131" s="205">
        <f>J131</f>
        <v>0</v>
      </c>
    </row>
    <row r="132" spans="1:13" ht="33">
      <c r="A132" s="37">
        <v>17</v>
      </c>
      <c r="B132" s="105" t="s">
        <v>161</v>
      </c>
      <c r="C132" s="109" t="s">
        <v>162</v>
      </c>
      <c r="D132" s="39" t="s">
        <v>225</v>
      </c>
      <c r="E132" s="39">
        <v>6</v>
      </c>
      <c r="F132" s="42"/>
      <c r="G132" s="42"/>
      <c r="H132" s="42"/>
      <c r="I132" s="42"/>
      <c r="J132" s="42"/>
      <c r="K132" s="42"/>
      <c r="L132" s="42"/>
      <c r="M132" s="204">
        <f>SUM(M133:M133)</f>
        <v>0</v>
      </c>
    </row>
    <row r="133" spans="1:13" ht="15.75">
      <c r="A133" s="37"/>
      <c r="B133" s="37"/>
      <c r="C133" s="44" t="s">
        <v>32</v>
      </c>
      <c r="D133" s="37" t="s">
        <v>156</v>
      </c>
      <c r="E133" s="37">
        <v>5.87</v>
      </c>
      <c r="F133" s="45">
        <f>E133*E132</f>
        <v>35.22</v>
      </c>
      <c r="G133" s="45">
        <v>6.6</v>
      </c>
      <c r="H133" s="45"/>
      <c r="I133" s="45"/>
      <c r="J133" s="45"/>
      <c r="K133" s="45"/>
      <c r="L133" s="45"/>
      <c r="M133" s="205">
        <f>H133</f>
        <v>0</v>
      </c>
    </row>
    <row r="134" spans="1:13" ht="33">
      <c r="A134" s="15">
        <v>18</v>
      </c>
      <c r="B134" s="15" t="s">
        <v>163</v>
      </c>
      <c r="C134" s="35" t="s">
        <v>235</v>
      </c>
      <c r="D134" s="17" t="s">
        <v>225</v>
      </c>
      <c r="E134" s="18">
        <f>1.4*3</f>
        <v>4.1999999999999993</v>
      </c>
      <c r="F134" s="68"/>
      <c r="G134" s="18"/>
      <c r="H134" s="18"/>
      <c r="I134" s="18"/>
      <c r="J134" s="18"/>
      <c r="K134" s="18"/>
      <c r="L134" s="18"/>
      <c r="M134" s="199">
        <f>SUM(M135:M144)</f>
        <v>0</v>
      </c>
    </row>
    <row r="135" spans="1:13" ht="15.75">
      <c r="A135" s="37"/>
      <c r="B135" s="37" t="s">
        <v>57</v>
      </c>
      <c r="C135" s="44" t="s">
        <v>32</v>
      </c>
      <c r="D135" s="37" t="s">
        <v>47</v>
      </c>
      <c r="E135" s="37">
        <f>13.9*1.15</f>
        <v>15.984999999999999</v>
      </c>
      <c r="F135" s="45">
        <f>E134*E135</f>
        <v>67.136999999999986</v>
      </c>
      <c r="G135" s="45">
        <v>8.5</v>
      </c>
      <c r="H135" s="45"/>
      <c r="I135" s="45"/>
      <c r="J135" s="45"/>
      <c r="K135" s="45"/>
      <c r="L135" s="45"/>
      <c r="M135" s="205">
        <f>H135</f>
        <v>0</v>
      </c>
    </row>
    <row r="136" spans="1:13" ht="15.75">
      <c r="A136" s="37"/>
      <c r="B136" s="37" t="s">
        <v>63</v>
      </c>
      <c r="C136" s="44" t="s">
        <v>64</v>
      </c>
      <c r="D136" s="37" t="s">
        <v>35</v>
      </c>
      <c r="E136" s="45">
        <f>1.28*1.25</f>
        <v>1.6</v>
      </c>
      <c r="F136" s="45">
        <f>E134*E136</f>
        <v>6.7199999999999989</v>
      </c>
      <c r="G136" s="45"/>
      <c r="H136" s="45"/>
      <c r="I136" s="45"/>
      <c r="J136" s="45"/>
      <c r="K136" s="45">
        <v>4</v>
      </c>
      <c r="L136" s="45"/>
      <c r="M136" s="205">
        <f>L136</f>
        <v>0</v>
      </c>
    </row>
    <row r="137" spans="1:13" ht="15.75">
      <c r="A137" s="37"/>
      <c r="B137" s="37" t="s">
        <v>164</v>
      </c>
      <c r="C137" s="110" t="s">
        <v>236</v>
      </c>
      <c r="D137" s="49" t="s">
        <v>31</v>
      </c>
      <c r="E137" s="37">
        <v>1.0149999999999999</v>
      </c>
      <c r="F137" s="45">
        <f>E134*E137</f>
        <v>4.262999999999999</v>
      </c>
      <c r="G137" s="45"/>
      <c r="H137" s="45"/>
      <c r="I137" s="45">
        <v>157</v>
      </c>
      <c r="J137" s="45"/>
      <c r="K137" s="45"/>
      <c r="L137" s="45"/>
      <c r="M137" s="205">
        <f>J137</f>
        <v>0</v>
      </c>
    </row>
    <row r="138" spans="1:13" ht="18">
      <c r="A138" s="37"/>
      <c r="B138" s="48" t="s">
        <v>66</v>
      </c>
      <c r="C138" s="44" t="s">
        <v>67</v>
      </c>
      <c r="D138" s="37" t="s">
        <v>226</v>
      </c>
      <c r="E138" s="37">
        <v>2.29</v>
      </c>
      <c r="F138" s="45">
        <f>E134*E138</f>
        <v>9.6179999999999986</v>
      </c>
      <c r="G138" s="45"/>
      <c r="H138" s="45"/>
      <c r="I138" s="45">
        <v>43</v>
      </c>
      <c r="J138" s="45"/>
      <c r="K138" s="45"/>
      <c r="L138" s="45"/>
      <c r="M138" s="205">
        <f t="shared" ref="M138:M144" si="3">J138</f>
        <v>0</v>
      </c>
    </row>
    <row r="139" spans="1:13" ht="18">
      <c r="A139" s="37"/>
      <c r="B139" s="59" t="s">
        <v>87</v>
      </c>
      <c r="C139" s="44" t="s">
        <v>165</v>
      </c>
      <c r="D139" s="37" t="s">
        <v>229</v>
      </c>
      <c r="E139" s="37">
        <v>1.4E-2</v>
      </c>
      <c r="F139" s="45">
        <f>E134*E139</f>
        <v>5.8799999999999991E-2</v>
      </c>
      <c r="G139" s="45"/>
      <c r="H139" s="45"/>
      <c r="I139" s="45">
        <v>727</v>
      </c>
      <c r="J139" s="45"/>
      <c r="K139" s="45"/>
      <c r="L139" s="45"/>
      <c r="M139" s="205">
        <f t="shared" si="3"/>
        <v>0</v>
      </c>
    </row>
    <row r="140" spans="1:13" ht="18">
      <c r="A140" s="37"/>
      <c r="B140" s="59" t="s">
        <v>89</v>
      </c>
      <c r="C140" s="44" t="s">
        <v>166</v>
      </c>
      <c r="D140" s="37" t="s">
        <v>226</v>
      </c>
      <c r="E140" s="37">
        <v>4.2900000000000001E-2</v>
      </c>
      <c r="F140" s="45">
        <f>E134*E140</f>
        <v>0.18017999999999998</v>
      </c>
      <c r="G140" s="45"/>
      <c r="H140" s="45"/>
      <c r="I140" s="45">
        <v>730</v>
      </c>
      <c r="J140" s="45"/>
      <c r="K140" s="45"/>
      <c r="L140" s="45"/>
      <c r="M140" s="205">
        <f t="shared" si="3"/>
        <v>0</v>
      </c>
    </row>
    <row r="141" spans="1:13" ht="18">
      <c r="A141" s="37"/>
      <c r="B141" s="49" t="s">
        <v>68</v>
      </c>
      <c r="C141" s="44" t="s">
        <v>167</v>
      </c>
      <c r="D141" s="37" t="s">
        <v>226</v>
      </c>
      <c r="E141" s="37">
        <v>2E-3</v>
      </c>
      <c r="F141" s="45">
        <f>E134*E141</f>
        <v>8.3999999999999995E-3</v>
      </c>
      <c r="G141" s="45"/>
      <c r="H141" s="45"/>
      <c r="I141" s="45">
        <v>655</v>
      </c>
      <c r="J141" s="45"/>
      <c r="K141" s="45"/>
      <c r="L141" s="45"/>
      <c r="M141" s="205">
        <f t="shared" si="3"/>
        <v>0</v>
      </c>
    </row>
    <row r="142" spans="1:13" ht="15.75">
      <c r="A142" s="37"/>
      <c r="B142" s="98" t="s">
        <v>80</v>
      </c>
      <c r="C142" s="44" t="s">
        <v>81</v>
      </c>
      <c r="D142" s="37" t="s">
        <v>79</v>
      </c>
      <c r="E142" s="37">
        <v>2.5</v>
      </c>
      <c r="F142" s="45">
        <f>E142*E134</f>
        <v>10.499999999999998</v>
      </c>
      <c r="G142" s="45"/>
      <c r="H142" s="45"/>
      <c r="I142" s="100">
        <v>3.47</v>
      </c>
      <c r="J142" s="45"/>
      <c r="K142" s="45"/>
      <c r="L142" s="45"/>
      <c r="M142" s="205">
        <f t="shared" si="3"/>
        <v>0</v>
      </c>
    </row>
    <row r="143" spans="1:13" ht="16.5">
      <c r="A143" s="37"/>
      <c r="B143" s="37" t="s">
        <v>73</v>
      </c>
      <c r="C143" s="50" t="s">
        <v>231</v>
      </c>
      <c r="D143" s="39" t="s">
        <v>71</v>
      </c>
      <c r="E143" s="51" t="s">
        <v>72</v>
      </c>
      <c r="F143" s="52">
        <f>0.09*E134</f>
        <v>0.37799999999999995</v>
      </c>
      <c r="G143" s="53"/>
      <c r="H143" s="53"/>
      <c r="I143" s="55">
        <v>1993</v>
      </c>
      <c r="J143" s="55"/>
      <c r="K143" s="53"/>
      <c r="L143" s="53"/>
      <c r="M143" s="206">
        <f t="shared" si="3"/>
        <v>0</v>
      </c>
    </row>
    <row r="144" spans="1:13" ht="15.75">
      <c r="A144" s="37"/>
      <c r="B144" s="37"/>
      <c r="C144" s="44" t="s">
        <v>74</v>
      </c>
      <c r="D144" s="37" t="s">
        <v>35</v>
      </c>
      <c r="E144" s="37">
        <v>0.93</v>
      </c>
      <c r="F144" s="45">
        <f>E134*E144</f>
        <v>3.9059999999999997</v>
      </c>
      <c r="G144" s="45"/>
      <c r="H144" s="45"/>
      <c r="I144" s="45">
        <v>4</v>
      </c>
      <c r="J144" s="45"/>
      <c r="K144" s="45"/>
      <c r="L144" s="45"/>
      <c r="M144" s="205">
        <f t="shared" si="3"/>
        <v>0</v>
      </c>
    </row>
    <row r="145" spans="1:13" ht="33">
      <c r="A145" s="79">
        <v>19</v>
      </c>
      <c r="B145" s="111" t="s">
        <v>168</v>
      </c>
      <c r="C145" s="66" t="s">
        <v>169</v>
      </c>
      <c r="D145" s="65" t="s">
        <v>234</v>
      </c>
      <c r="E145" s="65">
        <v>21</v>
      </c>
      <c r="F145" s="68"/>
      <c r="G145" s="83"/>
      <c r="H145" s="83"/>
      <c r="I145" s="83"/>
      <c r="J145" s="83"/>
      <c r="K145" s="83"/>
      <c r="L145" s="83"/>
      <c r="M145" s="215">
        <f>SUM(M146:M152)</f>
        <v>0</v>
      </c>
    </row>
    <row r="146" spans="1:13" ht="15.75">
      <c r="A146" s="79"/>
      <c r="B146" s="37" t="s">
        <v>57</v>
      </c>
      <c r="C146" s="112" t="s">
        <v>170</v>
      </c>
      <c r="D146" s="79" t="s">
        <v>33</v>
      </c>
      <c r="E146" s="79">
        <f>1.24*1.15</f>
        <v>1.4259999999999999</v>
      </c>
      <c r="F146" s="113">
        <f>E145*E146</f>
        <v>29.945999999999998</v>
      </c>
      <c r="G146" s="113">
        <v>8.5</v>
      </c>
      <c r="H146" s="113"/>
      <c r="I146" s="113"/>
      <c r="J146" s="113"/>
      <c r="K146" s="113"/>
      <c r="L146" s="113"/>
      <c r="M146" s="216">
        <f>J146+H146+L146</f>
        <v>0</v>
      </c>
    </row>
    <row r="147" spans="1:13" ht="15.75">
      <c r="A147" s="79"/>
      <c r="B147" s="37" t="s">
        <v>63</v>
      </c>
      <c r="C147" s="112" t="s">
        <v>171</v>
      </c>
      <c r="D147" s="79" t="s">
        <v>35</v>
      </c>
      <c r="E147" s="114">
        <f>0.0447*1.25</f>
        <v>5.5874999999999994E-2</v>
      </c>
      <c r="F147" s="113">
        <f>E145*E147</f>
        <v>1.1733749999999998</v>
      </c>
      <c r="G147" s="113"/>
      <c r="H147" s="113"/>
      <c r="I147" s="113"/>
      <c r="J147" s="113"/>
      <c r="K147" s="113">
        <v>4</v>
      </c>
      <c r="L147" s="113"/>
      <c r="M147" s="216">
        <f>J147+H147+L147</f>
        <v>0</v>
      </c>
    </row>
    <row r="148" spans="1:13" ht="15.75">
      <c r="A148" s="115"/>
      <c r="B148" s="115" t="s">
        <v>172</v>
      </c>
      <c r="C148" s="116" t="s">
        <v>237</v>
      </c>
      <c r="D148" s="115" t="s">
        <v>173</v>
      </c>
      <c r="E148" s="115">
        <v>3.2</v>
      </c>
      <c r="F148" s="55">
        <f>E148*E145</f>
        <v>67.2</v>
      </c>
      <c r="G148" s="55"/>
      <c r="H148" s="55"/>
      <c r="I148" s="55">
        <v>2.4</v>
      </c>
      <c r="J148" s="55"/>
      <c r="K148" s="55"/>
      <c r="L148" s="55"/>
      <c r="M148" s="206">
        <f>J148</f>
        <v>0</v>
      </c>
    </row>
    <row r="149" spans="1:13" ht="15.75">
      <c r="A149" s="115"/>
      <c r="B149" s="115" t="s">
        <v>174</v>
      </c>
      <c r="C149" s="116" t="s">
        <v>238</v>
      </c>
      <c r="D149" s="115" t="s">
        <v>175</v>
      </c>
      <c r="E149" s="115">
        <f>0.6+2.3+1.3</f>
        <v>4.2</v>
      </c>
      <c r="F149" s="55">
        <f>E149*E145</f>
        <v>88.2</v>
      </c>
      <c r="G149" s="55"/>
      <c r="H149" s="55"/>
      <c r="I149" s="55">
        <v>0.57999999999999996</v>
      </c>
      <c r="J149" s="55"/>
      <c r="K149" s="55"/>
      <c r="L149" s="55"/>
      <c r="M149" s="206">
        <f>J149</f>
        <v>0</v>
      </c>
    </row>
    <row r="150" spans="1:13" ht="18">
      <c r="A150" s="115"/>
      <c r="B150" s="115" t="s">
        <v>176</v>
      </c>
      <c r="C150" s="117" t="s">
        <v>177</v>
      </c>
      <c r="D150" s="115" t="s">
        <v>229</v>
      </c>
      <c r="E150" s="115">
        <v>1.03</v>
      </c>
      <c r="F150" s="55">
        <f>E150*E145</f>
        <v>21.63</v>
      </c>
      <c r="G150" s="55"/>
      <c r="H150" s="55"/>
      <c r="I150" s="55">
        <v>4.8</v>
      </c>
      <c r="J150" s="55"/>
      <c r="K150" s="55"/>
      <c r="L150" s="55"/>
      <c r="M150" s="206">
        <f>J150</f>
        <v>0</v>
      </c>
    </row>
    <row r="151" spans="1:13" ht="15.75">
      <c r="A151" s="115"/>
      <c r="B151" s="115" t="s">
        <v>178</v>
      </c>
      <c r="C151" s="117" t="s">
        <v>179</v>
      </c>
      <c r="D151" s="115" t="s">
        <v>180</v>
      </c>
      <c r="E151" s="115">
        <v>19.600000000000001</v>
      </c>
      <c r="F151" s="55">
        <f>E151*E145</f>
        <v>411.6</v>
      </c>
      <c r="G151" s="55"/>
      <c r="H151" s="55"/>
      <c r="I151" s="55">
        <v>7.0000000000000007E-2</v>
      </c>
      <c r="J151" s="55"/>
      <c r="K151" s="55"/>
      <c r="L151" s="55"/>
      <c r="M151" s="206">
        <f>J151</f>
        <v>0</v>
      </c>
    </row>
    <row r="152" spans="1:13" ht="15.75">
      <c r="A152" s="79"/>
      <c r="B152" s="111"/>
      <c r="C152" s="118" t="s">
        <v>74</v>
      </c>
      <c r="D152" s="79" t="s">
        <v>35</v>
      </c>
      <c r="E152" s="79">
        <v>0.17</v>
      </c>
      <c r="F152" s="113">
        <f>E145*E152</f>
        <v>3.5700000000000003</v>
      </c>
      <c r="G152" s="113"/>
      <c r="H152" s="113"/>
      <c r="I152" s="113">
        <v>4</v>
      </c>
      <c r="J152" s="113"/>
      <c r="K152" s="113"/>
      <c r="L152" s="113"/>
      <c r="M152" s="216">
        <f>J152+H152+L152</f>
        <v>0</v>
      </c>
    </row>
    <row r="153" spans="1:13" ht="16.5">
      <c r="A153" s="119">
        <v>20</v>
      </c>
      <c r="B153" s="120" t="s">
        <v>181</v>
      </c>
      <c r="C153" s="121" t="s">
        <v>182</v>
      </c>
      <c r="D153" s="120" t="s">
        <v>86</v>
      </c>
      <c r="E153" s="122">
        <f>E145</f>
        <v>21</v>
      </c>
      <c r="F153" s="68"/>
      <c r="G153" s="123"/>
      <c r="H153" s="123"/>
      <c r="I153" s="123"/>
      <c r="J153" s="123"/>
      <c r="K153" s="123"/>
      <c r="L153" s="123"/>
      <c r="M153" s="217">
        <f>SUM(M154:M158)</f>
        <v>0</v>
      </c>
    </row>
    <row r="154" spans="1:13" ht="15.75">
      <c r="A154" s="119"/>
      <c r="B154" s="37" t="s">
        <v>57</v>
      </c>
      <c r="C154" s="124" t="s">
        <v>183</v>
      </c>
      <c r="D154" s="125" t="s">
        <v>33</v>
      </c>
      <c r="E154" s="126">
        <f>0.856*1.15</f>
        <v>0.98439999999999994</v>
      </c>
      <c r="F154" s="127">
        <f>E153*E154</f>
        <v>20.6724</v>
      </c>
      <c r="G154" s="128">
        <v>8.5</v>
      </c>
      <c r="H154" s="129"/>
      <c r="I154" s="130"/>
      <c r="J154" s="130"/>
      <c r="K154" s="130"/>
      <c r="L154" s="130"/>
      <c r="M154" s="218">
        <f>H154</f>
        <v>0</v>
      </c>
    </row>
    <row r="155" spans="1:13" ht="15.75">
      <c r="A155" s="119"/>
      <c r="B155" s="37" t="s">
        <v>63</v>
      </c>
      <c r="C155" s="124" t="s">
        <v>64</v>
      </c>
      <c r="D155" s="119" t="s">
        <v>35</v>
      </c>
      <c r="E155" s="131">
        <f>0.012*1.25</f>
        <v>1.4999999999999999E-2</v>
      </c>
      <c r="F155" s="131">
        <f>E153*E155</f>
        <v>0.315</v>
      </c>
      <c r="G155" s="132"/>
      <c r="H155" s="130"/>
      <c r="I155" s="130"/>
      <c r="J155" s="130"/>
      <c r="K155" s="129">
        <v>4</v>
      </c>
      <c r="L155" s="129"/>
      <c r="M155" s="218">
        <f>L155</f>
        <v>0</v>
      </c>
    </row>
    <row r="156" spans="1:13" ht="15.75">
      <c r="A156" s="119"/>
      <c r="B156" s="133" t="s">
        <v>184</v>
      </c>
      <c r="C156" s="134" t="s">
        <v>185</v>
      </c>
      <c r="D156" s="119" t="s">
        <v>79</v>
      </c>
      <c r="E156" s="129">
        <v>0.63</v>
      </c>
      <c r="F156" s="131">
        <f>E153*E156</f>
        <v>13.23</v>
      </c>
      <c r="G156" s="132"/>
      <c r="H156" s="130"/>
      <c r="I156" s="128">
        <v>9.4</v>
      </c>
      <c r="J156" s="129"/>
      <c r="K156" s="130"/>
      <c r="L156" s="130"/>
      <c r="M156" s="218">
        <f>J156</f>
        <v>0</v>
      </c>
    </row>
    <row r="157" spans="1:13" ht="15.75">
      <c r="A157" s="119"/>
      <c r="B157" s="133" t="s">
        <v>186</v>
      </c>
      <c r="C157" s="124" t="s">
        <v>187</v>
      </c>
      <c r="D157" s="119" t="s">
        <v>79</v>
      </c>
      <c r="E157" s="129">
        <v>0.92</v>
      </c>
      <c r="F157" s="129">
        <f>E153*E157</f>
        <v>19.32</v>
      </c>
      <c r="G157" s="132"/>
      <c r="H157" s="130"/>
      <c r="I157" s="128">
        <v>0.65</v>
      </c>
      <c r="J157" s="129"/>
      <c r="K157" s="130"/>
      <c r="L157" s="130"/>
      <c r="M157" s="218">
        <f>J157</f>
        <v>0</v>
      </c>
    </row>
    <row r="158" spans="1:13" ht="15.75">
      <c r="A158" s="119"/>
      <c r="B158" s="119"/>
      <c r="C158" s="124" t="s">
        <v>74</v>
      </c>
      <c r="D158" s="119" t="s">
        <v>35</v>
      </c>
      <c r="E158" s="131">
        <v>1.7999999999999999E-2</v>
      </c>
      <c r="F158" s="131">
        <f>E153*E158</f>
        <v>0.37799999999999995</v>
      </c>
      <c r="G158" s="132"/>
      <c r="H158" s="130"/>
      <c r="I158" s="129">
        <v>4</v>
      </c>
      <c r="J158" s="129"/>
      <c r="K158" s="130"/>
      <c r="L158" s="130"/>
      <c r="M158" s="218">
        <f>J158</f>
        <v>0</v>
      </c>
    </row>
    <row r="159" spans="1:13" ht="18.75">
      <c r="A159" s="135">
        <v>21</v>
      </c>
      <c r="B159" s="136" t="s">
        <v>188</v>
      </c>
      <c r="C159" s="137" t="s">
        <v>189</v>
      </c>
      <c r="D159" s="16" t="s">
        <v>234</v>
      </c>
      <c r="E159" s="138">
        <v>21</v>
      </c>
      <c r="F159" s="68"/>
      <c r="G159" s="123"/>
      <c r="H159" s="123"/>
      <c r="I159" s="138"/>
      <c r="J159" s="136"/>
      <c r="K159" s="123"/>
      <c r="L159" s="123"/>
      <c r="M159" s="219">
        <f>SUM(M160:M163)</f>
        <v>0</v>
      </c>
    </row>
    <row r="160" spans="1:13" ht="15.75">
      <c r="A160" s="139"/>
      <c r="B160" s="140" t="s">
        <v>190</v>
      </c>
      <c r="C160" s="141" t="s">
        <v>183</v>
      </c>
      <c r="D160" s="139" t="s">
        <v>86</v>
      </c>
      <c r="E160" s="142">
        <v>1</v>
      </c>
      <c r="F160" s="142">
        <f>E159*E160</f>
        <v>21</v>
      </c>
      <c r="G160" s="142">
        <v>12.5</v>
      </c>
      <c r="H160" s="142"/>
      <c r="I160" s="130"/>
      <c r="J160" s="130"/>
      <c r="K160" s="130"/>
      <c r="L160" s="130"/>
      <c r="M160" s="220">
        <f>H160</f>
        <v>0</v>
      </c>
    </row>
    <row r="161" spans="1:13" ht="15.75">
      <c r="A161" s="139"/>
      <c r="B161" s="139"/>
      <c r="C161" s="141" t="s">
        <v>191</v>
      </c>
      <c r="D161" s="139" t="s">
        <v>35</v>
      </c>
      <c r="E161" s="143">
        <f>(0.95+0.23*4)/100</f>
        <v>1.8700000000000001E-2</v>
      </c>
      <c r="F161" s="143">
        <f>E159*E161</f>
        <v>0.39270000000000005</v>
      </c>
      <c r="G161" s="132"/>
      <c r="H161" s="130"/>
      <c r="I161" s="130"/>
      <c r="J161" s="130"/>
      <c r="K161" s="142">
        <v>4</v>
      </c>
      <c r="L161" s="142"/>
      <c r="M161" s="220">
        <f>L161</f>
        <v>0</v>
      </c>
    </row>
    <row r="162" spans="1:13" ht="15.75">
      <c r="A162" s="139"/>
      <c r="B162" s="119" t="s">
        <v>192</v>
      </c>
      <c r="C162" s="144" t="s">
        <v>193</v>
      </c>
      <c r="D162" s="139" t="s">
        <v>83</v>
      </c>
      <c r="E162" s="143">
        <f>(2.04+0.51*4)/100</f>
        <v>4.0800000000000003E-2</v>
      </c>
      <c r="F162" s="143">
        <f>E159*E162</f>
        <v>0.85680000000000001</v>
      </c>
      <c r="G162" s="132"/>
      <c r="H162" s="130"/>
      <c r="I162" s="101">
        <v>99</v>
      </c>
      <c r="J162" s="142"/>
      <c r="K162" s="130"/>
      <c r="L162" s="130"/>
      <c r="M162" s="220">
        <f>J162</f>
        <v>0</v>
      </c>
    </row>
    <row r="163" spans="1:13" ht="15.75">
      <c r="A163" s="139"/>
      <c r="B163" s="139"/>
      <c r="C163" s="141" t="s">
        <v>74</v>
      </c>
      <c r="D163" s="139" t="s">
        <v>35</v>
      </c>
      <c r="E163" s="145">
        <f>6.36/100</f>
        <v>6.3600000000000004E-2</v>
      </c>
      <c r="F163" s="143">
        <f>E159*E163</f>
        <v>1.3356000000000001</v>
      </c>
      <c r="G163" s="132"/>
      <c r="H163" s="130"/>
      <c r="I163" s="142">
        <v>4</v>
      </c>
      <c r="J163" s="142"/>
      <c r="K163" s="130"/>
      <c r="L163" s="130"/>
      <c r="M163" s="220">
        <f>J163</f>
        <v>0</v>
      </c>
    </row>
    <row r="164" spans="1:13" ht="33">
      <c r="A164" s="61">
        <v>22</v>
      </c>
      <c r="B164" s="146" t="s">
        <v>194</v>
      </c>
      <c r="C164" s="95" t="s">
        <v>195</v>
      </c>
      <c r="D164" s="96" t="s">
        <v>234</v>
      </c>
      <c r="E164" s="97">
        <f>E159</f>
        <v>21</v>
      </c>
      <c r="F164" s="68"/>
      <c r="G164" s="147"/>
      <c r="H164" s="148"/>
      <c r="I164" s="147"/>
      <c r="J164" s="147"/>
      <c r="K164" s="147"/>
      <c r="L164" s="149"/>
      <c r="M164" s="221">
        <f>SUM(M165:M169)</f>
        <v>0</v>
      </c>
    </row>
    <row r="165" spans="1:13" ht="15.75">
      <c r="A165" s="98"/>
      <c r="B165" s="37" t="s">
        <v>57</v>
      </c>
      <c r="C165" s="99" t="s">
        <v>58</v>
      </c>
      <c r="D165" s="21" t="s">
        <v>33</v>
      </c>
      <c r="E165" s="37">
        <f>3.86*1.15</f>
        <v>4.4389999999999992</v>
      </c>
      <c r="F165" s="37">
        <f>E164*E165</f>
        <v>93.21899999999998</v>
      </c>
      <c r="G165" s="148">
        <v>8.5</v>
      </c>
      <c r="H165" s="148"/>
      <c r="I165" s="148"/>
      <c r="J165" s="148"/>
      <c r="K165" s="148"/>
      <c r="L165" s="149"/>
      <c r="M165" s="222">
        <f>H165</f>
        <v>0</v>
      </c>
    </row>
    <row r="166" spans="1:13" ht="15.75">
      <c r="A166" s="98"/>
      <c r="B166" s="37" t="s">
        <v>63</v>
      </c>
      <c r="C166" s="99" t="s">
        <v>64</v>
      </c>
      <c r="D166" s="98" t="s">
        <v>35</v>
      </c>
      <c r="E166" s="98">
        <f>0.036*1.25</f>
        <v>4.4999999999999998E-2</v>
      </c>
      <c r="F166" s="98">
        <f>E166*E164</f>
        <v>0.94499999999999995</v>
      </c>
      <c r="G166" s="148"/>
      <c r="H166" s="148"/>
      <c r="I166" s="148"/>
      <c r="J166" s="148"/>
      <c r="K166" s="148">
        <v>4</v>
      </c>
      <c r="L166" s="149"/>
      <c r="M166" s="222">
        <f>L166</f>
        <v>0</v>
      </c>
    </row>
    <row r="167" spans="1:13" ht="18">
      <c r="A167" s="98"/>
      <c r="B167" s="98" t="s">
        <v>196</v>
      </c>
      <c r="C167" s="99" t="s">
        <v>197</v>
      </c>
      <c r="D167" s="98" t="s">
        <v>229</v>
      </c>
      <c r="E167" s="98">
        <v>1.02</v>
      </c>
      <c r="F167" s="98">
        <f>E167*E164</f>
        <v>21.42</v>
      </c>
      <c r="G167" s="148"/>
      <c r="H167" s="148"/>
      <c r="I167" s="148">
        <v>24</v>
      </c>
      <c r="J167" s="148"/>
      <c r="K167" s="148"/>
      <c r="L167" s="149"/>
      <c r="M167" s="222">
        <f>J167</f>
        <v>0</v>
      </c>
    </row>
    <row r="168" spans="1:13" ht="15.75">
      <c r="A168" s="98"/>
      <c r="B168" s="98" t="s">
        <v>198</v>
      </c>
      <c r="C168" s="99" t="s">
        <v>199</v>
      </c>
      <c r="D168" s="98" t="s">
        <v>79</v>
      </c>
      <c r="E168" s="98">
        <v>6</v>
      </c>
      <c r="F168" s="98">
        <f>E168*E164</f>
        <v>126</v>
      </c>
      <c r="G168" s="148"/>
      <c r="H168" s="148"/>
      <c r="I168" s="148">
        <v>0.64</v>
      </c>
      <c r="J168" s="148"/>
      <c r="K168" s="148"/>
      <c r="L168" s="149"/>
      <c r="M168" s="222">
        <f>J168</f>
        <v>0</v>
      </c>
    </row>
    <row r="169" spans="1:13" ht="15.75">
      <c r="A169" s="98"/>
      <c r="B169" s="98"/>
      <c r="C169" s="99" t="s">
        <v>74</v>
      </c>
      <c r="D169" s="98" t="s">
        <v>35</v>
      </c>
      <c r="E169" s="98">
        <v>4.2999999999999997E-2</v>
      </c>
      <c r="F169" s="98">
        <f>E164*E169</f>
        <v>0.90299999999999991</v>
      </c>
      <c r="G169" s="148"/>
      <c r="H169" s="148"/>
      <c r="I169" s="148">
        <v>4</v>
      </c>
      <c r="J169" s="148"/>
      <c r="K169" s="148"/>
      <c r="L169" s="149"/>
      <c r="M169" s="222">
        <f>J169</f>
        <v>0</v>
      </c>
    </row>
    <row r="170" spans="1:13" ht="16.5">
      <c r="A170" s="150">
        <v>23</v>
      </c>
      <c r="B170" s="150" t="s">
        <v>200</v>
      </c>
      <c r="C170" s="151" t="s">
        <v>201</v>
      </c>
      <c r="D170" s="150" t="s">
        <v>86</v>
      </c>
      <c r="E170" s="152">
        <v>34</v>
      </c>
      <c r="F170" s="68"/>
      <c r="G170" s="153"/>
      <c r="H170" s="153"/>
      <c r="I170" s="153"/>
      <c r="J170" s="153"/>
      <c r="K170" s="153"/>
      <c r="L170" s="153"/>
      <c r="M170" s="223">
        <f>SUM(M171:M175)</f>
        <v>0</v>
      </c>
    </row>
    <row r="171" spans="1:13" ht="15.75">
      <c r="A171" s="154"/>
      <c r="B171" s="37" t="s">
        <v>57</v>
      </c>
      <c r="C171" s="155" t="s">
        <v>183</v>
      </c>
      <c r="D171" s="154" t="s">
        <v>33</v>
      </c>
      <c r="E171" s="156">
        <f>1.16*1.15</f>
        <v>1.3339999999999999</v>
      </c>
      <c r="F171" s="156">
        <f>E170*E171</f>
        <v>45.355999999999995</v>
      </c>
      <c r="G171" s="156">
        <v>8.5</v>
      </c>
      <c r="H171" s="156"/>
      <c r="I171" s="157"/>
      <c r="J171" s="157"/>
      <c r="K171" s="157"/>
      <c r="L171" s="157"/>
      <c r="M171" s="224">
        <f>H171</f>
        <v>0</v>
      </c>
    </row>
    <row r="172" spans="1:13" ht="15.75">
      <c r="A172" s="154"/>
      <c r="B172" s="37" t="s">
        <v>63</v>
      </c>
      <c r="C172" s="155" t="s">
        <v>64</v>
      </c>
      <c r="D172" s="154" t="s">
        <v>35</v>
      </c>
      <c r="E172" s="158">
        <f>4.26/100*1.25</f>
        <v>5.3249999999999999E-2</v>
      </c>
      <c r="F172" s="158">
        <f>E170*E172</f>
        <v>1.8105</v>
      </c>
      <c r="G172" s="53"/>
      <c r="H172" s="157"/>
      <c r="I172" s="157"/>
      <c r="J172" s="157"/>
      <c r="K172" s="156">
        <v>4</v>
      </c>
      <c r="L172" s="156"/>
      <c r="M172" s="224">
        <f>L172</f>
        <v>0</v>
      </c>
    </row>
    <row r="173" spans="1:13" ht="15.75">
      <c r="A173" s="154"/>
      <c r="B173" s="154" t="s">
        <v>202</v>
      </c>
      <c r="C173" s="155" t="s">
        <v>203</v>
      </c>
      <c r="D173" s="154" t="s">
        <v>71</v>
      </c>
      <c r="E173" s="154">
        <f>3.7/100</f>
        <v>3.7000000000000005E-2</v>
      </c>
      <c r="F173" s="158">
        <f>E170*E173</f>
        <v>1.2580000000000002</v>
      </c>
      <c r="G173" s="53"/>
      <c r="H173" s="157"/>
      <c r="I173" s="156">
        <v>84.7</v>
      </c>
      <c r="J173" s="156"/>
      <c r="K173" s="157"/>
      <c r="L173" s="157"/>
      <c r="M173" s="224">
        <f>J173</f>
        <v>0</v>
      </c>
    </row>
    <row r="174" spans="1:13" ht="15.75">
      <c r="A174" s="154"/>
      <c r="B174" s="154" t="s">
        <v>204</v>
      </c>
      <c r="C174" s="155" t="s">
        <v>205</v>
      </c>
      <c r="D174" s="154" t="s">
        <v>83</v>
      </c>
      <c r="E174" s="158">
        <f>0.6/100</f>
        <v>6.0000000000000001E-3</v>
      </c>
      <c r="F174" s="156">
        <f>E170*E174</f>
        <v>0.20400000000000001</v>
      </c>
      <c r="G174" s="53"/>
      <c r="H174" s="157"/>
      <c r="I174" s="156">
        <v>4.3099999999999996</v>
      </c>
      <c r="J174" s="156"/>
      <c r="K174" s="157"/>
      <c r="L174" s="157"/>
      <c r="M174" s="224">
        <f>J174</f>
        <v>0</v>
      </c>
    </row>
    <row r="175" spans="1:13" ht="15.75">
      <c r="A175" s="154"/>
      <c r="B175" s="154"/>
      <c r="C175" s="155" t="s">
        <v>74</v>
      </c>
      <c r="D175" s="154" t="s">
        <v>35</v>
      </c>
      <c r="E175" s="158">
        <f>0.3/100</f>
        <v>3.0000000000000001E-3</v>
      </c>
      <c r="F175" s="158">
        <f>E170*E175</f>
        <v>0.10200000000000001</v>
      </c>
      <c r="G175" s="53"/>
      <c r="H175" s="157"/>
      <c r="I175" s="156">
        <v>4</v>
      </c>
      <c r="J175" s="156"/>
      <c r="K175" s="157"/>
      <c r="L175" s="157"/>
      <c r="M175" s="224">
        <f>J175</f>
        <v>0</v>
      </c>
    </row>
    <row r="176" spans="1:13" ht="16.5">
      <c r="A176" s="133">
        <v>24</v>
      </c>
      <c r="B176" s="159" t="s">
        <v>206</v>
      </c>
      <c r="C176" s="160" t="s">
        <v>207</v>
      </c>
      <c r="D176" s="159" t="s">
        <v>86</v>
      </c>
      <c r="E176" s="161">
        <f>E170</f>
        <v>34</v>
      </c>
      <c r="F176" s="68"/>
      <c r="G176" s="162"/>
      <c r="H176" s="162"/>
      <c r="I176" s="162"/>
      <c r="J176" s="162"/>
      <c r="K176" s="162"/>
      <c r="L176" s="162"/>
      <c r="M176" s="225">
        <f>SUM(M177:M181)</f>
        <v>0</v>
      </c>
    </row>
    <row r="177" spans="1:13" ht="15.75">
      <c r="A177" s="133"/>
      <c r="B177" s="37" t="s">
        <v>57</v>
      </c>
      <c r="C177" s="163" t="s">
        <v>183</v>
      </c>
      <c r="D177" s="154" t="s">
        <v>33</v>
      </c>
      <c r="E177" s="164">
        <f>0.701*1.15</f>
        <v>0.80614999999999992</v>
      </c>
      <c r="F177" s="128">
        <f>E176*E177</f>
        <v>27.409099999999999</v>
      </c>
      <c r="G177" s="128">
        <v>8.5</v>
      </c>
      <c r="H177" s="128"/>
      <c r="I177" s="162"/>
      <c r="J177" s="162"/>
      <c r="K177" s="162"/>
      <c r="L177" s="162"/>
      <c r="M177" s="226">
        <f>H177</f>
        <v>0</v>
      </c>
    </row>
    <row r="178" spans="1:13" ht="15.75">
      <c r="A178" s="133"/>
      <c r="B178" s="37" t="s">
        <v>63</v>
      </c>
      <c r="C178" s="163" t="s">
        <v>64</v>
      </c>
      <c r="D178" s="133" t="s">
        <v>35</v>
      </c>
      <c r="E178" s="128">
        <f>0.01*1.25</f>
        <v>1.2500000000000001E-2</v>
      </c>
      <c r="F178" s="128">
        <f>E176*E178</f>
        <v>0.42500000000000004</v>
      </c>
      <c r="G178" s="162"/>
      <c r="H178" s="162"/>
      <c r="I178" s="162"/>
      <c r="J178" s="162"/>
      <c r="K178" s="128">
        <v>4</v>
      </c>
      <c r="L178" s="128"/>
      <c r="M178" s="226">
        <f>L178</f>
        <v>0</v>
      </c>
    </row>
    <row r="179" spans="1:13" ht="15.75">
      <c r="A179" s="133"/>
      <c r="B179" s="133" t="s">
        <v>184</v>
      </c>
      <c r="C179" s="165" t="s">
        <v>208</v>
      </c>
      <c r="D179" s="133" t="s">
        <v>79</v>
      </c>
      <c r="E179" s="128">
        <v>0.63</v>
      </c>
      <c r="F179" s="128">
        <f>E176*E179</f>
        <v>21.42</v>
      </c>
      <c r="G179" s="162"/>
      <c r="H179" s="162"/>
      <c r="I179" s="128">
        <v>9.4</v>
      </c>
      <c r="J179" s="128"/>
      <c r="K179" s="162"/>
      <c r="L179" s="162"/>
      <c r="M179" s="226">
        <f>J179</f>
        <v>0</v>
      </c>
    </row>
    <row r="180" spans="1:13" ht="15.75">
      <c r="A180" s="133"/>
      <c r="B180" s="133" t="s">
        <v>209</v>
      </c>
      <c r="C180" s="163" t="s">
        <v>210</v>
      </c>
      <c r="D180" s="133" t="s">
        <v>79</v>
      </c>
      <c r="E180" s="128">
        <v>0.79</v>
      </c>
      <c r="F180" s="128">
        <f>E176*E180</f>
        <v>26.86</v>
      </c>
      <c r="G180" s="162"/>
      <c r="H180" s="162"/>
      <c r="I180" s="128">
        <v>0.65</v>
      </c>
      <c r="J180" s="128"/>
      <c r="K180" s="162"/>
      <c r="L180" s="162"/>
      <c r="M180" s="226">
        <f>J180</f>
        <v>0</v>
      </c>
    </row>
    <row r="181" spans="1:13" ht="15.75">
      <c r="A181" s="133"/>
      <c r="B181" s="133"/>
      <c r="C181" s="163" t="s">
        <v>74</v>
      </c>
      <c r="D181" s="133" t="s">
        <v>35</v>
      </c>
      <c r="E181" s="164">
        <v>1.6E-2</v>
      </c>
      <c r="F181" s="128">
        <f>E176*E181</f>
        <v>0.54400000000000004</v>
      </c>
      <c r="G181" s="162"/>
      <c r="H181" s="162"/>
      <c r="I181" s="128">
        <v>4</v>
      </c>
      <c r="J181" s="128"/>
      <c r="K181" s="162"/>
      <c r="L181" s="162"/>
      <c r="M181" s="226">
        <f>J181</f>
        <v>0</v>
      </c>
    </row>
    <row r="182" spans="1:13" ht="16.5">
      <c r="A182" s="166">
        <v>25</v>
      </c>
      <c r="B182" s="167" t="s">
        <v>211</v>
      </c>
      <c r="C182" s="121" t="s">
        <v>212</v>
      </c>
      <c r="D182" s="167" t="s">
        <v>86</v>
      </c>
      <c r="E182" s="168">
        <f>40</f>
        <v>40</v>
      </c>
      <c r="F182" s="68"/>
      <c r="G182" s="169"/>
      <c r="H182" s="167"/>
      <c r="I182" s="170"/>
      <c r="J182" s="171"/>
      <c r="K182" s="171"/>
      <c r="L182" s="171"/>
      <c r="M182" s="227">
        <f>SUM(M183:M186)</f>
        <v>0</v>
      </c>
    </row>
    <row r="183" spans="1:13" ht="15.75">
      <c r="A183" s="37"/>
      <c r="B183" s="37" t="s">
        <v>57</v>
      </c>
      <c r="C183" s="44" t="s">
        <v>84</v>
      </c>
      <c r="D183" s="37" t="s">
        <v>33</v>
      </c>
      <c r="E183" s="45">
        <f>0.93*1.15</f>
        <v>1.0694999999999999</v>
      </c>
      <c r="F183" s="45">
        <f>E182*E183</f>
        <v>42.779999999999994</v>
      </c>
      <c r="G183" s="45">
        <v>8.5</v>
      </c>
      <c r="H183" s="45"/>
      <c r="I183" s="172"/>
      <c r="J183" s="173"/>
      <c r="K183" s="173"/>
      <c r="L183" s="173"/>
      <c r="M183" s="205">
        <f>H183</f>
        <v>0</v>
      </c>
    </row>
    <row r="184" spans="1:13" ht="15.75">
      <c r="A184" s="119"/>
      <c r="B184" s="37" t="s">
        <v>63</v>
      </c>
      <c r="C184" s="124" t="s">
        <v>64</v>
      </c>
      <c r="D184" s="119" t="s">
        <v>35</v>
      </c>
      <c r="E184" s="174">
        <f>0.0268*1.25</f>
        <v>3.3500000000000002E-2</v>
      </c>
      <c r="F184" s="131">
        <f>E182*E184</f>
        <v>1.34</v>
      </c>
      <c r="G184" s="132"/>
      <c r="H184" s="130"/>
      <c r="I184" s="175"/>
      <c r="J184" s="130"/>
      <c r="K184" s="129">
        <v>4</v>
      </c>
      <c r="L184" s="129"/>
      <c r="M184" s="218">
        <f>L184</f>
        <v>0</v>
      </c>
    </row>
    <row r="185" spans="1:13" ht="15.75">
      <c r="A185" s="119"/>
      <c r="B185" s="176" t="s">
        <v>192</v>
      </c>
      <c r="C185" s="124" t="s">
        <v>213</v>
      </c>
      <c r="D185" s="119" t="s">
        <v>83</v>
      </c>
      <c r="E185" s="174">
        <v>2.5499999999999998E-2</v>
      </c>
      <c r="F185" s="131">
        <f>E182*E185</f>
        <v>1.02</v>
      </c>
      <c r="G185" s="132"/>
      <c r="H185" s="130"/>
      <c r="I185" s="156">
        <v>99</v>
      </c>
      <c r="J185" s="129"/>
      <c r="K185" s="130"/>
      <c r="L185" s="130"/>
      <c r="M185" s="218">
        <f>J185</f>
        <v>0</v>
      </c>
    </row>
    <row r="186" spans="1:13" ht="15.75">
      <c r="A186" s="37"/>
      <c r="B186" s="37" t="s">
        <v>214</v>
      </c>
      <c r="C186" s="44" t="s">
        <v>215</v>
      </c>
      <c r="D186" s="37" t="s">
        <v>216</v>
      </c>
      <c r="E186" s="47">
        <v>2.4E-2</v>
      </c>
      <c r="F186" s="47">
        <f>E182*E186</f>
        <v>0.96</v>
      </c>
      <c r="G186" s="177"/>
      <c r="H186" s="178"/>
      <c r="I186" s="55"/>
      <c r="J186" s="45"/>
      <c r="K186" s="55">
        <v>9.1999999999999993</v>
      </c>
      <c r="L186" s="45"/>
      <c r="M186" s="205">
        <f>L186</f>
        <v>0</v>
      </c>
    </row>
    <row r="187" spans="1:13" ht="16.5">
      <c r="A187" s="179">
        <v>25</v>
      </c>
      <c r="B187" s="179" t="s">
        <v>217</v>
      </c>
      <c r="C187" s="180" t="s">
        <v>218</v>
      </c>
      <c r="D187" s="181" t="s">
        <v>86</v>
      </c>
      <c r="E187" s="182">
        <v>2.4</v>
      </c>
      <c r="F187" s="68"/>
      <c r="G187" s="132"/>
      <c r="H187" s="132"/>
      <c r="I187" s="183"/>
      <c r="J187" s="179"/>
      <c r="K187" s="132"/>
      <c r="L187" s="132"/>
      <c r="M187" s="228">
        <f>SUM(M188:M192)</f>
        <v>0</v>
      </c>
    </row>
    <row r="188" spans="1:13" ht="15.75">
      <c r="A188" s="179"/>
      <c r="B188" s="37" t="s">
        <v>57</v>
      </c>
      <c r="C188" s="184" t="s">
        <v>84</v>
      </c>
      <c r="D188" s="119" t="s">
        <v>33</v>
      </c>
      <c r="E188" s="129">
        <f>5.75*1.15</f>
        <v>6.6124999999999998</v>
      </c>
      <c r="F188" s="183">
        <f>E187*E188</f>
        <v>15.87</v>
      </c>
      <c r="G188" s="185">
        <v>8.5</v>
      </c>
      <c r="H188" s="183"/>
      <c r="I188" s="132"/>
      <c r="J188" s="132"/>
      <c r="K188" s="132"/>
      <c r="L188" s="132"/>
      <c r="M188" s="229">
        <f>H188</f>
        <v>0</v>
      </c>
    </row>
    <row r="189" spans="1:13" ht="15.75">
      <c r="A189" s="179"/>
      <c r="B189" s="37" t="s">
        <v>63</v>
      </c>
      <c r="C189" s="184" t="s">
        <v>64</v>
      </c>
      <c r="D189" s="179" t="s">
        <v>35</v>
      </c>
      <c r="E189" s="186">
        <f>0.0034*1.25</f>
        <v>4.2499999999999994E-3</v>
      </c>
      <c r="F189" s="183">
        <f>E187*E189</f>
        <v>1.0199999999999999E-2</v>
      </c>
      <c r="G189" s="132"/>
      <c r="H189" s="132"/>
      <c r="I189" s="132"/>
      <c r="J189" s="132"/>
      <c r="K189" s="183">
        <v>4</v>
      </c>
      <c r="L189" s="183"/>
      <c r="M189" s="229">
        <f>L189</f>
        <v>0</v>
      </c>
    </row>
    <row r="190" spans="1:13" ht="18">
      <c r="A190" s="187"/>
      <c r="B190" s="98" t="s">
        <v>196</v>
      </c>
      <c r="C190" s="99" t="s">
        <v>197</v>
      </c>
      <c r="D190" s="98" t="s">
        <v>229</v>
      </c>
      <c r="E190" s="98">
        <v>1.02</v>
      </c>
      <c r="F190" s="98">
        <f>E190*E187</f>
        <v>2.448</v>
      </c>
      <c r="G190" s="148"/>
      <c r="H190" s="148"/>
      <c r="I190" s="148">
        <v>24</v>
      </c>
      <c r="J190" s="148"/>
      <c r="K190" s="148"/>
      <c r="L190" s="149"/>
      <c r="M190" s="222">
        <f>J190</f>
        <v>0</v>
      </c>
    </row>
    <row r="191" spans="1:13" ht="15.75">
      <c r="A191" s="187"/>
      <c r="B191" s="176" t="s">
        <v>219</v>
      </c>
      <c r="C191" s="188" t="s">
        <v>220</v>
      </c>
      <c r="D191" s="187" t="s">
        <v>79</v>
      </c>
      <c r="E191" s="189">
        <v>6</v>
      </c>
      <c r="F191" s="189">
        <f>E187*E191</f>
        <v>14.399999999999999</v>
      </c>
      <c r="G191" s="190"/>
      <c r="H191" s="173"/>
      <c r="I191" s="189">
        <v>1.1000000000000001</v>
      </c>
      <c r="J191" s="189"/>
      <c r="K191" s="173"/>
      <c r="L191" s="173"/>
      <c r="M191" s="230">
        <f>J191</f>
        <v>0</v>
      </c>
    </row>
    <row r="192" spans="1:13" ht="15.75">
      <c r="A192" s="187"/>
      <c r="B192" s="187"/>
      <c r="C192" s="188" t="s">
        <v>74</v>
      </c>
      <c r="D192" s="187" t="s">
        <v>35</v>
      </c>
      <c r="E192" s="191">
        <v>2.4E-2</v>
      </c>
      <c r="F192" s="189">
        <f>E187*E192</f>
        <v>5.7599999999999998E-2</v>
      </c>
      <c r="G192" s="190"/>
      <c r="H192" s="190"/>
      <c r="I192" s="189">
        <v>4</v>
      </c>
      <c r="J192" s="189"/>
      <c r="K192" s="190"/>
      <c r="L192" s="190"/>
      <c r="M192" s="230">
        <f>J192</f>
        <v>0</v>
      </c>
    </row>
    <row r="193" spans="1:13" ht="16.5">
      <c r="A193" s="9"/>
      <c r="B193" s="9"/>
      <c r="C193" s="9" t="s">
        <v>1</v>
      </c>
      <c r="D193" s="10"/>
      <c r="E193" s="10"/>
      <c r="F193" s="10"/>
      <c r="G193" s="10"/>
      <c r="H193" s="197">
        <f>SUM(H6:H192)</f>
        <v>0</v>
      </c>
      <c r="I193" s="197"/>
      <c r="J193" s="197">
        <f>SUM(J6:J192)</f>
        <v>0</v>
      </c>
      <c r="K193" s="197"/>
      <c r="L193" s="197">
        <f>SUM(L6:L192)</f>
        <v>0</v>
      </c>
      <c r="M193" s="197">
        <f>L193+J193+H193</f>
        <v>0</v>
      </c>
    </row>
    <row r="194" spans="1:13" ht="16.5">
      <c r="A194" s="9"/>
      <c r="B194" s="9"/>
      <c r="C194" s="9" t="s">
        <v>221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98">
        <f>J193*E194</f>
        <v>0</v>
      </c>
    </row>
    <row r="195" spans="1:13" ht="16.5">
      <c r="A195" s="9"/>
      <c r="B195" s="9"/>
      <c r="C195" s="9" t="s">
        <v>1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97">
        <f>M194+M193</f>
        <v>0</v>
      </c>
    </row>
    <row r="196" spans="1:13" ht="16.5">
      <c r="A196" s="9"/>
      <c r="B196" s="9"/>
      <c r="C196" s="9" t="s">
        <v>239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98">
        <f>M195*E196</f>
        <v>0</v>
      </c>
    </row>
    <row r="197" spans="1:13" ht="16.5">
      <c r="A197" s="9"/>
      <c r="B197" s="9"/>
      <c r="C197" s="9" t="s">
        <v>1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97">
        <f>M196+M195</f>
        <v>0</v>
      </c>
    </row>
    <row r="198" spans="1:13" ht="16.5">
      <c r="A198" s="9"/>
      <c r="B198" s="9"/>
      <c r="C198" s="9" t="s">
        <v>240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98">
        <f>M197*E198</f>
        <v>0</v>
      </c>
    </row>
    <row r="199" spans="1:13" ht="16.5">
      <c r="A199" s="9"/>
      <c r="B199" s="192"/>
      <c r="C199" s="193" t="s">
        <v>1</v>
      </c>
      <c r="D199" s="194"/>
      <c r="E199" s="194"/>
      <c r="F199" s="194"/>
      <c r="G199" s="194"/>
      <c r="H199" s="194"/>
      <c r="I199" s="194"/>
      <c r="J199" s="194"/>
      <c r="K199" s="194"/>
      <c r="L199" s="194"/>
      <c r="M199" s="197">
        <f>M198+M197</f>
        <v>0</v>
      </c>
    </row>
    <row r="200" spans="1:13" ht="16.5">
      <c r="A200" s="9"/>
      <c r="B200" s="9"/>
      <c r="C200" s="195" t="s">
        <v>241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98">
        <f>M199*E200</f>
        <v>0</v>
      </c>
    </row>
    <row r="201" spans="1:13" ht="16.5">
      <c r="A201" s="9"/>
      <c r="B201" s="192"/>
      <c r="C201" s="193" t="s">
        <v>222</v>
      </c>
      <c r="D201" s="194"/>
      <c r="E201" s="194"/>
      <c r="F201" s="194"/>
      <c r="G201" s="194"/>
      <c r="H201" s="194"/>
      <c r="I201" s="194"/>
      <c r="J201" s="194"/>
      <c r="K201" s="194"/>
      <c r="L201" s="194"/>
      <c r="M201" s="197">
        <f>M200+M199</f>
        <v>0</v>
      </c>
    </row>
    <row r="202" spans="1:13" ht="16.5">
      <c r="A202" s="9"/>
      <c r="B202" s="9"/>
      <c r="C202" s="195" t="s">
        <v>223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98">
        <f>M201*E202</f>
        <v>0</v>
      </c>
    </row>
    <row r="203" spans="1:13" ht="16.5">
      <c r="A203" s="9"/>
      <c r="B203" s="192"/>
      <c r="C203" s="196" t="s">
        <v>224</v>
      </c>
      <c r="D203" s="194"/>
      <c r="E203" s="194"/>
      <c r="F203" s="194"/>
      <c r="G203" s="194"/>
      <c r="H203" s="194"/>
      <c r="I203" s="194"/>
      <c r="J203" s="194"/>
      <c r="K203" s="194"/>
      <c r="L203" s="194"/>
      <c r="M203" s="197">
        <f>M201+M202</f>
        <v>0</v>
      </c>
    </row>
    <row r="208" spans="1:13" s="2" customFormat="1" ht="70.5" customHeight="1">
      <c r="B208" s="231" t="s">
        <v>17</v>
      </c>
      <c r="C208" s="231"/>
      <c r="D208" s="231"/>
      <c r="E208" s="231"/>
      <c r="F208" s="231"/>
      <c r="G208" s="231"/>
      <c r="H208" s="231"/>
      <c r="I208" s="231"/>
      <c r="J208" s="231"/>
    </row>
    <row r="209" spans="2:10" s="2" customFormat="1" ht="25.5" customHeight="1">
      <c r="B209" s="232" t="s">
        <v>18</v>
      </c>
      <c r="C209" s="232"/>
      <c r="D209" s="232"/>
      <c r="E209" s="232"/>
      <c r="F209" s="232"/>
      <c r="G209" s="232"/>
      <c r="H209" s="232"/>
      <c r="I209" s="232"/>
      <c r="J209" s="232"/>
    </row>
  </sheetData>
  <mergeCells count="12">
    <mergeCell ref="B208:J208"/>
    <mergeCell ref="B209:J209"/>
    <mergeCell ref="A1:M1"/>
    <mergeCell ref="A2:M2"/>
    <mergeCell ref="A3:A4"/>
    <mergeCell ref="B3:B4"/>
    <mergeCell ref="C3:C4"/>
    <mergeCell ref="D3:F3"/>
    <mergeCell ref="G3:H3"/>
    <mergeCell ref="I3:J3"/>
    <mergeCell ref="K3:L3"/>
    <mergeCell ref="M3:M4"/>
  </mergeCells>
  <pageMargins left="0.05" right="0.05" top="0.05" bottom="0.05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Tiniko</dc:creator>
  <cp:lastModifiedBy>Giorgi Bulashvili</cp:lastModifiedBy>
  <cp:lastPrinted>2022-07-06T11:22:18Z</cp:lastPrinted>
  <dcterms:created xsi:type="dcterms:W3CDTF">2019-03-22T11:13:00Z</dcterms:created>
  <dcterms:modified xsi:type="dcterms:W3CDTF">2023-04-10T13:27:16Z</dcterms:modified>
</cp:coreProperties>
</file>