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katerine.dzneladze\Desktop\APA\აპა\ტენდერები\2023\ბორჯომი\"/>
    </mc:Choice>
  </mc:AlternateContent>
  <bookViews>
    <workbookView xWindow="0" yWindow="0" windowWidth="24000" windowHeight="9600" activeTab="1"/>
  </bookViews>
  <sheets>
    <sheet name="კრებსითი" sheetId="1" r:id="rId1"/>
    <sheet name="ადმინ.შენობა" sheetId="2" r:id="rId2"/>
    <sheet name="ტერიტ. კეთილ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7" i="2" l="1"/>
  <c r="E566" i="2"/>
  <c r="F566" i="2" s="1"/>
  <c r="F564" i="2" l="1"/>
  <c r="F568" i="2" s="1"/>
  <c r="E563" i="2"/>
  <c r="F563" i="2" s="1"/>
  <c r="E562" i="2"/>
  <c r="F562" i="2" s="1"/>
  <c r="E561" i="2"/>
  <c r="F561" i="2" s="1"/>
  <c r="F559" i="2"/>
  <c r="F558" i="2"/>
  <c r="F46" i="3" l="1"/>
  <c r="F141" i="2"/>
  <c r="F792" i="2"/>
  <c r="F61" i="3" l="1"/>
  <c r="F60" i="3"/>
  <c r="E59" i="3"/>
  <c r="F59" i="3" s="1"/>
  <c r="E58" i="3"/>
  <c r="F58" i="3" s="1"/>
  <c r="E57" i="3"/>
  <c r="F57" i="3" s="1"/>
  <c r="E56" i="3"/>
  <c r="F56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F47" i="3"/>
  <c r="F45" i="3"/>
  <c r="E44" i="3"/>
  <c r="F44" i="3" s="1"/>
  <c r="E41" i="3"/>
  <c r="F41" i="3" s="1"/>
  <c r="E40" i="3"/>
  <c r="E39" i="3"/>
  <c r="F39" i="3" s="1"/>
  <c r="E38" i="3"/>
  <c r="F38" i="3" s="1"/>
  <c r="E37" i="3"/>
  <c r="F37" i="3" s="1"/>
  <c r="E36" i="3"/>
  <c r="F36" i="3" s="1"/>
  <c r="E33" i="3"/>
  <c r="F33" i="3" s="1"/>
  <c r="E32" i="3"/>
  <c r="E31" i="3"/>
  <c r="F31" i="3" s="1"/>
  <c r="E30" i="3"/>
  <c r="F30" i="3" s="1"/>
  <c r="E29" i="3"/>
  <c r="F29" i="3" s="1"/>
  <c r="F28" i="3"/>
  <c r="E28" i="3"/>
  <c r="F26" i="3"/>
  <c r="F25" i="3"/>
  <c r="F24" i="3"/>
  <c r="F23" i="3"/>
  <c r="E22" i="3"/>
  <c r="F22" i="3" s="1"/>
  <c r="E21" i="3"/>
  <c r="F21" i="3" s="1"/>
  <c r="F19" i="3"/>
  <c r="F16" i="3"/>
  <c r="F17" i="3" s="1"/>
  <c r="E15" i="3"/>
  <c r="F15" i="3" s="1"/>
  <c r="E13" i="3"/>
  <c r="F13" i="3" s="1"/>
  <c r="E12" i="3"/>
  <c r="F12" i="3" s="1"/>
  <c r="E11" i="3"/>
  <c r="F11" i="3" s="1"/>
  <c r="F832" i="2"/>
  <c r="E830" i="2"/>
  <c r="F830" i="2" s="1"/>
  <c r="F828" i="2"/>
  <c r="F827" i="2"/>
  <c r="F826" i="2"/>
  <c r="F825" i="2"/>
  <c r="F824" i="2"/>
  <c r="F822" i="2"/>
  <c r="F821" i="2"/>
  <c r="E820" i="2"/>
  <c r="F820" i="2" s="1"/>
  <c r="E819" i="2"/>
  <c r="F819" i="2" s="1"/>
  <c r="F817" i="2"/>
  <c r="F816" i="2"/>
  <c r="F814" i="2"/>
  <c r="F813" i="2"/>
  <c r="F811" i="2"/>
  <c r="F810" i="2"/>
  <c r="F809" i="2"/>
  <c r="E808" i="2"/>
  <c r="F808" i="2" s="1"/>
  <c r="E807" i="2"/>
  <c r="F807" i="2" s="1"/>
  <c r="F805" i="2"/>
  <c r="F804" i="2"/>
  <c r="F802" i="2"/>
  <c r="F801" i="2"/>
  <c r="F800" i="2"/>
  <c r="F799" i="2"/>
  <c r="F798" i="2"/>
  <c r="F796" i="2"/>
  <c r="F794" i="2"/>
  <c r="F793" i="2"/>
  <c r="E791" i="2"/>
  <c r="F791" i="2" s="1"/>
  <c r="E790" i="2"/>
  <c r="F790" i="2" s="1"/>
  <c r="F788" i="2"/>
  <c r="E787" i="2"/>
  <c r="F787" i="2" s="1"/>
  <c r="E786" i="2"/>
  <c r="F786" i="2" s="1"/>
  <c r="F785" i="2"/>
  <c r="F783" i="2"/>
  <c r="F782" i="2"/>
  <c r="F780" i="2"/>
  <c r="F779" i="2"/>
  <c r="F777" i="2"/>
  <c r="F776" i="2"/>
  <c r="F775" i="2"/>
  <c r="F774" i="2"/>
  <c r="F773" i="2"/>
  <c r="F771" i="2"/>
  <c r="E770" i="2"/>
  <c r="F770" i="2" s="1"/>
  <c r="E769" i="2"/>
  <c r="F769" i="2" s="1"/>
  <c r="F767" i="2"/>
  <c r="F766" i="2"/>
  <c r="F764" i="2"/>
  <c r="F761" i="2"/>
  <c r="F760" i="2"/>
  <c r="F759" i="2"/>
  <c r="E758" i="2"/>
  <c r="F758" i="2" s="1"/>
  <c r="E757" i="2"/>
  <c r="F757" i="2" s="1"/>
  <c r="F755" i="2"/>
  <c r="F754" i="2"/>
  <c r="F753" i="2"/>
  <c r="E752" i="2"/>
  <c r="F752" i="2" s="1"/>
  <c r="E751" i="2"/>
  <c r="F751" i="2" s="1"/>
  <c r="F748" i="2"/>
  <c r="F747" i="2"/>
  <c r="F746" i="2"/>
  <c r="E745" i="2"/>
  <c r="E744" i="2"/>
  <c r="F742" i="2"/>
  <c r="F741" i="2"/>
  <c r="F740" i="2"/>
  <c r="F739" i="2"/>
  <c r="E738" i="2"/>
  <c r="F738" i="2" s="1"/>
  <c r="E737" i="2"/>
  <c r="F737" i="2" s="1"/>
  <c r="F735" i="2"/>
  <c r="F734" i="2"/>
  <c r="E733" i="2"/>
  <c r="F733" i="2" s="1"/>
  <c r="E732" i="2"/>
  <c r="F732" i="2" s="1"/>
  <c r="E730" i="2"/>
  <c r="F730" i="2" s="1"/>
  <c r="F727" i="2"/>
  <c r="F726" i="2"/>
  <c r="E725" i="2"/>
  <c r="F725" i="2" s="1"/>
  <c r="E724" i="2"/>
  <c r="F724" i="2" s="1"/>
  <c r="F722" i="2"/>
  <c r="F721" i="2"/>
  <c r="F720" i="2"/>
  <c r="E719" i="2"/>
  <c r="F719" i="2" s="1"/>
  <c r="E718" i="2"/>
  <c r="F718" i="2" s="1"/>
  <c r="F716" i="2"/>
  <c r="F715" i="2"/>
  <c r="F712" i="2"/>
  <c r="F711" i="2"/>
  <c r="F710" i="2"/>
  <c r="E709" i="2"/>
  <c r="F709" i="2" s="1"/>
  <c r="E708" i="2"/>
  <c r="F708" i="2" s="1"/>
  <c r="F706" i="2"/>
  <c r="F705" i="2"/>
  <c r="F703" i="2"/>
  <c r="F702" i="2"/>
  <c r="F700" i="2"/>
  <c r="F699" i="2"/>
  <c r="E698" i="2"/>
  <c r="F698" i="2" s="1"/>
  <c r="E697" i="2"/>
  <c r="F697" i="2" s="1"/>
  <c r="F695" i="2"/>
  <c r="E694" i="2"/>
  <c r="F694" i="2" s="1"/>
  <c r="E693" i="2"/>
  <c r="F693" i="2" s="1"/>
  <c r="F689" i="2"/>
  <c r="F690" i="2" s="1"/>
  <c r="F688" i="2"/>
  <c r="F686" i="2"/>
  <c r="F685" i="2"/>
  <c r="E679" i="2"/>
  <c r="F679" i="2" s="1"/>
  <c r="E678" i="2"/>
  <c r="F678" i="2" s="1"/>
  <c r="E673" i="2"/>
  <c r="F673" i="2" s="1"/>
  <c r="E672" i="2"/>
  <c r="F672" i="2" s="1"/>
  <c r="F669" i="2"/>
  <c r="E668" i="2"/>
  <c r="F668" i="2" s="1"/>
  <c r="E667" i="2"/>
  <c r="F667" i="2" s="1"/>
  <c r="F664" i="2"/>
  <c r="E663" i="2"/>
  <c r="F663" i="2" s="1"/>
  <c r="E662" i="2"/>
  <c r="F662" i="2" s="1"/>
  <c r="F660" i="2"/>
  <c r="F659" i="2"/>
  <c r="E658" i="2"/>
  <c r="F658" i="2" s="1"/>
  <c r="E657" i="2"/>
  <c r="F657" i="2" s="1"/>
  <c r="F655" i="2"/>
  <c r="F654" i="2"/>
  <c r="E653" i="2"/>
  <c r="F653" i="2" s="1"/>
  <c r="E652" i="2"/>
  <c r="F652" i="2" s="1"/>
  <c r="F650" i="2"/>
  <c r="F649" i="2"/>
  <c r="E648" i="2"/>
  <c r="F648" i="2" s="1"/>
  <c r="E647" i="2"/>
  <c r="F647" i="2" s="1"/>
  <c r="F645" i="2"/>
  <c r="E640" i="2"/>
  <c r="F640" i="2" s="1"/>
  <c r="E639" i="2"/>
  <c r="F639" i="2" s="1"/>
  <c r="F637" i="2"/>
  <c r="F636" i="2"/>
  <c r="E635" i="2"/>
  <c r="F635" i="2" s="1"/>
  <c r="E634" i="2"/>
  <c r="F634" i="2" s="1"/>
  <c r="F632" i="2"/>
  <c r="F631" i="2"/>
  <c r="E630" i="2"/>
  <c r="F630" i="2" s="1"/>
  <c r="E629" i="2"/>
  <c r="F629" i="2" s="1"/>
  <c r="F627" i="2"/>
  <c r="F626" i="2"/>
  <c r="E625" i="2"/>
  <c r="F625" i="2" s="1"/>
  <c r="E624" i="2"/>
  <c r="F624" i="2" s="1"/>
  <c r="E615" i="2"/>
  <c r="E614" i="2"/>
  <c r="F613" i="2"/>
  <c r="F622" i="2" s="1"/>
  <c r="F612" i="2"/>
  <c r="F611" i="2"/>
  <c r="E610" i="2"/>
  <c r="F610" i="2" s="1"/>
  <c r="F609" i="2"/>
  <c r="F607" i="2"/>
  <c r="F606" i="2"/>
  <c r="E605" i="2"/>
  <c r="F605" i="2" s="1"/>
  <c r="E604" i="2"/>
  <c r="F604" i="2" s="1"/>
  <c r="E602" i="2"/>
  <c r="F602" i="2" s="1"/>
  <c r="F600" i="2"/>
  <c r="F599" i="2"/>
  <c r="E598" i="2"/>
  <c r="F598" i="2" s="1"/>
  <c r="E597" i="2"/>
  <c r="F597" i="2" s="1"/>
  <c r="E593" i="2"/>
  <c r="E592" i="2"/>
  <c r="F591" i="2"/>
  <c r="F595" i="2" s="1"/>
  <c r="E590" i="2"/>
  <c r="F590" i="2" s="1"/>
  <c r="E589" i="2"/>
  <c r="F589" i="2" s="1"/>
  <c r="F587" i="2"/>
  <c r="F586" i="2"/>
  <c r="F585" i="2"/>
  <c r="E584" i="2"/>
  <c r="F584" i="2" s="1"/>
  <c r="E583" i="2"/>
  <c r="F583" i="2" s="1"/>
  <c r="F581" i="2"/>
  <c r="F580" i="2"/>
  <c r="E578" i="2"/>
  <c r="F578" i="2" s="1"/>
  <c r="E577" i="2"/>
  <c r="F577" i="2" s="1"/>
  <c r="F574" i="2"/>
  <c r="F573" i="2"/>
  <c r="F572" i="2"/>
  <c r="E571" i="2"/>
  <c r="F571" i="2" s="1"/>
  <c r="F570" i="2"/>
  <c r="F556" i="2"/>
  <c r="F555" i="2"/>
  <c r="F554" i="2"/>
  <c r="E553" i="2"/>
  <c r="F553" i="2" s="1"/>
  <c r="E552" i="2"/>
  <c r="F552" i="2" s="1"/>
  <c r="F550" i="2"/>
  <c r="F549" i="2"/>
  <c r="E548" i="2"/>
  <c r="F548" i="2" s="1"/>
  <c r="E547" i="2"/>
  <c r="F547" i="2" s="1"/>
  <c r="F545" i="2"/>
  <c r="F544" i="2"/>
  <c r="F542" i="2"/>
  <c r="E541" i="2"/>
  <c r="F541" i="2" s="1"/>
  <c r="E540" i="2"/>
  <c r="F540" i="2" s="1"/>
  <c r="F538" i="2"/>
  <c r="F536" i="2"/>
  <c r="F535" i="2"/>
  <c r="F534" i="2"/>
  <c r="E533" i="2"/>
  <c r="F533" i="2" s="1"/>
  <c r="E532" i="2"/>
  <c r="F532" i="2" s="1"/>
  <c r="F530" i="2"/>
  <c r="F529" i="2"/>
  <c r="F527" i="2"/>
  <c r="E526" i="2"/>
  <c r="F526" i="2" s="1"/>
  <c r="E525" i="2"/>
  <c r="F525" i="2" s="1"/>
  <c r="F523" i="2"/>
  <c r="F522" i="2"/>
  <c r="F520" i="2"/>
  <c r="F519" i="2"/>
  <c r="E518" i="2"/>
  <c r="F518" i="2" s="1"/>
  <c r="E517" i="2"/>
  <c r="F517" i="2" s="1"/>
  <c r="F515" i="2"/>
  <c r="F514" i="2"/>
  <c r="F512" i="2"/>
  <c r="F511" i="2"/>
  <c r="E510" i="2"/>
  <c r="F510" i="2" s="1"/>
  <c r="F509" i="2"/>
  <c r="F507" i="2"/>
  <c r="F506" i="2"/>
  <c r="F505" i="2"/>
  <c r="F504" i="2"/>
  <c r="F503" i="2"/>
  <c r="F501" i="2"/>
  <c r="F500" i="2"/>
  <c r="F499" i="2"/>
  <c r="F497" i="2"/>
  <c r="F496" i="2"/>
  <c r="E493" i="2"/>
  <c r="F493" i="2" s="1"/>
  <c r="F492" i="2"/>
  <c r="E491" i="2"/>
  <c r="F491" i="2" s="1"/>
  <c r="F489" i="2"/>
  <c r="F487" i="2"/>
  <c r="F486" i="2"/>
  <c r="F485" i="2"/>
  <c r="F483" i="2"/>
  <c r="F482" i="2"/>
  <c r="F481" i="2"/>
  <c r="F479" i="2"/>
  <c r="E478" i="2"/>
  <c r="F478" i="2" s="1"/>
  <c r="F477" i="2"/>
  <c r="E476" i="2"/>
  <c r="F476" i="2" s="1"/>
  <c r="E475" i="2"/>
  <c r="F475" i="2" s="1"/>
  <c r="F473" i="2"/>
  <c r="F472" i="2"/>
  <c r="F470" i="2"/>
  <c r="E469" i="2"/>
  <c r="F469" i="2" s="1"/>
  <c r="F468" i="2"/>
  <c r="E467" i="2"/>
  <c r="F467" i="2" s="1"/>
  <c r="E466" i="2"/>
  <c r="F466" i="2" s="1"/>
  <c r="F464" i="2"/>
  <c r="F463" i="2"/>
  <c r="F461" i="2"/>
  <c r="F460" i="2"/>
  <c r="E459" i="2"/>
  <c r="F459" i="2" s="1"/>
  <c r="E458" i="2"/>
  <c r="F458" i="2" s="1"/>
  <c r="F456" i="2"/>
  <c r="F455" i="2"/>
  <c r="E453" i="2"/>
  <c r="F451" i="2"/>
  <c r="E450" i="2"/>
  <c r="F447" i="2"/>
  <c r="F448" i="2" s="1"/>
  <c r="F446" i="2"/>
  <c r="E444" i="2"/>
  <c r="F444" i="2" s="1"/>
  <c r="E443" i="2"/>
  <c r="F443" i="2" s="1"/>
  <c r="E441" i="2"/>
  <c r="F441" i="2" s="1"/>
  <c r="F439" i="2"/>
  <c r="F438" i="2"/>
  <c r="F437" i="2"/>
  <c r="F436" i="2"/>
  <c r="E435" i="2"/>
  <c r="F435" i="2" s="1"/>
  <c r="F433" i="2"/>
  <c r="F432" i="2"/>
  <c r="F429" i="2"/>
  <c r="E427" i="2"/>
  <c r="F427" i="2" s="1"/>
  <c r="E426" i="2"/>
  <c r="F426" i="2" s="1"/>
  <c r="E424" i="2"/>
  <c r="F424" i="2" s="1"/>
  <c r="E422" i="2"/>
  <c r="F422" i="2" s="1"/>
  <c r="F421" i="2"/>
  <c r="E420" i="2"/>
  <c r="F420" i="2" s="1"/>
  <c r="F418" i="2"/>
  <c r="E415" i="2"/>
  <c r="E413" i="2"/>
  <c r="F412" i="2"/>
  <c r="F410" i="2"/>
  <c r="F411" i="2" s="1"/>
  <c r="F409" i="2"/>
  <c r="F408" i="2"/>
  <c r="E407" i="2"/>
  <c r="F407" i="2" s="1"/>
  <c r="E406" i="2"/>
  <c r="F406" i="2" s="1"/>
  <c r="F404" i="2"/>
  <c r="F402" i="2"/>
  <c r="E401" i="2"/>
  <c r="F401" i="2" s="1"/>
  <c r="F400" i="2"/>
  <c r="E399" i="2"/>
  <c r="F399" i="2" s="1"/>
  <c r="E398" i="2"/>
  <c r="F398" i="2" s="1"/>
  <c r="F396" i="2"/>
  <c r="F395" i="2"/>
  <c r="F393" i="2"/>
  <c r="E392" i="2"/>
  <c r="F392" i="2" s="1"/>
  <c r="F391" i="2"/>
  <c r="E390" i="2"/>
  <c r="F390" i="2" s="1"/>
  <c r="E389" i="2"/>
  <c r="F389" i="2" s="1"/>
  <c r="F387" i="2"/>
  <c r="F386" i="2"/>
  <c r="F384" i="2"/>
  <c r="F383" i="2"/>
  <c r="F382" i="2"/>
  <c r="F381" i="2"/>
  <c r="E380" i="2"/>
  <c r="F380" i="2" s="1"/>
  <c r="E379" i="2"/>
  <c r="F379" i="2" s="1"/>
  <c r="F377" i="2"/>
  <c r="F376" i="2"/>
  <c r="F374" i="2"/>
  <c r="F373" i="2"/>
  <c r="F372" i="2"/>
  <c r="E371" i="2"/>
  <c r="F371" i="2" s="1"/>
  <c r="F369" i="2"/>
  <c r="F368" i="2"/>
  <c r="F367" i="2"/>
  <c r="E366" i="2"/>
  <c r="F366" i="2" s="1"/>
  <c r="E365" i="2"/>
  <c r="F365" i="2" s="1"/>
  <c r="F363" i="2"/>
  <c r="F362" i="2"/>
  <c r="E361" i="2"/>
  <c r="F361" i="2" s="1"/>
  <c r="E360" i="2"/>
  <c r="F360" i="2" s="1"/>
  <c r="F358" i="2"/>
  <c r="E357" i="2"/>
  <c r="F357" i="2" s="1"/>
  <c r="E356" i="2"/>
  <c r="F356" i="2" s="1"/>
  <c r="E354" i="2"/>
  <c r="F354" i="2" s="1"/>
  <c r="E353" i="2"/>
  <c r="F353" i="2" s="1"/>
  <c r="F351" i="2"/>
  <c r="F350" i="2"/>
  <c r="E349" i="2"/>
  <c r="F349" i="2" s="1"/>
  <c r="E348" i="2"/>
  <c r="F348" i="2" s="1"/>
  <c r="F346" i="2"/>
  <c r="F345" i="2"/>
  <c r="F343" i="2"/>
  <c r="E341" i="2"/>
  <c r="F341" i="2" s="1"/>
  <c r="E340" i="2"/>
  <c r="F340" i="2" s="1"/>
  <c r="E338" i="2"/>
  <c r="F338" i="2" s="1"/>
  <c r="F335" i="2"/>
  <c r="F334" i="2"/>
  <c r="E333" i="2"/>
  <c r="F333" i="2" s="1"/>
  <c r="E332" i="2"/>
  <c r="F332" i="2" s="1"/>
  <c r="F330" i="2"/>
  <c r="F329" i="2"/>
  <c r="E327" i="2"/>
  <c r="E325" i="2"/>
  <c r="F324" i="2"/>
  <c r="F323" i="2"/>
  <c r="F321" i="2"/>
  <c r="E319" i="2"/>
  <c r="F319" i="2" s="1"/>
  <c r="E318" i="2"/>
  <c r="F318" i="2" s="1"/>
  <c r="E316" i="2"/>
  <c r="F316" i="2" s="1"/>
  <c r="F310" i="2"/>
  <c r="F311" i="2" s="1"/>
  <c r="F309" i="2"/>
  <c r="F308" i="2"/>
  <c r="E307" i="2"/>
  <c r="F307" i="2" s="1"/>
  <c r="E306" i="2"/>
  <c r="F306" i="2" s="1"/>
  <c r="F304" i="2"/>
  <c r="F303" i="2"/>
  <c r="E301" i="2"/>
  <c r="E299" i="2"/>
  <c r="F298" i="2"/>
  <c r="F297" i="2"/>
  <c r="F294" i="2"/>
  <c r="F293" i="2"/>
  <c r="E292" i="2"/>
  <c r="F292" i="2" s="1"/>
  <c r="E291" i="2"/>
  <c r="F291" i="2" s="1"/>
  <c r="F289" i="2"/>
  <c r="F288" i="2"/>
  <c r="E286" i="2"/>
  <c r="E284" i="2"/>
  <c r="F283" i="2"/>
  <c r="F282" i="2"/>
  <c r="F280" i="2"/>
  <c r="E278" i="2"/>
  <c r="F278" i="2" s="1"/>
  <c r="E277" i="2"/>
  <c r="F277" i="2" s="1"/>
  <c r="E275" i="2"/>
  <c r="F275" i="2" s="1"/>
  <c r="F272" i="2"/>
  <c r="F271" i="2"/>
  <c r="E270" i="2"/>
  <c r="F270" i="2" s="1"/>
  <c r="E269" i="2"/>
  <c r="F269" i="2" s="1"/>
  <c r="F267" i="2"/>
  <c r="F266" i="2"/>
  <c r="E264" i="2"/>
  <c r="E262" i="2"/>
  <c r="F261" i="2"/>
  <c r="F259" i="2"/>
  <c r="F260" i="2" s="1"/>
  <c r="F258" i="2"/>
  <c r="E257" i="2"/>
  <c r="F257" i="2" s="1"/>
  <c r="F256" i="2"/>
  <c r="E255" i="2"/>
  <c r="F255" i="2" s="1"/>
  <c r="E254" i="2"/>
  <c r="F254" i="2" s="1"/>
  <c r="F252" i="2"/>
  <c r="F251" i="2"/>
  <c r="F249" i="2"/>
  <c r="E247" i="2"/>
  <c r="F247" i="2" s="1"/>
  <c r="E246" i="2"/>
  <c r="F246" i="2" s="1"/>
  <c r="E244" i="2"/>
  <c r="F244" i="2" s="1"/>
  <c r="F241" i="2"/>
  <c r="E240" i="2"/>
  <c r="F240" i="2" s="1"/>
  <c r="F239" i="2"/>
  <c r="E238" i="2"/>
  <c r="F238" i="2" s="1"/>
  <c r="E237" i="2"/>
  <c r="F237" i="2" s="1"/>
  <c r="F235" i="2"/>
  <c r="F234" i="2"/>
  <c r="F232" i="2"/>
  <c r="E230" i="2"/>
  <c r="F230" i="2" s="1"/>
  <c r="E229" i="2"/>
  <c r="F229" i="2" s="1"/>
  <c r="E227" i="2"/>
  <c r="F227" i="2" s="1"/>
  <c r="F225" i="2"/>
  <c r="F224" i="2"/>
  <c r="E223" i="2"/>
  <c r="F223" i="2" s="1"/>
  <c r="E222" i="2"/>
  <c r="F222" i="2" s="1"/>
  <c r="F220" i="2"/>
  <c r="F219" i="2"/>
  <c r="F216" i="2"/>
  <c r="E215" i="2"/>
  <c r="F215" i="2" s="1"/>
  <c r="F214" i="2"/>
  <c r="E213" i="2"/>
  <c r="F213" i="2" s="1"/>
  <c r="E212" i="2"/>
  <c r="F212" i="2" s="1"/>
  <c r="F210" i="2"/>
  <c r="F209" i="2"/>
  <c r="F207" i="2"/>
  <c r="E206" i="2"/>
  <c r="F206" i="2" s="1"/>
  <c r="F205" i="2"/>
  <c r="E204" i="2"/>
  <c r="F204" i="2" s="1"/>
  <c r="E203" i="2"/>
  <c r="F203" i="2" s="1"/>
  <c r="F201" i="2"/>
  <c r="F200" i="2"/>
  <c r="F198" i="2"/>
  <c r="E197" i="2"/>
  <c r="F197" i="2" s="1"/>
  <c r="E196" i="2"/>
  <c r="F196" i="2" s="1"/>
  <c r="F194" i="2"/>
  <c r="F193" i="2"/>
  <c r="F191" i="2"/>
  <c r="F190" i="2"/>
  <c r="F189" i="2"/>
  <c r="E188" i="2"/>
  <c r="F188" i="2" s="1"/>
  <c r="E187" i="2"/>
  <c r="F187" i="2" s="1"/>
  <c r="F185" i="2"/>
  <c r="F184" i="2"/>
  <c r="F181" i="2"/>
  <c r="F180" i="2"/>
  <c r="F179" i="2"/>
  <c r="E178" i="2"/>
  <c r="F178" i="2" s="1"/>
  <c r="F176" i="2"/>
  <c r="F175" i="2"/>
  <c r="E174" i="2"/>
  <c r="F174" i="2" s="1"/>
  <c r="E173" i="2"/>
  <c r="F173" i="2" s="1"/>
  <c r="F170" i="2"/>
  <c r="F169" i="2"/>
  <c r="E168" i="2"/>
  <c r="F168" i="2" s="1"/>
  <c r="E167" i="2"/>
  <c r="F167" i="2" s="1"/>
  <c r="F165" i="2"/>
  <c r="F164" i="2"/>
  <c r="E163" i="2"/>
  <c r="F163" i="2" s="1"/>
  <c r="F162" i="2"/>
  <c r="E160" i="2"/>
  <c r="F160" i="2" s="1"/>
  <c r="E159" i="2"/>
  <c r="F159" i="2" s="1"/>
  <c r="E158" i="2"/>
  <c r="F158" i="2" s="1"/>
  <c r="E157" i="2"/>
  <c r="F157" i="2" s="1"/>
  <c r="F155" i="2"/>
  <c r="F154" i="2"/>
  <c r="F153" i="2"/>
  <c r="E152" i="2"/>
  <c r="F152" i="2" s="1"/>
  <c r="F151" i="2"/>
  <c r="E146" i="2"/>
  <c r="E145" i="2"/>
  <c r="F144" i="2"/>
  <c r="F149" i="2" s="1"/>
  <c r="F143" i="2"/>
  <c r="F142" i="2"/>
  <c r="E140" i="2"/>
  <c r="F140" i="2" s="1"/>
  <c r="F139" i="2"/>
  <c r="F138" i="2"/>
  <c r="E137" i="2"/>
  <c r="F137" i="2" s="1"/>
  <c r="E136" i="2"/>
  <c r="F136" i="2" s="1"/>
  <c r="E134" i="2"/>
  <c r="F134" i="2" s="1"/>
  <c r="E133" i="2"/>
  <c r="F133" i="2" s="1"/>
  <c r="E132" i="2"/>
  <c r="F132" i="2" s="1"/>
  <c r="E131" i="2"/>
  <c r="F131" i="2" s="1"/>
  <c r="E126" i="2"/>
  <c r="E125" i="2"/>
  <c r="F124" i="2"/>
  <c r="E123" i="2"/>
  <c r="F123" i="2" s="1"/>
  <c r="E122" i="2"/>
  <c r="F122" i="2" s="1"/>
  <c r="E121" i="2"/>
  <c r="F121" i="2" s="1"/>
  <c r="E120" i="2"/>
  <c r="F120" i="2" s="1"/>
  <c r="F115" i="2"/>
  <c r="F110" i="2" s="1"/>
  <c r="E112" i="2"/>
  <c r="E111" i="2"/>
  <c r="F109" i="2"/>
  <c r="E108" i="2"/>
  <c r="F108" i="2" s="1"/>
  <c r="F107" i="2"/>
  <c r="E106" i="2"/>
  <c r="F106" i="2" s="1"/>
  <c r="E105" i="2"/>
  <c r="F105" i="2" s="1"/>
  <c r="F103" i="2"/>
  <c r="F102" i="2"/>
  <c r="F100" i="2"/>
  <c r="E99" i="2"/>
  <c r="F99" i="2" s="1"/>
  <c r="E98" i="2"/>
  <c r="F98" i="2" s="1"/>
  <c r="F96" i="2"/>
  <c r="F95" i="2"/>
  <c r="F94" i="2"/>
  <c r="E93" i="2"/>
  <c r="F93" i="2" s="1"/>
  <c r="E92" i="2"/>
  <c r="F92" i="2" s="1"/>
  <c r="F90" i="2"/>
  <c r="E89" i="2"/>
  <c r="F89" i="2" s="1"/>
  <c r="E88" i="2"/>
  <c r="F88" i="2" s="1"/>
  <c r="F87" i="2"/>
  <c r="F85" i="2"/>
  <c r="F84" i="2"/>
  <c r="F82" i="2"/>
  <c r="F79" i="2"/>
  <c r="E78" i="2"/>
  <c r="F78" i="2" s="1"/>
  <c r="F77" i="2"/>
  <c r="F75" i="2"/>
  <c r="F74" i="2"/>
  <c r="F72" i="2"/>
  <c r="F71" i="2"/>
  <c r="E70" i="2"/>
  <c r="F70" i="2" s="1"/>
  <c r="F67" i="2"/>
  <c r="F66" i="2"/>
  <c r="E65" i="2"/>
  <c r="F65" i="2" s="1"/>
  <c r="E64" i="2"/>
  <c r="F64" i="2" s="1"/>
  <c r="F62" i="2"/>
  <c r="F61" i="2"/>
  <c r="F58" i="2"/>
  <c r="F57" i="2"/>
  <c r="E56" i="2"/>
  <c r="F56" i="2" s="1"/>
  <c r="E55" i="2"/>
  <c r="F55" i="2" s="1"/>
  <c r="F53" i="2"/>
  <c r="F51" i="2"/>
  <c r="F50" i="2"/>
  <c r="F49" i="2"/>
  <c r="E48" i="2"/>
  <c r="F48" i="2" s="1"/>
  <c r="F46" i="2"/>
  <c r="F45" i="2"/>
  <c r="F44" i="2"/>
  <c r="E43" i="2"/>
  <c r="F43" i="2" s="1"/>
  <c r="E42" i="2"/>
  <c r="F42" i="2" s="1"/>
  <c r="F40" i="2"/>
  <c r="E39" i="2"/>
  <c r="F39" i="2" s="1"/>
  <c r="F38" i="2"/>
  <c r="E37" i="2"/>
  <c r="F37" i="2" s="1"/>
  <c r="E36" i="2"/>
  <c r="F36" i="2" s="1"/>
  <c r="F34" i="2"/>
  <c r="F33" i="2"/>
  <c r="F31" i="2"/>
  <c r="F30" i="2"/>
  <c r="E29" i="2"/>
  <c r="F29" i="2" s="1"/>
  <c r="E28" i="2"/>
  <c r="F28" i="2" s="1"/>
  <c r="F26" i="2"/>
  <c r="F25" i="2"/>
  <c r="E23" i="2"/>
  <c r="E21" i="2"/>
  <c r="F20" i="2"/>
  <c r="F22" i="2" s="1"/>
  <c r="F18" i="2"/>
  <c r="F19" i="2" s="1"/>
  <c r="F17" i="2"/>
  <c r="E15" i="2"/>
  <c r="F15" i="2" s="1"/>
  <c r="E14" i="2"/>
  <c r="F14" i="2" s="1"/>
  <c r="E12" i="2"/>
  <c r="F12" i="2" s="1"/>
  <c r="F615" i="2" l="1"/>
  <c r="F32" i="3"/>
  <c r="F614" i="2"/>
  <c r="F112" i="2"/>
  <c r="F413" i="2"/>
  <c r="F111" i="2"/>
  <c r="F146" i="2"/>
  <c r="F126" i="2"/>
  <c r="F284" i="2"/>
  <c r="F449" i="2"/>
  <c r="F450" i="2" s="1"/>
  <c r="F23" i="2"/>
  <c r="F21" i="2"/>
  <c r="F285" i="2"/>
  <c r="F286" i="2"/>
  <c r="F125" i="2"/>
  <c r="F313" i="2"/>
  <c r="F592" i="2"/>
  <c r="F593" i="2"/>
  <c r="F312" i="2"/>
  <c r="F42" i="3"/>
  <c r="F40" i="3"/>
  <c r="F34" i="3"/>
  <c r="F299" i="2"/>
  <c r="F301" i="2"/>
  <c r="F300" i="2"/>
  <c r="F117" i="2"/>
  <c r="F415" i="2"/>
  <c r="F118" i="2"/>
  <c r="F145" i="2"/>
  <c r="F325" i="2"/>
  <c r="F327" i="2"/>
  <c r="F326" i="2"/>
  <c r="F262" i="2"/>
  <c r="F264" i="2"/>
  <c r="F263" i="2"/>
  <c r="F414" i="2"/>
  <c r="F743" i="2"/>
  <c r="F744" i="2" s="1"/>
  <c r="F691" i="2"/>
  <c r="F453" i="2" l="1"/>
  <c r="F749" i="2"/>
  <c r="F745" i="2"/>
</calcChain>
</file>

<file path=xl/sharedStrings.xml><?xml version="1.0" encoding="utf-8"?>
<sst xmlns="http://schemas.openxmlformats.org/spreadsheetml/2006/main" count="2030" uniqueCount="512">
  <si>
    <t>(ობიექტის დასახელება)</t>
  </si>
  <si>
    <t xml:space="preserve">კრებსითი ხარჯთაღრიცხვა                          </t>
  </si>
  <si>
    <t>სარეაბილიტაციო სამუშაოები</t>
  </si>
  <si>
    <t>რიგითი #</t>
  </si>
  <si>
    <t>ხარჯთ. #</t>
  </si>
  <si>
    <t>თავების, ობიექტების, სამუშაოების და დანახარჯების დასახელება</t>
  </si>
  <si>
    <t xml:space="preserve">სახარჯთაღრიცხვო ღირებულება (ლარი) </t>
  </si>
  <si>
    <r>
      <t>საერთო სახარჯთაღრიცხვო ღირებულება (</t>
    </r>
    <r>
      <rPr>
        <i/>
        <sz val="10"/>
        <rFont val="AcadNusx"/>
      </rPr>
      <t>ლარი)</t>
    </r>
  </si>
  <si>
    <t>სამშენებლო სამუშაოები</t>
  </si>
  <si>
    <t>სამონტაჟო სამუშაოები</t>
  </si>
  <si>
    <t xml:space="preserve">მოწყობილობა </t>
  </si>
  <si>
    <t>სხვადასხვა სამუშაოები</t>
  </si>
  <si>
    <t>1</t>
  </si>
  <si>
    <t>2</t>
  </si>
  <si>
    <t>3</t>
  </si>
  <si>
    <t>4</t>
  </si>
  <si>
    <t>5</t>
  </si>
  <si>
    <t>6</t>
  </si>
  <si>
    <t>7</t>
  </si>
  <si>
    <t>8</t>
  </si>
  <si>
    <t>ადმინსტრაციის შენობა</t>
  </si>
  <si>
    <t>ტერიტორიის კეთილმოწყობა</t>
  </si>
  <si>
    <t xml:space="preserve">jami </t>
  </si>
  <si>
    <t xml:space="preserve"> ჯამი </t>
  </si>
  <si>
    <r>
      <t>დღგ</t>
    </r>
    <r>
      <rPr>
        <b/>
        <sz val="10"/>
        <rFont val="AcadNusx"/>
      </rPr>
      <t>-18%</t>
    </r>
  </si>
  <si>
    <t xml:space="preserve"> სულ  </t>
  </si>
  <si>
    <t>ლოკალური ხარჯთაღრიცხვა N1</t>
  </si>
  <si>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</si>
  <si>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</si>
  <si>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</si>
  <si>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</si>
  <si>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</si>
  <si>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</si>
  <si>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</si>
  <si>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</si>
  <si>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მანქ.მექანიზმები (ლ)</t>
  </si>
  <si>
    <t>სულ</t>
  </si>
  <si>
    <t>ერთ. ფასი</t>
  </si>
  <si>
    <t>ჯამი</t>
  </si>
  <si>
    <t xml:space="preserve">  ჯამი</t>
  </si>
  <si>
    <t>ადმინისტრაციული შენობა</t>
  </si>
  <si>
    <t>პერსონალის ოთახი</t>
  </si>
  <si>
    <t>8-601-1  k=0,4</t>
  </si>
  <si>
    <t xml:space="preserve">ჭერზე არსებული სანათების დემონტაჟი </t>
  </si>
  <si>
    <t>c</t>
  </si>
  <si>
    <t>შრომის დანახარჯები</t>
  </si>
  <si>
    <t>კაც/სთ</t>
  </si>
  <si>
    <t>21-28-1</t>
  </si>
  <si>
    <t>ჭერში ახალი დიოდური ლედ სანათების  (ზომით 20X20 სმ)  მოწყობა</t>
  </si>
  <si>
    <t>kac/sT</t>
  </si>
  <si>
    <t>lari</t>
  </si>
  <si>
    <r>
      <rPr>
        <sz val="10"/>
        <rFont val="Calibri"/>
        <family val="2"/>
        <scheme val="minor"/>
      </rPr>
      <t>LED</t>
    </r>
    <r>
      <rPr>
        <sz val="10"/>
        <rFont val="AcadNusx"/>
      </rPr>
      <t xml:space="preserve"> ჭერში ჩასასმელი დიოდური სანათი     (ზომით 20X20 სმ)</t>
    </r>
  </si>
  <si>
    <t>sxva masala</t>
  </si>
  <si>
    <t>vzer    25-7-12</t>
  </si>
  <si>
    <t>ფანჯრებზე არსებული ხის რაფის დემონტაჟი (2c)</t>
  </si>
  <si>
    <t>g.m</t>
  </si>
  <si>
    <t xml:space="preserve">Sromis danaxarji  </t>
  </si>
  <si>
    <t>e10-19-1</t>
  </si>
  <si>
    <t>გ.მ</t>
  </si>
  <si>
    <t xml:space="preserve">Sromis danaxarji </t>
  </si>
  <si>
    <t>kac/saT</t>
  </si>
  <si>
    <t xml:space="preserve">მეტალოპლასმასის რაფის (ზომით 250X900მმ) </t>
  </si>
  <si>
    <t>sxvadasxva masala</t>
  </si>
  <si>
    <t>46-30-3</t>
  </si>
  <si>
    <t xml:space="preserve">ლამინირებული იატაკის დემონტაჟი </t>
  </si>
  <si>
    <t>m2</t>
  </si>
  <si>
    <t>11-27-5</t>
  </si>
  <si>
    <t xml:space="preserve">ლამინატის იატაკის მოწყობა </t>
  </si>
  <si>
    <t xml:space="preserve">sxvadasxva manqana </t>
  </si>
  <si>
    <t>laminirebuli parketi qvesadebiT da plintusiT</t>
  </si>
  <si>
    <t>46-15-4</t>
  </si>
  <si>
    <t>კედლებიდან და ჭერიდან ძველი საღებავის ჩამოფხეკა</t>
  </si>
  <si>
    <t>15-168-7</t>
  </si>
  <si>
    <t>კედლების და ჭერის დამუშავება ფითხით და შეღებვა წყალემულსიური საღებავით ორ ფენად (ფერი დამკვეთან შეთანხმებით)</t>
  </si>
  <si>
    <t xml:space="preserve">sagrunte masala </t>
  </si>
  <si>
    <t>kg</t>
  </si>
  <si>
    <t>saRebavi wyalemulsiuri</t>
  </si>
  <si>
    <t xml:space="preserve">sxvadasxva masalebi  </t>
  </si>
  <si>
    <t>e10-8-5</t>
  </si>
  <si>
    <t>არსებული რადიატორის შეფუთვა ლამინატით (ლამინატი უნდა იყოს დახვრეტილი)</t>
  </si>
  <si>
    <t>რადიატორის შესაფუთი დახვრეტილი ლამინატი</t>
  </si>
  <si>
    <t>მ2</t>
  </si>
  <si>
    <t>ხის ელემენტები</t>
  </si>
  <si>
    <t>მ3</t>
  </si>
  <si>
    <t>სამაგრები</t>
  </si>
  <si>
    <t>კგ</t>
  </si>
  <si>
    <t>20-7-1,</t>
  </si>
  <si>
    <t xml:space="preserve">რადიატორის თავზე პლასმასის ცხაური მოწყობით </t>
  </si>
  <si>
    <t xml:space="preserve">sxva manqana </t>
  </si>
  <si>
    <t>პლასმასის ცხაური</t>
  </si>
  <si>
    <t>vzer    25-15-13</t>
  </si>
  <si>
    <t xml:space="preserve">არსებული  კონდენციონერის დემონტაჟი დასაწყობებით </t>
  </si>
  <si>
    <t>20–24–2</t>
  </si>
  <si>
    <t xml:space="preserve">კონდენციონერის (9კვტ) მონტაჟი </t>
  </si>
  <si>
    <t>komp</t>
  </si>
  <si>
    <t>Sromis danaxarjebi</t>
  </si>
  <si>
    <t>კონდენციონერი (9კვტ)</t>
  </si>
  <si>
    <t>საგამოფენო დარბაზი</t>
  </si>
  <si>
    <t>ვზერ25–13–3</t>
  </si>
  <si>
    <t xml:space="preserve">არსებულ კარზე  დაზიანებული მინაპაკეტის დემონტაჟი  </t>
  </si>
  <si>
    <t>15-204-6</t>
  </si>
  <si>
    <t xml:space="preserve">არსებულ კარზე ახალი მინაპაკეტის მონტაჟი </t>
  </si>
  <si>
    <r>
      <t xml:space="preserve"> m</t>
    </r>
    <r>
      <rPr>
        <b/>
        <vertAlign val="superscript"/>
        <sz val="10"/>
        <rFont val="AcadNusx"/>
      </rPr>
      <t>2</t>
    </r>
  </si>
  <si>
    <t>k/sT</t>
  </si>
  <si>
    <t xml:space="preserve">minapaketi </t>
  </si>
  <si>
    <r>
      <t>m</t>
    </r>
    <r>
      <rPr>
        <vertAlign val="superscript"/>
        <sz val="10"/>
        <rFont val="AcadNusx"/>
      </rPr>
      <t>2</t>
    </r>
  </si>
  <si>
    <t>sxva masalebi</t>
  </si>
  <si>
    <t xml:space="preserve">lari </t>
  </si>
  <si>
    <t>შიდა კიბე</t>
  </si>
  <si>
    <t>errv 5-43-1</t>
  </si>
  <si>
    <t>კიბის საფეხურების შუბლის მოწყობა (ფიცარი იატაკის მშრალი უშიპო) ზომებით 1,2*0,1მ სისქით 36მმ 27ცალი</t>
  </si>
  <si>
    <t>e13-33-7</t>
  </si>
  <si>
    <t>არსებული კიბის საფეხურებიდან საღებავის ჩამოფხეკვა</t>
  </si>
  <si>
    <t>kv.m</t>
  </si>
  <si>
    <t>ზუმფარა</t>
  </si>
  <si>
    <r>
      <t xml:space="preserve"> მ</t>
    </r>
    <r>
      <rPr>
        <vertAlign val="superscript"/>
        <sz val="10"/>
        <rFont val="AcadNusx"/>
      </rPr>
      <t>2</t>
    </r>
  </si>
  <si>
    <t>vzer 14-805</t>
  </si>
  <si>
    <t xml:space="preserve"> ხის მასალის დამუშავება და დაფარვა ანტისეპტიკური ლაქით ორი ფენა</t>
  </si>
  <si>
    <t>შრომის დანახარჯი</t>
  </si>
  <si>
    <t>კაც.სთ</t>
  </si>
  <si>
    <t>ხის ანტისეპტიკური ლაქის ღირებულება</t>
  </si>
  <si>
    <r>
      <t>სხვადასხვა მასალები (</t>
    </r>
    <r>
      <rPr>
        <sz val="10"/>
        <rFont val="Arial"/>
        <family val="2"/>
        <charset val="204"/>
      </rPr>
      <t>ზუმფარა</t>
    </r>
    <r>
      <rPr>
        <sz val="10"/>
        <rFont val="Sylfaen"/>
        <family val="1"/>
      </rPr>
      <t>)</t>
    </r>
  </si>
  <si>
    <t>ლარი</t>
  </si>
  <si>
    <t>აივანი</t>
  </si>
  <si>
    <t>vzer 25-5-13</t>
  </si>
  <si>
    <t xml:space="preserve">დაზიანებული ბაზალტის იატაკის დემონტაჟი </t>
  </si>
  <si>
    <t>46-31-12</t>
  </si>
  <si>
    <t xml:space="preserve">იატაკზე არსებული მოჭიმვის  დემონტაჟი </t>
  </si>
  <si>
    <t xml:space="preserve">
11-8-1 </t>
  </si>
  <si>
    <t>ქვიშა-ცემენტის მოჭიმვის მოწყობა სისქით 50მმ</t>
  </si>
  <si>
    <t>11-30-4</t>
  </si>
  <si>
    <t>ბაზალტის ფილების (ფერი და ფორმა დამკვეთან შეთანხმებით) მოწყობა წებოცემენტზე</t>
  </si>
  <si>
    <t>man/saT</t>
  </si>
  <si>
    <t>webocementi</t>
  </si>
  <si>
    <t>11-11-12</t>
  </si>
  <si>
    <t>sxvadasxva manqana</t>
  </si>
  <si>
    <t>ჭერიდან ძველი საღებავის ჩამოფხეკა</t>
  </si>
  <si>
    <t>15-168-8</t>
  </si>
  <si>
    <t>ჭერის დამუშავება ფითხით და შეღებვა წყალემულსიური საღებავით ორ ფენად (ფერი დამკვეთან შეთანხმებით)</t>
  </si>
  <si>
    <t>sagrunte masala (Spakli)</t>
  </si>
  <si>
    <t>9-32-12</t>
  </si>
  <si>
    <t>მოაჯირის დამზადება და მონტაჟი (31 დგარის ჩაანკერებით) -30,5გრძ.მ</t>
  </si>
  <si>
    <t>ტ</t>
  </si>
  <si>
    <t xml:space="preserve">შრომის დანახარჯი </t>
  </si>
  <si>
    <t xml:space="preserve">სხვადასხვა მანქანა </t>
  </si>
  <si>
    <t>მანქ/სთ</t>
  </si>
  <si>
    <t>მილკვადრატი 60X30X3(მმ)-დგარი</t>
  </si>
  <si>
    <t>გრძ.მ</t>
  </si>
  <si>
    <t>მილკვადრატი 60X60X3(მმ)-დგარი</t>
  </si>
  <si>
    <t>მილკვადრატი 20X20X2(მმ)</t>
  </si>
  <si>
    <t>მილკვადრატი 60X30X3(მმ)-სახელური</t>
  </si>
  <si>
    <t>ელექტროდი</t>
  </si>
  <si>
    <t xml:space="preserve">სხვადასხვა მასალა </t>
  </si>
  <si>
    <t>46-42-1,6</t>
  </si>
  <si>
    <t>კედლის ჩაბურღვა 15სმ სიღრმით, დიამეტრით 18მმ 4ცალი თითო კონსტრუქციაზე</t>
  </si>
  <si>
    <t xml:space="preserve">c </t>
  </si>
  <si>
    <t xml:space="preserve">saburRi agregati </t>
  </si>
  <si>
    <t>man/saaT</t>
  </si>
  <si>
    <t xml:space="preserve">burRebi  </t>
  </si>
  <si>
    <t>sxvadasxva masalebi</t>
  </si>
  <si>
    <t>6-9-1</t>
  </si>
  <si>
    <r>
      <t xml:space="preserve">ანკერების მოწყობა </t>
    </r>
    <r>
      <rPr>
        <b/>
        <sz val="10"/>
        <rFont val="Arial"/>
        <family val="2"/>
        <charset val="204"/>
      </rPr>
      <t>M12</t>
    </r>
    <r>
      <rPr>
        <b/>
        <sz val="10"/>
        <rFont val="AcadNusx"/>
      </rPr>
      <t xml:space="preserve"> სიგრძით 150მმ-124ც ჩამაგრებით ორკომპონენტიანი წებოთი</t>
    </r>
  </si>
  <si>
    <t xml:space="preserve">sxvasxva manqanebi </t>
  </si>
  <si>
    <r>
      <rPr>
        <sz val="10"/>
        <rFont val="Arial"/>
        <family val="2"/>
        <charset val="204"/>
      </rPr>
      <t>ანკერი M12</t>
    </r>
    <r>
      <rPr>
        <sz val="10"/>
        <rFont val="AcadNusx"/>
      </rPr>
      <t xml:space="preserve"> სიგრძით 150 მმ</t>
    </r>
  </si>
  <si>
    <r>
      <t xml:space="preserve">ორკომპონენტიანი წებო </t>
    </r>
    <r>
      <rPr>
        <sz val="10"/>
        <rFont val="AcadNusx"/>
      </rPr>
      <t>ფირმის ანკერის ჩასაწებებელი საშუალება</t>
    </r>
  </si>
  <si>
    <t>ცალი</t>
  </si>
  <si>
    <t>მთავარი შესასვლელი კიბე</t>
  </si>
  <si>
    <t xml:space="preserve">კედლის ჩაბურღვა 15სმ სიღრმით, დიამეტრით 14მმ </t>
  </si>
  <si>
    <t>e6-14-4</t>
  </si>
  <si>
    <r>
      <t>მონოლითური რკ/ბეტონის კედლის (საყრდენი გასაშლელი პანდუსისათვის) სისქით 300მმ მოწყობა ბეტონი</t>
    </r>
    <r>
      <rPr>
        <b/>
        <sz val="10"/>
        <rFont val="Arial"/>
        <family val="2"/>
        <charset val="204"/>
      </rPr>
      <t xml:space="preserve">  B25</t>
    </r>
  </si>
  <si>
    <t>m3</t>
  </si>
  <si>
    <t>sayalibe fari</t>
  </si>
  <si>
    <t>eleqtrodi</t>
  </si>
  <si>
    <t>6-9-3</t>
  </si>
  <si>
    <r>
      <t xml:space="preserve">არმატურა ა-III </t>
    </r>
    <r>
      <rPr>
        <sz val="10"/>
        <rFont val="Arial"/>
        <family val="2"/>
        <charset val="204"/>
      </rPr>
      <t xml:space="preserve">Ø14 A500c </t>
    </r>
  </si>
  <si>
    <t>e15-6-3</t>
  </si>
  <si>
    <t>წებოცეემენტი</t>
  </si>
  <si>
    <t>ბაზალტის ფილები</t>
  </si>
  <si>
    <r>
      <t xml:space="preserve">კედლის სისქით 40სმ გახვრეტა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-16 მმ</t>
    </r>
  </si>
  <si>
    <t>8-418-1</t>
  </si>
  <si>
    <t>პლასმასის საკაბელო არხი 16მმ. სამაგრებით.</t>
  </si>
  <si>
    <t xml:space="preserve"> 8-591-8</t>
  </si>
  <si>
    <t>ელექტრო როზეტი</t>
  </si>
  <si>
    <t xml:space="preserve"> შრომის დანახარჯი</t>
  </si>
  <si>
    <t>სხვა მანქანები</t>
  </si>
  <si>
    <t>როზეტის ჩასადგმელი კოლოფი (მრგვალი)</t>
  </si>
  <si>
    <t>სხვა მასალა</t>
  </si>
  <si>
    <t>8-149-1</t>
  </si>
  <si>
    <t xml:space="preserve">kabelebis montaJi </t>
  </si>
  <si>
    <t>grZ.m</t>
  </si>
  <si>
    <t>c8-610-2</t>
  </si>
  <si>
    <t>ტრანსფორმატორი დამწევი 230ვ-დან 12ვ-მდე</t>
  </si>
  <si>
    <t>cali</t>
  </si>
  <si>
    <t>მე-2 სართული</t>
  </si>
  <si>
    <t xml:space="preserve">აივანზე არსებული მოაჯირის ლითონის კონსტრუქციების გასუფთავება ძველი საღებავებისაგან და კოროზიისაგან (რკინის სახეხით და ზუმფარით) </t>
  </si>
  <si>
    <t>e15-164-8</t>
  </si>
  <si>
    <t>ლითონის კონსტრუქციების  დაგრუნტვა და შეღებვა  ანტიკოროზიული საღებავით ორ ფენად (ფერი დამკვეთან შეთანხმებით)</t>
  </si>
  <si>
    <t>ანტიკოროზიული საგრუნტი საღებავი</t>
  </si>
  <si>
    <t xml:space="preserve">ანტიკოროზიული საღებავი (ევროსტანდარტის) </t>
  </si>
  <si>
    <t>აივნის მოაჯირის სახელურის საღებავის ჩამოფხეკვა</t>
  </si>
  <si>
    <t>ვზერ 14-804</t>
  </si>
  <si>
    <t>ხის მასალის დამუშავება და დაფარვა ანტისეპტიკური ლაქით ორი ფენა</t>
  </si>
  <si>
    <t xml:space="preserve">შრომის დანახარჯები </t>
  </si>
  <si>
    <t xml:space="preserve">კაც/სთ </t>
  </si>
  <si>
    <t>ანტისეპტიკური ხსნარი (ლაქი)</t>
  </si>
  <si>
    <t xml:space="preserve">სხვადასხვა მასალები </t>
  </si>
  <si>
    <t>პარაპეტიდან ძველი საღებავის ჩამოფხეკა</t>
  </si>
  <si>
    <t xml:space="preserve"> პარაპეტის დამუშავება ფითხით და შეღებვა წყალემულსიური საღებავით ორ ფენად (ფერი დამკვეთან შეთანხმებით)</t>
  </si>
  <si>
    <t>დერეფანი</t>
  </si>
  <si>
    <t>კიბის უჯრედში კედლიდან ძველი საღებავის ჩამოფხეკა</t>
  </si>
  <si>
    <t>კედლის დამუშავება ფითხით და შეღებვა წყალემულსიური საღებავით ორ ფენად (ფერი დამკვეთან შეთანხმებით)</t>
  </si>
  <si>
    <t>დაცვის განყოფილების ოთახი</t>
  </si>
  <si>
    <t>ფანჯრებზე მეტალოპლასმასის რაფის (ზომით 250X1,800 მმ) მოწყობა</t>
  </si>
  <si>
    <t>სამზარეულო</t>
  </si>
  <si>
    <t>ფანჯრებზე არსებული ხის რაფის დემონტაჟი (1c)</t>
  </si>
  <si>
    <t>ფანჯრებზე მეტალოპლასმასის რაფის (ზომით 250X1,750 მმ) მოწყობა</t>
  </si>
  <si>
    <t xml:space="preserve">მეტალოპლასმასის რაფის (ზომით 250X1,75მმ) </t>
  </si>
  <si>
    <t>ადმინისტრაციული განყოფილების უფროსის ოთახი</t>
  </si>
  <si>
    <t>e15-252-8</t>
  </si>
  <si>
    <t>რომაული ფარდის (ზომით 2*3მ)-1ც მოწყობა</t>
  </si>
  <si>
    <t>რომაული ფარდის (ზომით 2*3მ) ღირებულება</t>
  </si>
  <si>
    <t>ადმინისტრაციული განყოფილების ოთახი</t>
  </si>
  <si>
    <t>ფანჯრებზე მეტალოპლასმასის რაფის (ზომით 250X1,70 მმ) მოწყობა</t>
  </si>
  <si>
    <t>საკონფერენციო დარბაზი</t>
  </si>
  <si>
    <t>18-5-1</t>
  </si>
  <si>
    <t>არსებული  რადიატორის ზომით 600*2000მმ  დემონტაჟ</t>
  </si>
  <si>
    <t>ც</t>
  </si>
  <si>
    <t>არსებული  რადიატორის ზომით 600*2000მმ  ახალ ადგილას მონტაჟი</t>
  </si>
  <si>
    <t>e10-10-3</t>
  </si>
  <si>
    <t>გათბობის მილების შეფუთვა ლამინატით</t>
  </si>
  <si>
    <t>კედლებიდან დაზიანებული ნალესის ჩამოყრა</t>
  </si>
  <si>
    <t>15-55-9</t>
  </si>
  <si>
    <t xml:space="preserve">kedlebis maRalxarisxovani lesva ქვიშა-ცემენტის sxnariT </t>
  </si>
  <si>
    <t xml:space="preserve">xsnaris tumbo  </t>
  </si>
  <si>
    <t>cementis sxnariB</t>
  </si>
  <si>
    <t>liTonis bade</t>
  </si>
  <si>
    <t xml:space="preserve"> კიბის უჯრედში კედლიდან ძველი საღებავის ჩამოფხეკა</t>
  </si>
  <si>
    <t xml:space="preserve"> ჭერიდან ძველი საღებავის ჩამოფხეკა</t>
  </si>
  <si>
    <t xml:space="preserve">კონდენციონერის (18კვტ) მონტაჟი </t>
  </si>
  <si>
    <t>კონდენციონერი (18კვტ)</t>
  </si>
  <si>
    <t>ფანჯრებზე მეტალოპლასმასის რაფის (ზომით 250X3300 მმ)-2c მოწყობა</t>
  </si>
  <si>
    <t xml:space="preserve">მეტალოპლასმასის რაფის (ზომით 250X3,3მ) </t>
  </si>
  <si>
    <t>დირექტორის მისაღები ოთახი</t>
  </si>
  <si>
    <t>ფანჯრებზე მეტალოპლასმასის რაფის (ზომით 250X1800 მმ)  მოწყობა</t>
  </si>
  <si>
    <t>დირექტორის ოთახი</t>
  </si>
  <si>
    <t>e 46-32-3</t>
  </si>
  <si>
    <t xml:space="preserve">არსებული კარის დემონტაჟი დასაწყობებით (ზომით 2,75*2,3მ-1კომპ) </t>
  </si>
  <si>
    <t xml:space="preserve">e10-20-3   </t>
  </si>
  <si>
    <t xml:space="preserve"> მდფ-ის ორფრთიანი კარის (ზომით 2,75*2,3 მ-1კომპ) მონტაჟი  </t>
  </si>
  <si>
    <t>"mdef"-is karebi aqsesuarebiT</t>
  </si>
  <si>
    <t>ficari Camogragnili xarisxis, 25-32 mm</t>
  </si>
  <si>
    <t>ფანჯრებზე არსებული ხის რაფის დემონტაჟი (3c)</t>
  </si>
  <si>
    <t>ფანჯრებზე მეტალოპლასმასის რაფის (ზომით 250X1800 მმ-2ცალი და 250X1500მმ-1ცალი) მოწყობა</t>
  </si>
  <si>
    <t>ფანჯრების მეტალოპლასმასის რაფის (ზომით 250X1800 მმ)-2ც ღირებულება</t>
  </si>
  <si>
    <t>ფანჯრების მეტალოპლასმასის რაფის (ზომით 250X1500 მმ)-1ც ღირებულება</t>
  </si>
  <si>
    <t>კედლიდან ძველი საღებავის ჩამოფხეკა</t>
  </si>
  <si>
    <t>vzer 7-30</t>
  </si>
  <si>
    <t>მეტალოპლასმასის კარ-ფანჯრებზე საკეტი მექანიზმების (სახელურით) შეცვლა</t>
  </si>
  <si>
    <t>საკეტი მექანიზმების (სახელურით)</t>
  </si>
  <si>
    <t>კომპ</t>
  </si>
  <si>
    <t>ალუმინის კარებზე საკეტი მექანიზმების (სახელურით) შეცვლა</t>
  </si>
  <si>
    <t xml:space="preserve">კაბინეტების კედლებზე არსებული  ლამინატის საზურგეების დემონტაჟი </t>
  </si>
  <si>
    <t xml:space="preserve">კაბინეტების კედლებზე საზურგეების მონტაჟი ახალი ლამინატის </t>
  </si>
  <si>
    <t>ლამინატის (სიგანე-20სმ) ღირებულება</t>
  </si>
  <si>
    <t>ფასადი</t>
  </si>
  <si>
    <t>15-52-1</t>
  </si>
  <si>
    <t>ფასადის კედლების მაღალხარისხოვანი ლესვა  ქვიშა-ცემენტის ხსნარით</t>
  </si>
  <si>
    <t>cementis xsnari</t>
  </si>
  <si>
    <t xml:space="preserve">e15-54-1 </t>
  </si>
  <si>
    <t xml:space="preserve">კედლების დაშხეფვა (ბრიზგი)  </t>
  </si>
  <si>
    <t>დეკორატიული ცემენტი m-400</t>
  </si>
  <si>
    <t>laq-saRebavebi</t>
  </si>
  <si>
    <t>15-158-3</t>
  </si>
  <si>
    <t>ფასადის  შეღებვა მაღალხარისხოვანი საფასადე (წყალმედეგი, სილიკონის ბაზაზე დამზადებული) საღებავით - ორი ფენა</t>
  </si>
  <si>
    <t>46-27-4</t>
  </si>
  <si>
    <t>ფასადზე არსებული დაზიანებული ხის ფიცრების დემონტაჟი</t>
  </si>
  <si>
    <t>e10-3-6</t>
  </si>
  <si>
    <t xml:space="preserve">ფასადის მოპირკეთება დამუშავებული (ორი წიბო მოხვეწილი) მშრალი ხის ფიცრით (შიპით)  სისქე მინიმუმ 36მმ  </t>
  </si>
  <si>
    <t xml:space="preserve">მშრალი ხის ფიცრით (შიპით) სისქე მინიმუმ 36მმ  </t>
  </si>
  <si>
    <t xml:space="preserve">sxvadasxva masalebi   </t>
  </si>
  <si>
    <t>შენობის ფასადის ხის ფიცრებიდან საღებავის ჩამოფხეკვა</t>
  </si>
  <si>
    <t xml:space="preserve">შენობის ფასადზე არსებული ლითონის კონსტრუქციების (დამატებული წყალსაწრეტი ლოთონის მილი) გასუფთავება ძველი საღებავებისაგან და კოროზიისაგან (რკინის სახეხით და ზუმფარით) </t>
  </si>
  <si>
    <t xml:space="preserve">სხვადასხვა მასალა (რკინის სახეხი და ზუმფარა) </t>
  </si>
  <si>
    <t>შენობის ფასადზე არსებული ლითონის კონსტრუქციების (დამატებული წყალსაწრეტი ლოთონის მილი)  დაგრუნტვა და შეღებვა ანტიკოროზიული საღებავით ორ ფენად (ფერი დამკვეთან შეთანხმებით)</t>
  </si>
  <si>
    <t>ფასადზე არსებული  კონდენციონერის გარე ბლოკის დემონტაჟი</t>
  </si>
  <si>
    <t>ფასადზე არსებული  კონდენციონერის გარე ბლოკის მონტაჟი</t>
  </si>
  <si>
    <t>სარდაფის კარებზე დაზიანებული მინის (სისქით 4მმ) მოხსნა</t>
  </si>
  <si>
    <t>სარდაფის კარებზე დაზიანებული მინის (სისქით 4მმ) მონტაჟი</t>
  </si>
  <si>
    <t>მინა სისქით 4მმ</t>
  </si>
  <si>
    <t>10-13-1</t>
  </si>
  <si>
    <t>სარდაფში მეტალოპლასმასის ფერადი ფანჯარის მოწყობა (ფერი შეთანხმდეს დამკვეთთან) ზომებით (0,6X0,6მ)</t>
  </si>
  <si>
    <t>სხვადასხვა მანქანები</t>
  </si>
  <si>
    <t>ფერადი ფანჯარის  ზომებით (0,6X0,6მ) ღირებულება</t>
  </si>
  <si>
    <t>8-22-1</t>
  </si>
  <si>
    <t xml:space="preserve">inventaruli xaraCos mowyoba kolonebis da pilonebis SeRebvisaTvis </t>
  </si>
  <si>
    <t>liTonis xaraCos detalebi</t>
  </si>
  <si>
    <t>liTonis xaraCos xis  detalebi</t>
  </si>
  <si>
    <t>xis fenili</t>
  </si>
  <si>
    <t xml:space="preserve">ეზოს განათება </t>
  </si>
  <si>
    <t>vzer 21-28-1</t>
  </si>
  <si>
    <t xml:space="preserve">არსებულ სანათებზე ლითონის ფირფიტის (ლამპიონის თავსახურის) დემონტაჟი </t>
  </si>
  <si>
    <t xml:space="preserve">არსებულ სანათების  ლითონის ბოძების  გასუფთავება ძველი საღებავებისაგან და კოროზიისაგან (რკინის სახეხით და ზუმფარით) </t>
  </si>
  <si>
    <t>ლითონის კონსტრუქციების  დაგრუნტვა და შეღებვა  ანტიკოროზიული საღებავით ორ ფენად (ფერი დამკვეთან შეთანხმებით</t>
  </si>
  <si>
    <t>21-26-1</t>
  </si>
  <si>
    <t xml:space="preserve">არსებულ სანათებზე დიოდური ნათების  დემონტაჟი დასაწყობებით </t>
  </si>
  <si>
    <t>avtohidroamwe</t>
  </si>
  <si>
    <t>7-23-2</t>
  </si>
  <si>
    <t>არსებულ ლამპიონების ბოძებზე სანათის დასამაგრებელი დეტალის მოწყობა - 15ც.</t>
  </si>
  <si>
    <t>t</t>
  </si>
  <si>
    <r>
      <t xml:space="preserve">ფოლადის მრგვალი მილი დ=51*3მმ </t>
    </r>
    <r>
      <rPr>
        <sz val="10"/>
        <rFont val="Arial"/>
        <family val="2"/>
        <charset val="204"/>
      </rPr>
      <t>L</t>
    </r>
    <r>
      <rPr>
        <sz val="10"/>
        <rFont val="AcadNusx"/>
      </rPr>
      <t>=1,0მ</t>
    </r>
  </si>
  <si>
    <t>8-609-2</t>
  </si>
  <si>
    <r>
      <t>სანათების თავის მონტაჟი (სანათის ტიპი: ქუჩის სანათი მახასიათებლები:  ლედ სანათი კორპუსი: ალუმინი ფერი: ნაცრისფერი, შავი  სტილი: მოდერნი ნათება: დიოდური ვოლტაჟი 85-265v სიმძლავრე, 30vt დაცვის დონე, მინიმუმ</t>
    </r>
    <r>
      <rPr>
        <b/>
        <sz val="9"/>
        <color indexed="8"/>
        <rFont val="Arial"/>
        <family val="2"/>
        <charset val="204"/>
      </rPr>
      <t xml:space="preserve"> IP</t>
    </r>
    <r>
      <rPr>
        <b/>
        <sz val="9"/>
        <color indexed="8"/>
        <rFont val="AcadNusx"/>
      </rPr>
      <t>65 სამუშაო ტემპერატურა, -20 +50c დიამეტრი 54მმ გაბარიტები : 52*22*10 სმ)</t>
    </r>
  </si>
  <si>
    <r>
      <t>სანათის თავი: ლედ სანათი კორპუსი: ალუმინი ფერი: ნაცრისფერი, შავი სტილი: მოდერნი ნათება: დიოდური ვოლტაჟი 85-265v სიმძლავრე, 30vt დაცვის დონე, მინიმუმ</t>
    </r>
    <r>
      <rPr>
        <sz val="10"/>
        <color indexed="8"/>
        <rFont val="Arial"/>
        <family val="2"/>
        <charset val="204"/>
      </rPr>
      <t xml:space="preserve"> IP65</t>
    </r>
    <r>
      <rPr>
        <sz val="10"/>
        <color indexed="8"/>
        <rFont val="AcadNusx"/>
      </rPr>
      <t xml:space="preserve"> სამუშაო ტემპერატურა, -20 +50c დიამეტრი 54მმ გაბარიტები : 52*22*10 სმ)</t>
    </r>
  </si>
  <si>
    <t>e 1-80-7</t>
  </si>
  <si>
    <t>გრუნტის დამუშავება ხელით საკაბელო არხისათვის ზომით  0,5*0.20*150 მ და ზედმეტი გრუნტის ადგილზე მოსწორება</t>
  </si>
  <si>
    <t>8-3-2</t>
  </si>
  <si>
    <t>არხში ქვიშის ბალიშის მოწყობა სისქით 15სმ</t>
  </si>
  <si>
    <t>qviSa</t>
  </si>
  <si>
    <t>წითელი გოფრირებული  კაბელის გასატარებელი მილი -ორშრიანი, მიწაში ჩასადები დ-50 მმ ჩადება არხში (განათების კაბელებისათვის)</t>
  </si>
  <si>
    <t xml:space="preserve">წითელი გოფრირებული კაბელის გასატარებელი მილი-ორშრიანი, მიწაში ჩასადები დ-50მმ </t>
  </si>
  <si>
    <t>8-145-2</t>
  </si>
  <si>
    <t xml:space="preserve">განათების კაბელების მონტაჟი </t>
  </si>
  <si>
    <t>m</t>
  </si>
  <si>
    <r>
      <rPr>
        <sz val="10"/>
        <color theme="1"/>
        <rFont val="Sylfaen"/>
        <family val="1"/>
      </rPr>
      <t>კაბელი NYM-J     - 3x10მმ</t>
    </r>
    <r>
      <rPr>
        <vertAlign val="superscript"/>
        <sz val="10"/>
        <color theme="1"/>
        <rFont val="Sylfaen"/>
        <family val="1"/>
      </rPr>
      <t xml:space="preserve">2 </t>
    </r>
    <r>
      <rPr>
        <vertAlign val="superscript"/>
        <sz val="14"/>
        <color theme="1"/>
        <rFont val="Sylfaen"/>
        <family val="1"/>
      </rPr>
      <t xml:space="preserve"> </t>
    </r>
  </si>
  <si>
    <t>გრძ/მ</t>
  </si>
  <si>
    <r>
      <t>კაბელი NYM-J   F 3X2,5მმ</t>
    </r>
    <r>
      <rPr>
        <vertAlign val="superscript"/>
        <sz val="10"/>
        <color theme="1"/>
        <rFont val="Sylfaen"/>
        <family val="1"/>
      </rPr>
      <t>2</t>
    </r>
    <r>
      <rPr>
        <sz val="10"/>
        <color theme="1"/>
        <rFont val="Sylfaen"/>
        <family val="1"/>
      </rPr>
      <t xml:space="preserve"> </t>
    </r>
  </si>
  <si>
    <t>კაბელის მომჭერი ხრახნიანი დ=6მმ</t>
  </si>
  <si>
    <t>კაბელის მომჭერი ხრახნიანი დ=1,5მმ</t>
  </si>
  <si>
    <t xml:space="preserve">კაბელის დაბოლოება 6მმ </t>
  </si>
  <si>
    <t xml:space="preserve">კაბელის დაბოლოება 2,5მმ </t>
  </si>
  <si>
    <t>8-414-1</t>
  </si>
  <si>
    <r>
      <t>გარე მონტაჟის გამანაწილებელი კოლოფი  50*50*30მმ ზომის, დაცვის კლასი</t>
    </r>
    <r>
      <rPr>
        <b/>
        <sz val="10"/>
        <rFont val="Arial"/>
        <family val="2"/>
        <charset val="204"/>
      </rPr>
      <t xml:space="preserve">  IP54</t>
    </r>
  </si>
  <si>
    <t>gamanawilebeli kolofi gare montaJis</t>
  </si>
  <si>
    <t>8-591-3</t>
  </si>
  <si>
    <r>
      <t xml:space="preserve">ჰერმეტულად დახურული როზეტი დამიწებით  </t>
    </r>
    <r>
      <rPr>
        <b/>
        <sz val="10"/>
        <rFont val="Arial"/>
        <family val="2"/>
        <charset val="204"/>
      </rPr>
      <t xml:space="preserve">IEC 62271-102 HV AC  </t>
    </r>
    <r>
      <rPr>
        <b/>
        <sz val="10"/>
        <rFont val="AcadNusx"/>
      </rPr>
      <t xml:space="preserve">სტანდარტის.  </t>
    </r>
  </si>
  <si>
    <t xml:space="preserve">erTklaviSiani CamrTveli </t>
  </si>
  <si>
    <t>8-591-8</t>
  </si>
  <si>
    <r>
      <t xml:space="preserve">ელექტრო სამონტაჟო კოლოფი </t>
    </r>
    <r>
      <rPr>
        <b/>
        <sz val="10"/>
        <rFont val="Arial"/>
        <family val="2"/>
        <charset val="204"/>
      </rPr>
      <t xml:space="preserve">200x180x100მმ, </t>
    </r>
    <r>
      <rPr>
        <b/>
        <sz val="10"/>
        <rFont val="AcadNusx"/>
      </rPr>
      <t xml:space="preserve">  დაცვის კლასი</t>
    </r>
    <r>
      <rPr>
        <b/>
        <sz val="10"/>
        <rFont val="Arial"/>
        <family val="2"/>
        <charset val="204"/>
      </rPr>
      <t xml:space="preserve"> IP65 </t>
    </r>
  </si>
  <si>
    <t>eleqtro rozeti 250v.</t>
  </si>
  <si>
    <t>8-612-12</t>
  </si>
  <si>
    <r>
      <t xml:space="preserve">განათების ფარის მონტაჟი წყალგაუმტარი პლასტმასის ელ. კარადა დაცვის კლასი </t>
    </r>
    <r>
      <rPr>
        <b/>
        <sz val="10"/>
        <color indexed="8"/>
        <rFont val="Arial"/>
        <family val="2"/>
        <charset val="204"/>
      </rPr>
      <t>IP44</t>
    </r>
    <r>
      <rPr>
        <b/>
        <sz val="10"/>
        <color indexed="8"/>
        <rFont val="AcadNusx"/>
      </rPr>
      <t xml:space="preserve">  </t>
    </r>
    <r>
      <rPr>
        <b/>
        <sz val="10"/>
        <color indexed="8"/>
        <rFont val="Arial"/>
        <family val="2"/>
        <charset val="204"/>
      </rPr>
      <t>40x30x15სმ</t>
    </r>
  </si>
  <si>
    <t>kompl</t>
  </si>
  <si>
    <r>
      <rPr>
        <sz val="10"/>
        <color theme="1"/>
        <rFont val="Sylfaen"/>
        <family val="1"/>
      </rPr>
      <t>წყალგაუმტარი პლასტმასის ელ. კარადა დაცვის კლასი IP44  40x30x15სმ</t>
    </r>
    <r>
      <rPr>
        <sz val="12"/>
        <color theme="1"/>
        <rFont val="Sylfaen"/>
        <family val="1"/>
      </rPr>
      <t xml:space="preserve"> </t>
    </r>
  </si>
  <si>
    <r>
      <t xml:space="preserve">ავტომატ ამომრთველი 3p-63A </t>
    </r>
    <r>
      <rPr>
        <b/>
        <sz val="10"/>
        <color theme="1"/>
        <rFont val="Calibri"/>
        <family val="2"/>
        <scheme val="minor"/>
      </rPr>
      <t/>
    </r>
  </si>
  <si>
    <r>
      <t>გაჟონვის რელე)</t>
    </r>
    <r>
      <rPr>
        <sz val="10"/>
        <rFont val="Arial"/>
        <family val="2"/>
        <charset val="204"/>
      </rPr>
      <t xml:space="preserve"> ( YZO)    2P 63A -30mA</t>
    </r>
    <r>
      <rPr>
        <sz val="10"/>
        <rFont val="AcadNusx"/>
      </rPr>
      <t>,</t>
    </r>
  </si>
  <si>
    <r>
      <t>გაჟონვის რელე)</t>
    </r>
    <r>
      <rPr>
        <sz val="10"/>
        <rFont val="Arial"/>
        <family val="2"/>
        <charset val="204"/>
      </rPr>
      <t xml:space="preserve"> ( YZO)    2P 25A -30mA</t>
    </r>
    <r>
      <rPr>
        <sz val="10"/>
        <rFont val="AcadNusx"/>
      </rPr>
      <t>,</t>
    </r>
  </si>
  <si>
    <t>8-717-1</t>
  </si>
  <si>
    <r>
      <t>ფოტო რელე: ნომინალური  ძაბვა    230ვ, ნომინალური დენი 20ა, დაცვის კლასი</t>
    </r>
    <r>
      <rPr>
        <b/>
        <sz val="10"/>
        <color theme="1"/>
        <rFont val="Arial"/>
        <family val="2"/>
        <charset val="204"/>
      </rPr>
      <t xml:space="preserve"> IP</t>
    </r>
    <r>
      <rPr>
        <b/>
        <sz val="10"/>
        <color theme="1"/>
        <rFont val="AcadNusx"/>
      </rPr>
      <t xml:space="preserve">44, ამოქმედების ზღურბლი  რეგულირებადი      </t>
    </r>
  </si>
  <si>
    <t>fazebis kontrolis rele</t>
  </si>
  <si>
    <t>ჩამრთველი ერთკლავიშიანის დემონტაჟი და ახლის მონტაჟი</t>
  </si>
  <si>
    <t>k=1,4</t>
  </si>
  <si>
    <t>ჩამრთველი ორკლავიშიანის დემონტაჟი და ახლის მონტაჟი</t>
  </si>
  <si>
    <t>18</t>
  </si>
  <si>
    <t>ელექტრო  როზეტის 250ვ. დემონტაჟი და ახლის მონტაჟი</t>
  </si>
  <si>
    <t>19</t>
  </si>
  <si>
    <t>ინტერნეტის როზეტის  დემონტაჟი და ახლის მონტაჟი</t>
  </si>
  <si>
    <t>ინტერნეტის როზეტი</t>
  </si>
  <si>
    <t>20</t>
  </si>
  <si>
    <t>ინტერნეტის როზეტის (ორცალიანი ) დემონტაჟი და ახლის მონტაჟი</t>
  </si>
  <si>
    <t>ჩარჩო 2-იანი</t>
  </si>
  <si>
    <t>21</t>
  </si>
  <si>
    <t>iნტერნეტის როზეტის (ოთხცალიანი ) დემონტაჟი და ახლის მონტაჟი</t>
  </si>
  <si>
    <t>ბანერი</t>
  </si>
  <si>
    <t>ბანერზე არსებული მინაპაკეტის (ორმაგი მინა ზომით 0.90*2.00 მ სისქე 2 სმ) 40 ცალი დემონტაჟი დასაწყობებით</t>
  </si>
  <si>
    <t>enir 20-4</t>
  </si>
  <si>
    <t xml:space="preserve">დასაწყობებული მინაპაკეტის (ორმაგი მინა ზომით 0.90*2.00 მ სისქე 2 სმ) 40ცალი დაშლა, გაწმენდა და დამუშავება ორივე მხრიდან  </t>
  </si>
  <si>
    <t>sabazro</t>
  </si>
  <si>
    <t>სპაიდერებზე რეზინების დემონტაჟი და ახლის მონტაჟი</t>
  </si>
  <si>
    <t>სპაიდერების რეზინების  ღირებულება</t>
  </si>
  <si>
    <t xml:space="preserve">გასუფთავებული მინაპაკეტის (ორმაგი მინა ზომით 0.90*2.00 მ სისქე 2სმ) 36 ც. მონტაჟი  </t>
  </si>
  <si>
    <t xml:space="preserve">ახალი მინაპაკეტის (ორმაგი მინა ზომით 0.90*2.00 მ სისქე 2 სმ) 4 ცალი მონტაჟი   </t>
  </si>
  <si>
    <t>baneris Rirebuleba</t>
  </si>
  <si>
    <t xml:space="preserve">ბანერის  ლითონის კონსტრუქციების  გასუფთავება ძველი საღებავებისაგან და კოროზიისაგან (რკინის სახეხით და ზუმფარით) </t>
  </si>
  <si>
    <t>მთავარი შესასვლელი კარები</t>
  </si>
  <si>
    <t xml:space="preserve">ლითონის კონსტრუქციების  გასუფთავება ძველი საღებავებისაგან და კოროზიისაგან (რკინის სახეხით და ზუმფარით) </t>
  </si>
  <si>
    <t xml:space="preserve">e12-8-6 </t>
  </si>
  <si>
    <t xml:space="preserve">არსებულ ლითონის დ-100 მმ მილზე ლითონის ქუდის მოწყობა </t>
  </si>
  <si>
    <t>liToni furclovani</t>
  </si>
  <si>
    <t>ღობე-50 გრძ.მ.</t>
  </si>
  <si>
    <t>ღობის დგარებისათვის გრუნტის დამუშავება ხელით წერტილოვანი საძირკვლისათვის ზომით 0,4*0.4*1,0(მ)-26ც) და ზედმეტი გრუნტის ადგილზე მოსწორება</t>
  </si>
  <si>
    <t>ღორღის საფუძვლის მოწყობა სისქით 20სმ</t>
  </si>
  <si>
    <t>RorRi</t>
  </si>
  <si>
    <t>e 6-1-5</t>
  </si>
  <si>
    <t>წერტილოვანი საძირკვლის მოწყობა ბეტონი მ-200</t>
  </si>
  <si>
    <t>betoni m-200</t>
  </si>
  <si>
    <t>xis masala</t>
  </si>
  <si>
    <t xml:space="preserve">sxvadasxva masalebi </t>
  </si>
  <si>
    <r>
      <t xml:space="preserve">ღობის  დამზადება და მონტაჟი (ბოძებზე ლითონის ფურცლის სისქით 2მმ ხუფის მოწყობა) </t>
    </r>
    <r>
      <rPr>
        <b/>
        <sz val="10"/>
        <rFont val="Arial"/>
        <family val="2"/>
        <charset val="204"/>
      </rPr>
      <t>L</t>
    </r>
    <r>
      <rPr>
        <b/>
        <sz val="10"/>
        <rFont val="AcadNusx"/>
      </rPr>
      <t>-50g.m</t>
    </r>
  </si>
  <si>
    <t>მილკვადრატი 60X60X3(მმ)-დგარი-26ცალი</t>
  </si>
  <si>
    <t>მილკვადრატი 40X40X2(მმ)-ჰორიზონტალური გამბრჯენი</t>
  </si>
  <si>
    <t>ლითონის ფურცელი 0,0036მ2  სისქით -2მმ -26ცალი</t>
  </si>
  <si>
    <t>e9-4-6</t>
  </si>
  <si>
    <t>მაღალი ხარისხის პროფირილებული თუნუქის ფურცლების სისქით 0.47მმ (ფერი დამკვეთან შეთანხმებით) ღობის კონსტრუქციაზე გაკვრა-სიმაღლით 2მ</t>
  </si>
  <si>
    <t>მაღალი ხარისხის პროფირილებული თუნუქის ფურცლების სისქით 0.47მმ-ღირებულება</t>
  </si>
  <si>
    <t>ლითონის თვითმჭრელები</t>
  </si>
  <si>
    <t xml:space="preserve">სასტუმროს მიმდებარე კედელი </t>
  </si>
  <si>
    <t xml:space="preserve"> მრგვალი კედლის მოპირკეთების ფილების დემონტაჟი</t>
  </si>
  <si>
    <t>კედლებიდან ნალესის ჩამოყრა</t>
  </si>
  <si>
    <t>მრგვალი კედლის მაღალხარისხოვანი ლესვა  ქვიშა-ცემენტის ხსნარით</t>
  </si>
  <si>
    <t>k=1,1</t>
  </si>
  <si>
    <t>46-31-1</t>
  </si>
  <si>
    <t xml:space="preserve">მრგვალი სივრცის თავზე დაზიანებული ბეტონის ფილების დემონტაჟი </t>
  </si>
  <si>
    <t xml:space="preserve">არსებული მოჭიმვის  დემონტაჟი </t>
  </si>
  <si>
    <t>11-11-5</t>
  </si>
  <si>
    <t xml:space="preserve">ბეტონის (ბეტონი მ-250) მოჭიმვის მოწყობა სისქით 50მმ </t>
  </si>
  <si>
    <r>
      <t xml:space="preserve">masalebi: betoni </t>
    </r>
    <r>
      <rPr>
        <sz val="10"/>
        <rFont val="Arial"/>
        <family val="2"/>
        <charset val="204"/>
      </rPr>
      <t>m</t>
    </r>
    <r>
      <rPr>
        <sz val="10"/>
        <rFont val="AcadNusx"/>
      </rPr>
      <t>-25</t>
    </r>
  </si>
  <si>
    <t xml:space="preserve">კიბის საფეხურებზე დაზიანებული ბაზალტის ფილების დემონტაჟი  </t>
  </si>
  <si>
    <t>e15-12-1</t>
  </si>
  <si>
    <t>კიბის საფეხურების და შუბლის მოპირკეთება ბაზალტის ფილებით (ფერი და ფორმა დამკვეთან შეთანხმებით)  წებოცემენტზე</t>
  </si>
  <si>
    <t>webcementi</t>
  </si>
  <si>
    <t>ბაზალტის filebi</t>
  </si>
  <si>
    <t xml:space="preserve">მოაჯირის ლითონის კონსტრუქციების  გასუფთავება ძველი საღებავებისაგან და კოროზიისაგან (რკინის სახეხით და ზუმფარით) </t>
  </si>
  <si>
    <t>46-31-2</t>
  </si>
  <si>
    <t>დეკორატიული  კედლის მოპირკეთების ფილების დემონტაჟი</t>
  </si>
  <si>
    <t xml:space="preserve">e15-53-1 </t>
  </si>
  <si>
    <t>დეკორატიული კედლის მაღალხარისხოვანი ლესვა  ქვიშა-ცემენტის ხსნარით</t>
  </si>
  <si>
    <t>e1-22,p-2</t>
  </si>
  <si>
    <t xml:space="preserve">სამშენებლო ნარჩენების შეგროვება ხელით, დატვირთვა ა/თვითმცლელზე </t>
  </si>
  <si>
    <t>safaso</t>
  </si>
  <si>
    <t>სამშენებლო ნარჩენების გატანა ნაყარში 5 კმ-მდე</t>
  </si>
  <si>
    <t>avtoTviTmcvleli</t>
  </si>
  <si>
    <t>satransporto xarji (masalebis Rirebulebidan)</t>
  </si>
  <si>
    <t>jami</t>
  </si>
  <si>
    <t xml:space="preserve">zednadebi xarji </t>
  </si>
  <si>
    <r>
      <t>gegmiuri mogeba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</si>
  <si>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e 1-23-6 </t>
  </si>
  <si>
    <t xml:space="preserve">მე-3 კატეგორის გრუნტის დამუშავება მექანიზმებით და დატვირთვა (1452მ2*0,5მ) ავტოთვითმცლელზე </t>
  </si>
  <si>
    <t xml:space="preserve">მანქანები: ექსკავატორი </t>
  </si>
  <si>
    <t>მან/სთ</t>
  </si>
  <si>
    <t xml:space="preserve">სხვადასხვა მანქანები </t>
  </si>
  <si>
    <t>1-79-3</t>
  </si>
  <si>
    <t>გრუნტის დამუშავება ხელით</t>
  </si>
  <si>
    <t>e27-9-7</t>
  </si>
  <si>
    <t>არსებული ბეტონის ბორდიურის დემონტაჟი</t>
  </si>
  <si>
    <t xml:space="preserve">Sronis danaxarji  </t>
  </si>
  <si>
    <t>27-19-3</t>
  </si>
  <si>
    <r>
      <t>ბეტონის ახალი  ბორდიურის (15X30სმ) მოწყობა ბეტონის საფუძველზე.</t>
    </r>
    <r>
      <rPr>
        <b/>
        <sz val="10"/>
        <rFont val="Arial"/>
        <family val="2"/>
        <charset val="204"/>
      </rPr>
      <t xml:space="preserve"> B20</t>
    </r>
    <r>
      <rPr>
        <b/>
        <sz val="10"/>
        <rFont val="AcadNusx"/>
      </rPr>
      <t xml:space="preserve"> ბეტონი </t>
    </r>
  </si>
  <si>
    <t>1 g.m</t>
  </si>
  <si>
    <t xml:space="preserve">sxvadasxva meqanizmebi </t>
  </si>
  <si>
    <t>betonis ბორდიური15*30სმ</t>
  </si>
  <si>
    <t>ბეტონი В15</t>
  </si>
  <si>
    <t>27-13-1</t>
  </si>
  <si>
    <t>საფუძვლის  ფენის მოწყობა ფრ. ღორღით, (0–70მმ) საშ. სისქით 25სმ-დატკნეპვით V=363m3</t>
  </si>
  <si>
    <t>avtogreideri</t>
  </si>
  <si>
    <t xml:space="preserve">buldozeri </t>
  </si>
  <si>
    <t xml:space="preserve">satkepni </t>
  </si>
  <si>
    <t xml:space="preserve">sarwyavi manwana </t>
  </si>
  <si>
    <t>ღორღი 0-70მმ</t>
  </si>
  <si>
    <t>wyali</t>
  </si>
  <si>
    <t>საფუძვლის  ფენის მოწყობა ფრ. ღორღით, (0–40მმ) საშ. სისქით 15სმ-დატკნეპვით V=217,8m3</t>
  </si>
  <si>
    <t>ღორღი 0-40მმ</t>
  </si>
  <si>
    <t xml:space="preserve">ბიტუმის ემულსიის მოსხმა საფუძვლის  ფენაზე, 0.7ლ/მ2 </t>
  </si>
  <si>
    <t>ავტოგუდრონატორი 3500ლტ</t>
  </si>
  <si>
    <t>ბიტუმის ემულსია</t>
  </si>
  <si>
    <t>27-39-1,  27-40-1</t>
  </si>
  <si>
    <t>საფარის ფენის მოწყობა მსხვილმარცვლოვანი მკვრივი ღორღოვანი ა/ბეტონის ცხელი ნარევით  საშუალო  სისქით 6სმ</t>
  </si>
  <si>
    <t xml:space="preserve">asfalis damgebi manqana </t>
  </si>
  <si>
    <t>manq/saT</t>
  </si>
  <si>
    <t xml:space="preserve">satkepni 5-10 t </t>
  </si>
  <si>
    <t>asfaltobetonis narevi (msxvili fraqcia)</t>
  </si>
  <si>
    <t>საფარის ფენის მოწყობა წვრილმარცვლოვანი მკვრივი ღორღოვანი ა/ბეტონის ცხელი ნარევით  საშუალო  სისქით 4სმ</t>
  </si>
  <si>
    <t xml:space="preserve">satkepni 5 -10t </t>
  </si>
  <si>
    <r>
      <t xml:space="preserve">asfaltobetonis narevi (wvrili fraqcia) </t>
    </r>
    <r>
      <rPr>
        <sz val="10"/>
        <rFont val="Arial"/>
        <family val="2"/>
        <charset val="204"/>
      </rPr>
      <t/>
    </r>
  </si>
  <si>
    <t xml:space="preserve">sxvadasxva masala </t>
  </si>
  <si>
    <r>
      <t>gegmiuri mogeba</t>
    </r>
    <r>
      <rPr>
        <sz val="10"/>
        <rFont val="Calibri"/>
        <family val="2"/>
        <charset val="204"/>
        <scheme val="minor"/>
      </rPr>
      <t xml:space="preserve"> </t>
    </r>
  </si>
  <si>
    <t>sul</t>
  </si>
  <si>
    <t>ლოკალური ხარჯთაღრიცხვა N2</t>
  </si>
  <si>
    <t>ფანჯრებზე მეტალოპლასმასის რაფის (ზომით 250X900 მმ)-2ცალი მოწყობა</t>
  </si>
  <si>
    <t>სხვა მანქანა</t>
  </si>
  <si>
    <t>ლამინირებული პარკეტი ქვეშსადებით და პლინტუსით</t>
  </si>
  <si>
    <t>სხვადასხვა მასალა</t>
  </si>
  <si>
    <t>სხვადასხვა მანქანა</t>
  </si>
  <si>
    <t xml:space="preserve">საღებავი წყალემულსიური </t>
  </si>
  <si>
    <t>მინაპაკეტი</t>
  </si>
  <si>
    <t>ფიცარი ზომებით 1,2*0,1მ სისქით 36მმ</t>
  </si>
  <si>
    <t>თვითხრახნი</t>
  </si>
  <si>
    <t xml:space="preserve">ქვიშა-ცემენტის ხსნარი </t>
  </si>
  <si>
    <t>წებოცემენტი</t>
  </si>
  <si>
    <t>იატაკის ბაზალტის ფილები</t>
  </si>
  <si>
    <t xml:space="preserve">არსებული ბაზალტის ფილის ზადაპირის მოპრიალება (მოვერტალიოტება) </t>
  </si>
  <si>
    <t>მასალები</t>
  </si>
  <si>
    <t>საგრუნტე მასალა (ფითხი)</t>
  </si>
  <si>
    <t xml:space="preserve">საბურღი აგრეგატი </t>
  </si>
  <si>
    <t>ბურღები</t>
  </si>
  <si>
    <r>
      <t xml:space="preserve">ბეტონი </t>
    </r>
    <r>
      <rPr>
        <sz val="10"/>
        <rFont val="Calibri"/>
        <family val="2"/>
        <scheme val="minor"/>
      </rPr>
      <t>B</t>
    </r>
    <r>
      <rPr>
        <sz val="10"/>
        <rFont val="AcadNusx"/>
      </rPr>
      <t>25</t>
    </r>
  </si>
  <si>
    <t>საყალიბე ფარი</t>
  </si>
  <si>
    <t>ხის მასალა</t>
  </si>
  <si>
    <t>სამშენებლო ლურსმანი</t>
  </si>
  <si>
    <t>რკ/ბეტონის კედლების არმატურის და ანკერების მოწყობა</t>
  </si>
  <si>
    <t>masalebi: mosapirkeTebeli fila (ბაზალტის ფილა)</t>
  </si>
  <si>
    <t>სხვადასხვა მასალები</t>
  </si>
  <si>
    <r>
      <t xml:space="preserve">კაბელი </t>
    </r>
    <r>
      <rPr>
        <sz val="10"/>
        <rFont val="Arial"/>
        <family val="2"/>
        <charset val="204"/>
      </rPr>
      <t xml:space="preserve"> NYM-J</t>
    </r>
    <r>
      <rPr>
        <sz val="10"/>
        <rFont val="AcadNusx"/>
      </rPr>
      <t xml:space="preserve"> 3X2.5მმ2</t>
    </r>
  </si>
  <si>
    <t>ქვიშა-ცემენტის ხსნარი</t>
  </si>
  <si>
    <t xml:space="preserve">საგრუნტი მასალა (შპაკლი) </t>
  </si>
  <si>
    <t>წყალმედეგი, სილიკონის ბაზაზე დამზადებული  საღებავი</t>
  </si>
  <si>
    <t>ჩარჩო 4-იანი</t>
  </si>
  <si>
    <t>ბანერზე ახალი წარწერის მოწყობა: ინგლისურ-ქართული ტექსტით, ლოგოთი და ასოები სიმაღლით 42,4მმ</t>
  </si>
  <si>
    <t>ბორჯომ ხარაგაულის ეროვნული პარკის ადმინისტრაციის ბორჯომის ვიზიტორთა ცენტრის  შენობის და მიმდებარე ტერიტორიის კეთილმოწყობისა და რეაბილიტაციის სამუშაოები</t>
  </si>
  <si>
    <r>
      <t xml:space="preserve">ხარჯთაღრიცხვა </t>
    </r>
    <r>
      <rPr>
        <sz val="10"/>
        <rFont val="Calibri"/>
        <family val="2"/>
        <scheme val="minor"/>
      </rPr>
      <t>N1</t>
    </r>
  </si>
  <si>
    <r>
      <t xml:space="preserve">ხარჯთაღრიცხვა </t>
    </r>
    <r>
      <rPr>
        <sz val="10"/>
        <rFont val="Calibri"/>
        <family val="2"/>
        <scheme val="minor"/>
      </rPr>
      <t>N2</t>
    </r>
  </si>
  <si>
    <r>
      <t xml:space="preserve">გაუთვალისწინებელი  ხარჯები </t>
    </r>
    <r>
      <rPr>
        <b/>
        <sz val="10"/>
        <rFont val="AcadNusx"/>
      </rPr>
      <t>- 5%</t>
    </r>
  </si>
  <si>
    <t>ბორჯომ-ხარაგაულის ეროვნული პარკის ადმინისტრაციის ბორჯომის ვიზიტორთა ცენტრის  შენობის სარეაბილიტაციო სამუშაოები</t>
  </si>
  <si>
    <t>სარეაბილიტაციო და კეთილმოწყობის სამუშაოები</t>
  </si>
  <si>
    <t>ბორჯომ-ხარაგაულის ეროვნული პარკის ადმინისტრაციის ბორჯომის ვიზიტორთა ცენტრის  შენობის მიმდებარე ტერიტორიის კეთილმოწყობისა და რეაბილიტაციის სამუშაოები</t>
  </si>
  <si>
    <t>გრუნტის  გატანა 5კმ-მდე მანძილზე</t>
  </si>
  <si>
    <t>1000 m2</t>
  </si>
  <si>
    <t>ჭერის მოსახვის ხის ლამფის - 12მმ სისქით-ღირებულება</t>
  </si>
  <si>
    <t xml:space="preserve">სახურავის ქვედა ნაწილის მოსახვა ხის ლამფით </t>
  </si>
  <si>
    <t>vzer 14-804</t>
  </si>
  <si>
    <t>ხის ლამფის დაფარვა ანტისეპტიკური ლაქით ორი ფენა</t>
  </si>
  <si>
    <t>სახურავის ქვედა ნაწილში დაზიანებული პლასმასის ფილების დემონტაჟი</t>
  </si>
  <si>
    <t>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</si>
</sst>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0.0"/>
    <numFmt numFmtId="166" formatCode="0.000"/>
    <numFmt numFmtId="167" formatCode="0.0000"/>
    <numFmt numFmtId="168" formatCode="0.00000"/>
    <numFmt numFmtId="169" formatCode="_-* #,##0.00_р_._-;\-* #,##0.00_р_._-;_-* &quot;-&quot;??_р_._-;_-@_-"/>
    <numFmt numFmtId="170" formatCode="0.00000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i/>
      <sz val="10"/>
      <name val="Sylfaen"/>
      <family val="1"/>
    </font>
    <font>
      <sz val="11"/>
      <color theme="1"/>
      <name val="Sylfaen"/>
      <family val="1"/>
    </font>
    <font>
      <sz val="10"/>
      <name val="Arial Cyr"/>
      <family val="2"/>
      <charset val="204"/>
    </font>
    <font>
      <sz val="10"/>
      <name val="AcadNusx"/>
    </font>
    <font>
      <i/>
      <sz val="10"/>
      <name val="AcadNusx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name val="AcadNusx"/>
    </font>
    <font>
      <b/>
      <sz val="10"/>
      <name val="AcadNusx"/>
    </font>
    <font>
      <b/>
      <sz val="11"/>
      <name val="AcadNusx"/>
    </font>
    <font>
      <sz val="10"/>
      <color theme="1"/>
      <name val="AcadNusx"/>
    </font>
    <font>
      <sz val="10"/>
      <color theme="1"/>
      <name val="Sylfaen"/>
      <family val="1"/>
    </font>
    <font>
      <sz val="10"/>
      <name val="Helv"/>
    </font>
    <font>
      <sz val="10"/>
      <name val="Arial"/>
      <family val="2"/>
      <charset val="204"/>
    </font>
    <font>
      <b/>
      <u/>
      <sz val="10"/>
      <name val="AcadNusx"/>
    </font>
    <font>
      <sz val="10"/>
      <color indexed="8"/>
      <name val="AcadNusx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i/>
      <sz val="10"/>
      <color theme="1"/>
      <name val="AcadNusx"/>
    </font>
    <font>
      <sz val="11"/>
      <color theme="1"/>
      <name val="Calibri"/>
      <family val="2"/>
      <scheme val="minor"/>
    </font>
    <font>
      <b/>
      <sz val="9"/>
      <name val="AcadNusx"/>
    </font>
    <font>
      <sz val="9"/>
      <name val="AcadNusx"/>
    </font>
    <font>
      <b/>
      <sz val="10"/>
      <name val="Arial"/>
      <family val="2"/>
      <charset val="204"/>
    </font>
    <font>
      <b/>
      <sz val="10"/>
      <color indexed="8"/>
      <name val="AcadNusx"/>
    </font>
    <font>
      <b/>
      <u/>
      <sz val="9"/>
      <color indexed="8"/>
      <name val="Arial"/>
      <family val="2"/>
      <charset val="204"/>
    </font>
    <font>
      <sz val="10"/>
      <color indexed="10"/>
      <name val="AcadNusx"/>
    </font>
    <font>
      <b/>
      <sz val="9"/>
      <color indexed="8"/>
      <name val="AcadNusx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theme="1"/>
      <name val="Sylfaen"/>
      <family val="1"/>
    </font>
    <font>
      <vertAlign val="superscript"/>
      <sz val="10"/>
      <color theme="1"/>
      <name val="Sylfaen"/>
      <family val="1"/>
    </font>
    <font>
      <vertAlign val="superscript"/>
      <sz val="14"/>
      <color theme="1"/>
      <name val="Sylfaen"/>
      <family val="1"/>
    </font>
    <font>
      <b/>
      <sz val="10"/>
      <color indexed="8"/>
      <name val="Arial"/>
      <family val="2"/>
      <charset val="204"/>
    </font>
    <font>
      <sz val="12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9"/>
      <color theme="1"/>
      <name val="Sylfaen"/>
      <family val="1"/>
    </font>
    <font>
      <b/>
      <u/>
      <sz val="10"/>
      <name val="Sylfae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color rgb="FF000000"/>
      <name val="Sylfaen"/>
      <family val="1"/>
    </font>
    <font>
      <sz val="10"/>
      <color rgb="FF000000"/>
      <name val="AcadNusx"/>
    </font>
    <font>
      <sz val="12"/>
      <name val="AcadNusx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23" fillId="0" borderId="0"/>
    <xf numFmtId="0" fontId="25" fillId="0" borderId="0"/>
    <xf numFmtId="0" fontId="19" fillId="0" borderId="0"/>
    <xf numFmtId="0" fontId="32" fillId="0" borderId="0"/>
    <xf numFmtId="0" fontId="23" fillId="0" borderId="0"/>
    <xf numFmtId="0" fontId="25" fillId="0" borderId="0"/>
    <xf numFmtId="0" fontId="18" fillId="0" borderId="0"/>
    <xf numFmtId="164" fontId="23" fillId="0" borderId="0" applyFont="0" applyFill="0" applyBorder="0" applyAlignment="0" applyProtection="0"/>
    <xf numFmtId="0" fontId="32" fillId="0" borderId="0"/>
    <xf numFmtId="0" fontId="19" fillId="0" borderId="0"/>
  </cellStyleXfs>
  <cellXfs count="797">
    <xf numFmtId="0" fontId="0" fillId="0" borderId="0" xfId="0"/>
    <xf numFmtId="0" fontId="6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10" fillId="0" borderId="1" xfId="2" quotePrefix="1" applyFont="1" applyBorder="1" applyAlignment="1">
      <alignment horizontal="center" wrapText="1"/>
    </xf>
    <xf numFmtId="0" fontId="12" fillId="0" borderId="5" xfId="2" applyFont="1" applyBorder="1" applyAlignment="1">
      <alignment horizontal="left" vertical="center" wrapText="1"/>
    </xf>
    <xf numFmtId="1" fontId="13" fillId="0" borderId="5" xfId="2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left" vertical="center" wrapText="1"/>
    </xf>
    <xf numFmtId="1" fontId="13" fillId="0" borderId="6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3" borderId="1" xfId="0" applyFont="1" applyFill="1" applyBorder="1" applyAlignment="1">
      <alignment horizontal="center" vertical="center"/>
    </xf>
    <xf numFmtId="0" fontId="0" fillId="0" borderId="8" xfId="0" applyBorder="1"/>
    <xf numFmtId="0" fontId="16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2" fontId="8" fillId="0" borderId="8" xfId="3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center" vertical="top" wrapText="1"/>
    </xf>
    <xf numFmtId="165" fontId="8" fillId="0" borderId="8" xfId="3" applyNumberFormat="1" applyFont="1" applyFill="1" applyBorder="1" applyAlignment="1">
      <alignment horizontal="center" vertical="top" wrapText="1"/>
    </xf>
    <xf numFmtId="0" fontId="8" fillId="0" borderId="8" xfId="3" applyNumberFormat="1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quotePrefix="1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 wrapText="1"/>
    </xf>
    <xf numFmtId="2" fontId="14" fillId="0" borderId="5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0" fontId="8" fillId="0" borderId="8" xfId="1" applyNumberFormat="1" applyFont="1" applyFill="1" applyBorder="1" applyAlignment="1">
      <alignment horizontal="center" vertical="center" wrapText="1"/>
    </xf>
    <xf numFmtId="2" fontId="8" fillId="0" borderId="8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6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/>
    <xf numFmtId="2" fontId="8" fillId="0" borderId="5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14" fillId="4" borderId="5" xfId="0" applyFont="1" applyFill="1" applyBorder="1" applyAlignment="1">
      <alignment horizontal="left" vertical="top" wrapText="1"/>
    </xf>
    <xf numFmtId="2" fontId="14" fillId="0" borderId="5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4" borderId="8" xfId="0" applyFont="1" applyFill="1" applyBorder="1" applyAlignment="1">
      <alignment horizontal="left" vertical="top" wrapText="1"/>
    </xf>
    <xf numFmtId="165" fontId="8" fillId="2" borderId="8" xfId="0" applyNumberFormat="1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165" fontId="8" fillId="0" borderId="8" xfId="0" applyNumberFormat="1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166" fontId="8" fillId="0" borderId="6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167" fontId="8" fillId="0" borderId="8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2" fontId="8" fillId="0" borderId="8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1" fontId="14" fillId="2" borderId="5" xfId="0" applyNumberFormat="1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167" fontId="8" fillId="2" borderId="8" xfId="0" applyNumberFormat="1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left" vertical="top" wrapText="1"/>
    </xf>
    <xf numFmtId="0" fontId="21" fillId="2" borderId="8" xfId="0" applyNumberFormat="1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wrapText="1"/>
    </xf>
    <xf numFmtId="166" fontId="8" fillId="2" borderId="6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 vertical="top" wrapText="1"/>
    </xf>
    <xf numFmtId="165" fontId="8" fillId="2" borderId="6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165" fontId="8" fillId="0" borderId="8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vertical="top" wrapText="1"/>
    </xf>
    <xf numFmtId="14" fontId="8" fillId="0" borderId="8" xfId="0" quotePrefix="1" applyNumberFormat="1" applyFont="1" applyBorder="1" applyAlignment="1">
      <alignment horizontal="center" vertical="top" wrapText="1"/>
    </xf>
    <xf numFmtId="0" fontId="14" fillId="0" borderId="5" xfId="5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4" fillId="0" borderId="8" xfId="0" quotePrefix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4" fillId="0" borderId="8" xfId="0" quotePrefix="1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top" wrapText="1"/>
    </xf>
    <xf numFmtId="165" fontId="8" fillId="4" borderId="8" xfId="0" applyNumberFormat="1" applyFont="1" applyFill="1" applyBorder="1" applyAlignment="1">
      <alignment horizontal="center" vertical="top" wrapText="1"/>
    </xf>
    <xf numFmtId="1" fontId="8" fillId="0" borderId="8" xfId="0" applyNumberFormat="1" applyFont="1" applyFill="1" applyBorder="1" applyAlignment="1">
      <alignment horizontal="center" vertical="top" wrapText="1"/>
    </xf>
    <xf numFmtId="0" fontId="14" fillId="0" borderId="6" xfId="0" quotePrefix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5" borderId="1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vertical="center" wrapText="1"/>
    </xf>
    <xf numFmtId="0" fontId="8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166" fontId="8" fillId="0" borderId="8" xfId="0" applyNumberFormat="1" applyFont="1" applyBorder="1" applyAlignment="1">
      <alignment horizontal="center" wrapText="1"/>
    </xf>
    <xf numFmtId="0" fontId="8" fillId="0" borderId="8" xfId="0" applyNumberFormat="1" applyFont="1" applyBorder="1" applyAlignment="1">
      <alignment horizontal="center" wrapText="1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6" xfId="0" applyNumberFormat="1" applyFont="1" applyBorder="1" applyAlignment="1">
      <alignment horizontal="center" wrapText="1"/>
    </xf>
    <xf numFmtId="0" fontId="28" fillId="5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1" fontId="14" fillId="0" borderId="5" xfId="0" applyNumberFormat="1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5" applyFont="1" applyFill="1" applyBorder="1" applyAlignment="1">
      <alignment vertical="center" wrapText="1"/>
    </xf>
    <xf numFmtId="0" fontId="8" fillId="0" borderId="6" xfId="5" applyFont="1" applyFill="1" applyBorder="1" applyAlignment="1">
      <alignment horizontal="center" vertical="center" wrapText="1"/>
    </xf>
    <xf numFmtId="2" fontId="8" fillId="0" borderId="6" xfId="5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2" fontId="0" fillId="0" borderId="6" xfId="0" applyNumberForma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2" fontId="12" fillId="0" borderId="5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top" wrapText="1"/>
    </xf>
    <xf numFmtId="2" fontId="12" fillId="0" borderId="8" xfId="0" applyNumberFormat="1" applyFont="1" applyFill="1" applyBorder="1" applyAlignment="1">
      <alignment horizontal="center" vertical="top" wrapText="1"/>
    </xf>
    <xf numFmtId="0" fontId="12" fillId="0" borderId="8" xfId="0" applyNumberFormat="1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166" fontId="12" fillId="0" borderId="6" xfId="0" applyNumberFormat="1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top" wrapText="1"/>
    </xf>
    <xf numFmtId="0" fontId="29" fillId="5" borderId="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center" vertical="top" wrapText="1"/>
    </xf>
    <xf numFmtId="165" fontId="14" fillId="0" borderId="8" xfId="0" applyNumberFormat="1" applyFont="1" applyFill="1" applyBorder="1" applyAlignment="1">
      <alignment horizontal="center" vertical="top" wrapText="1"/>
    </xf>
    <xf numFmtId="165" fontId="8" fillId="0" borderId="8" xfId="0" applyNumberFormat="1" applyFont="1" applyFill="1" applyBorder="1" applyAlignment="1">
      <alignment horizontal="center"/>
    </xf>
    <xf numFmtId="2" fontId="8" fillId="0" borderId="8" xfId="0" applyNumberFormat="1" applyFont="1" applyFill="1" applyBorder="1"/>
    <xf numFmtId="0" fontId="8" fillId="4" borderId="6" xfId="0" applyFont="1" applyFill="1" applyBorder="1" applyAlignment="1">
      <alignment horizontal="left" vertical="center" wrapText="1"/>
    </xf>
    <xf numFmtId="0" fontId="16" fillId="2" borderId="5" xfId="6" applyNumberFormat="1" applyFont="1" applyFill="1" applyBorder="1" applyAlignment="1">
      <alignment horizontal="center" vertical="top" wrapText="1"/>
    </xf>
    <xf numFmtId="0" fontId="30" fillId="2" borderId="5" xfId="7" applyNumberFormat="1" applyFont="1" applyFill="1" applyBorder="1" applyAlignment="1">
      <alignment horizontal="left" vertical="center" wrapText="1"/>
    </xf>
    <xf numFmtId="0" fontId="30" fillId="2" borderId="5" xfId="6" applyNumberFormat="1" applyFont="1" applyFill="1" applyBorder="1" applyAlignment="1">
      <alignment horizontal="center" vertical="center" wrapText="1"/>
    </xf>
    <xf numFmtId="0" fontId="16" fillId="2" borderId="5" xfId="6" applyNumberFormat="1" applyFont="1" applyFill="1" applyBorder="1" applyAlignment="1">
      <alignment horizontal="left" vertical="center" wrapText="1"/>
    </xf>
    <xf numFmtId="0" fontId="31" fillId="2" borderId="5" xfId="6" applyNumberFormat="1" applyFont="1" applyFill="1" applyBorder="1" applyAlignment="1">
      <alignment horizontal="left" vertical="center" wrapText="1"/>
    </xf>
    <xf numFmtId="0" fontId="16" fillId="2" borderId="5" xfId="6" applyNumberFormat="1" applyFont="1" applyFill="1" applyBorder="1" applyAlignment="1">
      <alignment horizontal="center" vertical="center" wrapText="1"/>
    </xf>
    <xf numFmtId="165" fontId="16" fillId="2" borderId="5" xfId="6" applyNumberFormat="1" applyFont="1" applyFill="1" applyBorder="1" applyAlignment="1">
      <alignment horizontal="center" vertical="center" wrapText="1"/>
    </xf>
    <xf numFmtId="0" fontId="16" fillId="0" borderId="5" xfId="6" applyNumberFormat="1" applyFont="1" applyFill="1" applyBorder="1" applyAlignment="1">
      <alignment horizontal="center" vertical="center" wrapText="1"/>
    </xf>
    <xf numFmtId="0" fontId="16" fillId="2" borderId="8" xfId="6" applyNumberFormat="1" applyFont="1" applyFill="1" applyBorder="1" applyAlignment="1">
      <alignment horizontal="center" vertical="top" wrapText="1"/>
    </xf>
    <xf numFmtId="0" fontId="16" fillId="2" borderId="8" xfId="6" applyNumberFormat="1" applyFont="1" applyFill="1" applyBorder="1" applyAlignment="1">
      <alignment vertical="top" wrapText="1"/>
    </xf>
    <xf numFmtId="2" fontId="16" fillId="2" borderId="8" xfId="6" applyNumberFormat="1" applyFont="1" applyFill="1" applyBorder="1" applyAlignment="1">
      <alignment horizontal="center" vertical="center" wrapText="1"/>
    </xf>
    <xf numFmtId="2" fontId="8" fillId="2" borderId="8" xfId="6" applyNumberFormat="1" applyFont="1" applyFill="1" applyBorder="1" applyAlignment="1">
      <alignment horizontal="center" vertical="center" wrapText="1"/>
    </xf>
    <xf numFmtId="165" fontId="8" fillId="2" borderId="8" xfId="6" applyNumberFormat="1" applyFont="1" applyFill="1" applyBorder="1" applyAlignment="1">
      <alignment horizontal="center" vertical="center" wrapText="1"/>
    </xf>
    <xf numFmtId="2" fontId="8" fillId="0" borderId="8" xfId="6" applyNumberFormat="1" applyFont="1" applyFill="1" applyBorder="1" applyAlignment="1">
      <alignment horizontal="center" vertical="center" wrapText="1"/>
    </xf>
    <xf numFmtId="166" fontId="16" fillId="2" borderId="8" xfId="6" applyNumberFormat="1" applyFont="1" applyFill="1" applyBorder="1" applyAlignment="1">
      <alignment horizontal="center" vertical="top" wrapText="1"/>
    </xf>
    <xf numFmtId="2" fontId="16" fillId="2" borderId="8" xfId="6" applyNumberFormat="1" applyFont="1" applyFill="1" applyBorder="1" applyAlignment="1">
      <alignment horizontal="center" vertical="top" wrapText="1"/>
    </xf>
    <xf numFmtId="0" fontId="16" fillId="2" borderId="8" xfId="6" applyNumberFormat="1" applyFont="1" applyFill="1" applyBorder="1" applyAlignment="1">
      <alignment horizontal="center" vertical="center" wrapText="1"/>
    </xf>
    <xf numFmtId="166" fontId="16" fillId="2" borderId="8" xfId="6" applyNumberFormat="1" applyFont="1" applyFill="1" applyBorder="1" applyAlignment="1">
      <alignment horizontal="center" vertical="center" wrapText="1"/>
    </xf>
    <xf numFmtId="2" fontId="8" fillId="2" borderId="8" xfId="6" quotePrefix="1" applyNumberFormat="1" applyFont="1" applyFill="1" applyBorder="1" applyAlignment="1">
      <alignment horizontal="center" vertical="center" wrapText="1"/>
    </xf>
    <xf numFmtId="0" fontId="16" fillId="2" borderId="6" xfId="6" applyNumberFormat="1" applyFont="1" applyFill="1" applyBorder="1" applyAlignment="1">
      <alignment horizontal="center" vertical="top" wrapText="1"/>
    </xf>
    <xf numFmtId="2" fontId="16" fillId="2" borderId="6" xfId="6" applyNumberFormat="1" applyFont="1" applyFill="1" applyBorder="1" applyAlignment="1">
      <alignment horizontal="center" vertical="center" wrapText="1"/>
    </xf>
    <xf numFmtId="2" fontId="8" fillId="2" borderId="6" xfId="6" quotePrefix="1" applyNumberFormat="1" applyFont="1" applyFill="1" applyBorder="1" applyAlignment="1">
      <alignment horizontal="center" vertical="center" wrapText="1"/>
    </xf>
    <xf numFmtId="2" fontId="8" fillId="2" borderId="6" xfId="6" applyNumberFormat="1" applyFont="1" applyFill="1" applyBorder="1" applyAlignment="1">
      <alignment horizontal="center" vertical="center" wrapText="1"/>
    </xf>
    <xf numFmtId="165" fontId="8" fillId="2" borderId="6" xfId="6" applyNumberFormat="1" applyFont="1" applyFill="1" applyBorder="1" applyAlignment="1">
      <alignment horizontal="center" vertical="top" wrapText="1"/>
    </xf>
    <xf numFmtId="165" fontId="8" fillId="2" borderId="6" xfId="6" applyNumberFormat="1" applyFont="1" applyFill="1" applyBorder="1" applyAlignment="1">
      <alignment horizontal="center" vertical="center" wrapText="1"/>
    </xf>
    <xf numFmtId="2" fontId="8" fillId="0" borderId="6" xfId="6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2" borderId="5" xfId="8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14" fillId="2" borderId="5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166" fontId="14" fillId="2" borderId="5" xfId="8" applyNumberFormat="1" applyFont="1" applyFill="1" applyBorder="1" applyAlignment="1">
      <alignment horizontal="center" vertical="center" wrapText="1"/>
    </xf>
    <xf numFmtId="0" fontId="34" fillId="2" borderId="5" xfId="8" applyFont="1" applyFill="1" applyBorder="1" applyAlignment="1">
      <alignment horizontal="center" vertical="center" wrapText="1"/>
    </xf>
    <xf numFmtId="1" fontId="34" fillId="2" borderId="5" xfId="8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8" fillId="2" borderId="8" xfId="8" applyFont="1" applyFill="1" applyBorder="1" applyAlignment="1">
      <alignment horizontal="left" vertical="center" wrapText="1"/>
    </xf>
    <xf numFmtId="165" fontId="8" fillId="0" borderId="8" xfId="0" applyNumberFormat="1" applyFont="1" applyFill="1" applyBorder="1"/>
    <xf numFmtId="0" fontId="8" fillId="0" borderId="8" xfId="0" applyFont="1" applyFill="1" applyBorder="1"/>
    <xf numFmtId="2" fontId="8" fillId="0" borderId="8" xfId="0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49" fontId="8" fillId="4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166" fontId="8" fillId="0" borderId="8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wrapText="1"/>
    </xf>
    <xf numFmtId="14" fontId="8" fillId="0" borderId="8" xfId="0" applyNumberFormat="1" applyFont="1" applyFill="1" applyBorder="1" applyAlignment="1">
      <alignment horizontal="center"/>
    </xf>
    <xf numFmtId="2" fontId="8" fillId="4" borderId="8" xfId="0" applyNumberFormat="1" applyFont="1" applyFill="1" applyBorder="1" applyAlignment="1">
      <alignment horizontal="center" vertical="top" wrapText="1"/>
    </xf>
    <xf numFmtId="14" fontId="8" fillId="0" borderId="6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167" fontId="8" fillId="0" borderId="8" xfId="0" applyNumberFormat="1" applyFont="1" applyFill="1" applyBorder="1" applyAlignment="1">
      <alignment horizont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top" wrapText="1"/>
    </xf>
    <xf numFmtId="166" fontId="8" fillId="0" borderId="8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left" vertical="top" wrapText="1"/>
    </xf>
    <xf numFmtId="0" fontId="8" fillId="4" borderId="5" xfId="0" applyNumberFormat="1" applyFont="1" applyFill="1" applyBorder="1" applyAlignment="1">
      <alignment horizontal="center" vertical="top" wrapText="1"/>
    </xf>
    <xf numFmtId="0" fontId="8" fillId="4" borderId="8" xfId="0" applyNumberFormat="1" applyFont="1" applyFill="1" applyBorder="1" applyAlignment="1">
      <alignment horizontal="center" vertical="top" wrapText="1"/>
    </xf>
    <xf numFmtId="0" fontId="8" fillId="4" borderId="6" xfId="0" applyNumberFormat="1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165" fontId="14" fillId="0" borderId="8" xfId="3" applyNumberFormat="1" applyFont="1" applyFill="1" applyBorder="1" applyAlignment="1">
      <alignment horizontal="center" vertical="top" wrapText="1"/>
    </xf>
    <xf numFmtId="165" fontId="37" fillId="0" borderId="8" xfId="3" applyNumberFormat="1" applyFont="1" applyFill="1" applyBorder="1" applyAlignment="1">
      <alignment horizontal="center" vertical="justify"/>
    </xf>
    <xf numFmtId="2" fontId="14" fillId="0" borderId="8" xfId="3" applyNumberFormat="1" applyFont="1" applyFill="1" applyBorder="1" applyAlignment="1">
      <alignment horizontal="center" vertical="top" wrapText="1"/>
    </xf>
    <xf numFmtId="0" fontId="19" fillId="0" borderId="8" xfId="0" quotePrefix="1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top" wrapText="1"/>
    </xf>
    <xf numFmtId="0" fontId="19" fillId="0" borderId="6" xfId="0" quotePrefix="1" applyFont="1" applyBorder="1" applyAlignment="1">
      <alignment horizontal="center" vertical="top" wrapText="1"/>
    </xf>
    <xf numFmtId="49" fontId="12" fillId="2" borderId="14" xfId="5" applyNumberFormat="1" applyFont="1" applyFill="1" applyBorder="1" applyAlignment="1" applyProtection="1">
      <alignment horizontal="center" vertical="center"/>
      <protection locked="0"/>
    </xf>
    <xf numFmtId="49" fontId="12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5" applyFont="1" applyFill="1" applyBorder="1" applyAlignment="1" applyProtection="1">
      <alignment vertical="center" wrapText="1"/>
      <protection locked="0"/>
    </xf>
    <xf numFmtId="0" fontId="3" fillId="2" borderId="5" xfId="5" applyFont="1" applyFill="1" applyBorder="1" applyAlignment="1" applyProtection="1">
      <alignment horizontal="center" vertical="center"/>
      <protection locked="0"/>
    </xf>
    <xf numFmtId="165" fontId="3" fillId="2" borderId="5" xfId="5" applyNumberFormat="1" applyFont="1" applyFill="1" applyBorder="1" applyAlignment="1" applyProtection="1">
      <alignment horizontal="center" vertical="center"/>
      <protection locked="0"/>
    </xf>
    <xf numFmtId="0" fontId="12" fillId="2" borderId="5" xfId="5" applyFont="1" applyFill="1" applyBorder="1" applyAlignment="1" applyProtection="1">
      <alignment horizontal="center" vertical="center"/>
      <protection locked="0"/>
    </xf>
    <xf numFmtId="2" fontId="12" fillId="2" borderId="5" xfId="5" applyNumberFormat="1" applyFont="1" applyFill="1" applyBorder="1" applyAlignment="1" applyProtection="1">
      <alignment horizontal="center" vertical="center"/>
      <protection locked="0"/>
    </xf>
    <xf numFmtId="2" fontId="12" fillId="2" borderId="15" xfId="5" applyNumberFormat="1" applyFont="1" applyFill="1" applyBorder="1" applyAlignment="1" applyProtection="1">
      <alignment horizontal="center" vertical="center"/>
      <protection locked="0"/>
    </xf>
    <xf numFmtId="49" fontId="12" fillId="2" borderId="16" xfId="5" applyNumberFormat="1" applyFont="1" applyFill="1" applyBorder="1" applyAlignment="1" applyProtection="1">
      <alignment horizontal="center" vertical="center"/>
      <protection locked="0"/>
    </xf>
    <xf numFmtId="0" fontId="12" fillId="2" borderId="8" xfId="5" applyFont="1" applyFill="1" applyBorder="1" applyAlignment="1" applyProtection="1">
      <alignment horizontal="center" vertical="center" wrapText="1"/>
      <protection locked="0"/>
    </xf>
    <xf numFmtId="0" fontId="12" fillId="2" borderId="8" xfId="5" applyFont="1" applyFill="1" applyBorder="1" applyAlignment="1" applyProtection="1">
      <alignment vertical="center" wrapText="1"/>
      <protection locked="0"/>
    </xf>
    <xf numFmtId="0" fontId="12" fillId="2" borderId="8" xfId="5" applyFont="1" applyFill="1" applyBorder="1" applyAlignment="1" applyProtection="1">
      <alignment horizontal="center" vertical="center"/>
      <protection locked="0"/>
    </xf>
    <xf numFmtId="2" fontId="12" fillId="2" borderId="8" xfId="5" applyNumberFormat="1" applyFont="1" applyFill="1" applyBorder="1" applyAlignment="1">
      <alignment horizontal="center" vertical="center"/>
    </xf>
    <xf numFmtId="0" fontId="12" fillId="2" borderId="8" xfId="5" applyFont="1" applyFill="1" applyBorder="1" applyAlignment="1">
      <alignment horizontal="center" vertical="center"/>
    </xf>
    <xf numFmtId="165" fontId="12" fillId="2" borderId="8" xfId="5" applyNumberFormat="1" applyFont="1" applyFill="1" applyBorder="1" applyAlignment="1">
      <alignment horizontal="center" vertical="center"/>
    </xf>
    <xf numFmtId="2" fontId="12" fillId="2" borderId="8" xfId="9" applyNumberFormat="1" applyFont="1" applyFill="1" applyBorder="1" applyAlignment="1">
      <alignment horizontal="center" vertical="center"/>
    </xf>
    <xf numFmtId="2" fontId="12" fillId="2" borderId="17" xfId="5" applyNumberFormat="1" applyFont="1" applyFill="1" applyBorder="1" applyAlignment="1">
      <alignment horizontal="center" vertical="center"/>
    </xf>
    <xf numFmtId="167" fontId="12" fillId="2" borderId="8" xfId="5" applyNumberFormat="1" applyFont="1" applyFill="1" applyBorder="1" applyAlignment="1">
      <alignment horizontal="center" vertical="center"/>
    </xf>
    <xf numFmtId="166" fontId="12" fillId="2" borderId="8" xfId="5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0" fontId="12" fillId="0" borderId="8" xfId="5" applyFont="1" applyBorder="1" applyAlignment="1" applyProtection="1">
      <alignment horizontal="center" vertical="center" wrapText="1"/>
      <protection locked="0"/>
    </xf>
    <xf numFmtId="0" fontId="12" fillId="6" borderId="8" xfId="5" applyFont="1" applyFill="1" applyBorder="1" applyAlignment="1">
      <alignment horizontal="left" vertical="center" wrapText="1" readingOrder="1"/>
    </xf>
    <xf numFmtId="2" fontId="12" fillId="0" borderId="8" xfId="9" applyNumberFormat="1" applyFont="1" applyBorder="1" applyAlignment="1">
      <alignment horizontal="center" vertical="center" wrapText="1"/>
    </xf>
    <xf numFmtId="0" fontId="12" fillId="6" borderId="8" xfId="5" applyFont="1" applyFill="1" applyBorder="1" applyAlignment="1" applyProtection="1">
      <alignment horizontal="center" vertical="center" wrapText="1" readingOrder="1"/>
      <protection locked="0"/>
    </xf>
    <xf numFmtId="0" fontId="12" fillId="7" borderId="8" xfId="5" applyFont="1" applyFill="1" applyBorder="1" applyAlignment="1" applyProtection="1">
      <alignment horizontal="left" vertical="center" wrapText="1" readingOrder="1"/>
      <protection locked="0"/>
    </xf>
    <xf numFmtId="49" fontId="12" fillId="2" borderId="18" xfId="5" applyNumberFormat="1" applyFont="1" applyFill="1" applyBorder="1" applyAlignment="1" applyProtection="1">
      <alignment horizontal="center" vertical="center"/>
      <protection locked="0"/>
    </xf>
    <xf numFmtId="0" fontId="12" fillId="2" borderId="6" xfId="5" applyFont="1" applyFill="1" applyBorder="1" applyAlignment="1" applyProtection="1">
      <alignment horizontal="center" vertical="center" wrapText="1"/>
      <protection locked="0"/>
    </xf>
    <xf numFmtId="0" fontId="12" fillId="2" borderId="6" xfId="5" applyFont="1" applyFill="1" applyBorder="1" applyAlignment="1" applyProtection="1">
      <alignment vertical="center" wrapText="1"/>
      <protection locked="0"/>
    </xf>
    <xf numFmtId="0" fontId="12" fillId="2" borderId="6" xfId="5" applyFont="1" applyFill="1" applyBorder="1" applyAlignment="1" applyProtection="1">
      <alignment horizontal="center" vertical="center"/>
      <protection locked="0"/>
    </xf>
    <xf numFmtId="167" fontId="12" fillId="2" borderId="6" xfId="5" applyNumberFormat="1" applyFont="1" applyFill="1" applyBorder="1" applyAlignment="1">
      <alignment horizontal="center" vertical="center"/>
    </xf>
    <xf numFmtId="2" fontId="12" fillId="2" borderId="6" xfId="5" applyNumberFormat="1" applyFont="1" applyFill="1" applyBorder="1" applyAlignment="1">
      <alignment horizontal="center" vertical="center"/>
    </xf>
    <xf numFmtId="2" fontId="12" fillId="0" borderId="6" xfId="9" applyNumberFormat="1" applyFont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top" wrapText="1"/>
    </xf>
    <xf numFmtId="0" fontId="8" fillId="0" borderId="8" xfId="3" applyFont="1" applyFill="1" applyBorder="1" applyAlignment="1">
      <alignment horizontal="center" vertical="top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6" xfId="0" quotePrefix="1" applyFont="1" applyFill="1" applyBorder="1" applyAlignment="1">
      <alignment horizontal="center" vertical="top" wrapText="1"/>
    </xf>
    <xf numFmtId="2" fontId="8" fillId="0" borderId="6" xfId="3" applyNumberFormat="1" applyFont="1" applyFill="1" applyBorder="1" applyAlignment="1">
      <alignment horizontal="center" vertical="top" wrapText="1"/>
    </xf>
    <xf numFmtId="0" fontId="36" fillId="0" borderId="5" xfId="3" applyFont="1" applyBorder="1" applyAlignment="1">
      <alignment vertical="top" wrapText="1"/>
    </xf>
    <xf numFmtId="0" fontId="36" fillId="0" borderId="8" xfId="3" applyFont="1" applyBorder="1" applyAlignment="1">
      <alignment horizontal="center" vertical="center" wrapText="1"/>
    </xf>
    <xf numFmtId="165" fontId="14" fillId="0" borderId="8" xfId="3" applyNumberFormat="1" applyFont="1" applyFill="1" applyBorder="1" applyAlignment="1">
      <alignment horizontal="center" vertical="center" wrapText="1"/>
    </xf>
    <xf numFmtId="2" fontId="20" fillId="0" borderId="8" xfId="3" applyNumberFormat="1" applyFont="1" applyFill="1" applyBorder="1" applyAlignment="1">
      <alignment horizontal="center" vertical="top" wrapText="1"/>
    </xf>
    <xf numFmtId="165" fontId="8" fillId="4" borderId="8" xfId="3" applyNumberFormat="1" applyFont="1" applyFill="1" applyBorder="1" applyAlignment="1">
      <alignment horizontal="center" vertical="top" wrapText="1"/>
    </xf>
    <xf numFmtId="0" fontId="8" fillId="0" borderId="8" xfId="3" quotePrefix="1" applyFont="1" applyBorder="1" applyAlignment="1">
      <alignment horizontal="center" vertical="top" wrapText="1"/>
    </xf>
    <xf numFmtId="0" fontId="8" fillId="0" borderId="8" xfId="3" applyFont="1" applyBorder="1" applyAlignment="1">
      <alignment horizontal="center" vertical="top" wrapText="1"/>
    </xf>
    <xf numFmtId="2" fontId="21" fillId="0" borderId="8" xfId="3" applyNumberFormat="1" applyFont="1" applyBorder="1" applyAlignment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 wrapText="1"/>
    </xf>
    <xf numFmtId="0" fontId="8" fillId="4" borderId="8" xfId="3" applyNumberFormat="1" applyFont="1" applyFill="1" applyBorder="1" applyAlignment="1">
      <alignment horizontal="center" vertical="top" wrapText="1"/>
    </xf>
    <xf numFmtId="166" fontId="8" fillId="0" borderId="8" xfId="3" applyNumberFormat="1" applyFont="1" applyFill="1" applyBorder="1" applyAlignment="1">
      <alignment horizontal="center" vertical="top" wrapText="1"/>
    </xf>
    <xf numFmtId="0" fontId="8" fillId="0" borderId="12" xfId="3" applyFont="1" applyFill="1" applyBorder="1" applyAlignment="1">
      <alignment horizontal="center" vertical="top" wrapText="1"/>
    </xf>
    <xf numFmtId="0" fontId="8" fillId="0" borderId="8" xfId="3" applyFont="1" applyFill="1" applyBorder="1" applyAlignment="1">
      <alignment horizontal="left" vertical="top" wrapText="1"/>
    </xf>
    <xf numFmtId="165" fontId="8" fillId="0" borderId="8" xfId="3" applyNumberFormat="1" applyFont="1" applyBorder="1" applyAlignment="1">
      <alignment horizontal="center" vertical="top" wrapText="1"/>
    </xf>
    <xf numFmtId="0" fontId="8" fillId="0" borderId="6" xfId="3" quotePrefix="1" applyFont="1" applyBorder="1" applyAlignment="1">
      <alignment horizontal="center" vertical="top" wrapText="1"/>
    </xf>
    <xf numFmtId="0" fontId="8" fillId="0" borderId="6" xfId="3" applyFont="1" applyBorder="1" applyAlignment="1">
      <alignment vertical="top" wrapText="1"/>
    </xf>
    <xf numFmtId="0" fontId="8" fillId="0" borderId="6" xfId="3" applyFont="1" applyBorder="1" applyAlignment="1">
      <alignment horizontal="center" vertical="top" wrapText="1"/>
    </xf>
    <xf numFmtId="2" fontId="8" fillId="0" borderId="6" xfId="3" applyNumberFormat="1" applyFont="1" applyBorder="1" applyAlignment="1">
      <alignment horizontal="center" vertical="top" wrapText="1"/>
    </xf>
    <xf numFmtId="165" fontId="8" fillId="0" borderId="6" xfId="3" applyNumberFormat="1" applyFont="1" applyFill="1" applyBorder="1" applyAlignment="1">
      <alignment horizontal="center" vertical="top" wrapText="1"/>
    </xf>
    <xf numFmtId="0" fontId="8" fillId="0" borderId="6" xfId="3" applyFont="1" applyFill="1" applyBorder="1" applyAlignment="1">
      <alignment horizontal="center" vertical="top" wrapText="1"/>
    </xf>
    <xf numFmtId="0" fontId="8" fillId="4" borderId="6" xfId="3" applyFont="1" applyFill="1" applyBorder="1" applyAlignment="1">
      <alignment horizontal="center" vertical="top" wrapText="1"/>
    </xf>
    <xf numFmtId="0" fontId="8" fillId="0" borderId="6" xfId="3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165" fontId="14" fillId="4" borderId="5" xfId="0" applyNumberFormat="1" applyFont="1" applyFill="1" applyBorder="1" applyAlignment="1">
      <alignment horizontal="center" vertical="center" wrapText="1"/>
    </xf>
    <xf numFmtId="168" fontId="8" fillId="0" borderId="8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wrapText="1"/>
    </xf>
    <xf numFmtId="166" fontId="12" fillId="0" borderId="8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top" wrapText="1"/>
    </xf>
    <xf numFmtId="49" fontId="8" fillId="0" borderId="6" xfId="0" applyNumberFormat="1" applyFont="1" applyBorder="1" applyAlignment="1">
      <alignment vertical="top" wrapText="1"/>
    </xf>
    <xf numFmtId="0" fontId="14" fillId="0" borderId="9" xfId="0" applyFont="1" applyFill="1" applyBorder="1" applyAlignment="1">
      <alignment horizontal="left" vertical="top" wrapText="1"/>
    </xf>
    <xf numFmtId="166" fontId="8" fillId="0" borderId="6" xfId="0" applyNumberFormat="1" applyFont="1" applyFill="1" applyBorder="1" applyAlignment="1">
      <alignment horizont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8" xfId="6" applyNumberFormat="1" applyFont="1" applyFill="1" applyBorder="1" applyAlignment="1">
      <alignment horizontal="center" vertical="top" wrapText="1"/>
    </xf>
    <xf numFmtId="0" fontId="8" fillId="0" borderId="8" xfId="0" quotePrefix="1" applyFont="1" applyBorder="1" applyAlignment="1">
      <alignment horizontal="center" vertical="center" wrapText="1"/>
    </xf>
    <xf numFmtId="2" fontId="8" fillId="0" borderId="8" xfId="10" applyNumberFormat="1" applyFont="1" applyFill="1" applyBorder="1" applyAlignment="1">
      <alignment horizontal="center" vertical="top" wrapText="1"/>
    </xf>
    <xf numFmtId="165" fontId="8" fillId="0" borderId="8" xfId="10" applyNumberFormat="1" applyFont="1" applyFill="1" applyBorder="1" applyAlignment="1">
      <alignment horizontal="center" vertical="top" wrapText="1"/>
    </xf>
    <xf numFmtId="0" fontId="8" fillId="0" borderId="8" xfId="10" applyNumberFormat="1" applyFont="1" applyFill="1" applyBorder="1" applyAlignment="1">
      <alignment horizontal="center" vertical="top" wrapText="1"/>
    </xf>
    <xf numFmtId="2" fontId="8" fillId="0" borderId="6" xfId="10" applyNumberFormat="1" applyFont="1" applyFill="1" applyBorder="1" applyAlignment="1">
      <alignment horizontal="center" vertical="top" wrapText="1"/>
    </xf>
    <xf numFmtId="165" fontId="8" fillId="0" borderId="6" xfId="10" applyNumberFormat="1" applyFont="1" applyFill="1" applyBorder="1" applyAlignment="1">
      <alignment horizontal="center" vertical="top" wrapText="1"/>
    </xf>
    <xf numFmtId="0" fontId="8" fillId="0" borderId="6" xfId="10" applyNumberFormat="1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14" fillId="0" borderId="13" xfId="0" applyNumberFormat="1" applyFont="1" applyBorder="1" applyAlignment="1">
      <alignment horizontal="center" vertical="center"/>
    </xf>
    <xf numFmtId="165" fontId="8" fillId="0" borderId="5" xfId="11" applyNumberFormat="1" applyFont="1" applyFill="1" applyBorder="1" applyAlignment="1">
      <alignment horizontal="center" vertical="top" wrapText="1"/>
    </xf>
    <xf numFmtId="165" fontId="14" fillId="0" borderId="5" xfId="3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/>
    </xf>
    <xf numFmtId="0" fontId="30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2" fontId="30" fillId="0" borderId="8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/>
    </xf>
    <xf numFmtId="14" fontId="17" fillId="0" borderId="1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center"/>
    </xf>
    <xf numFmtId="2" fontId="8" fillId="2" borderId="8" xfId="1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center" vertical="center"/>
    </xf>
    <xf numFmtId="165" fontId="8" fillId="2" borderId="8" xfId="1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2" fontId="14" fillId="0" borderId="6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0" fillId="0" borderId="0" xfId="0" applyFill="1" applyBorder="1"/>
    <xf numFmtId="2" fontId="12" fillId="0" borderId="8" xfId="1" applyNumberFormat="1" applyFont="1" applyFill="1" applyBorder="1" applyAlignment="1">
      <alignment horizontal="center" vertical="center" wrapText="1"/>
    </xf>
    <xf numFmtId="0" fontId="34" fillId="0" borderId="6" xfId="4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2" fontId="12" fillId="0" borderId="6" xfId="1" applyNumberFormat="1" applyFont="1" applyFill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top" wrapText="1"/>
    </xf>
    <xf numFmtId="166" fontId="8" fillId="0" borderId="8" xfId="0" applyNumberFormat="1" applyFont="1" applyBorder="1" applyAlignment="1">
      <alignment horizontal="center" vertical="top" wrapText="1"/>
    </xf>
    <xf numFmtId="2" fontId="14" fillId="0" borderId="8" xfId="0" applyNumberFormat="1" applyFont="1" applyFill="1" applyBorder="1" applyAlignment="1">
      <alignment horizontal="center" vertical="center" wrapText="1"/>
    </xf>
    <xf numFmtId="0" fontId="39" fillId="0" borderId="8" xfId="3" applyFont="1" applyBorder="1" applyAlignment="1">
      <alignment vertical="center" wrapText="1"/>
    </xf>
    <xf numFmtId="2" fontId="8" fillId="0" borderId="8" xfId="3" applyNumberFormat="1" applyFont="1" applyFill="1" applyBorder="1" applyAlignment="1">
      <alignment horizontal="center" vertical="center" wrapText="1"/>
    </xf>
    <xf numFmtId="165" fontId="37" fillId="0" borderId="8" xfId="3" applyNumberFormat="1" applyFont="1" applyFill="1" applyBorder="1" applyAlignment="1">
      <alignment horizontal="center" vertical="center"/>
    </xf>
    <xf numFmtId="0" fontId="8" fillId="0" borderId="8" xfId="3" applyNumberFormat="1" applyFont="1" applyFill="1" applyBorder="1" applyAlignment="1">
      <alignment horizontal="center" vertical="center" wrapText="1"/>
    </xf>
    <xf numFmtId="0" fontId="8" fillId="0" borderId="8" xfId="3" quotePrefix="1" applyFont="1" applyFill="1" applyBorder="1" applyAlignment="1">
      <alignment horizontal="center" vertical="top" wrapText="1"/>
    </xf>
    <xf numFmtId="2" fontId="8" fillId="0" borderId="8" xfId="3" applyNumberFormat="1" applyFont="1" applyBorder="1" applyAlignment="1">
      <alignment horizontal="center" vertical="top" wrapText="1"/>
    </xf>
    <xf numFmtId="0" fontId="21" fillId="0" borderId="8" xfId="3" applyFont="1" applyBorder="1" applyAlignment="1">
      <alignment vertical="top" wrapText="1"/>
    </xf>
    <xf numFmtId="0" fontId="21" fillId="0" borderId="8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165" fontId="8" fillId="0" borderId="8" xfId="3" applyNumberFormat="1" applyFont="1" applyFill="1" applyBorder="1" applyAlignment="1">
      <alignment horizontal="center" vertical="center" wrapText="1"/>
    </xf>
    <xf numFmtId="0" fontId="8" fillId="0" borderId="6" xfId="3" quotePrefix="1" applyFont="1" applyFill="1" applyBorder="1" applyAlignment="1">
      <alignment horizontal="center" vertical="top" wrapText="1"/>
    </xf>
    <xf numFmtId="166" fontId="8" fillId="0" borderId="6" xfId="3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/>
    <xf numFmtId="0" fontId="14" fillId="0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/>
    </xf>
    <xf numFmtId="0" fontId="10" fillId="0" borderId="8" xfId="0" quotePrefix="1" applyFont="1" applyBorder="1" applyAlignment="1">
      <alignment horizontal="center" vertical="top" wrapText="1"/>
    </xf>
    <xf numFmtId="0" fontId="6" fillId="0" borderId="8" xfId="0" applyFont="1" applyFill="1" applyBorder="1"/>
    <xf numFmtId="0" fontId="42" fillId="0" borderId="8" xfId="0" applyFont="1" applyFill="1" applyBorder="1"/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/>
    <xf numFmtId="0" fontId="10" fillId="0" borderId="5" xfId="0" applyFont="1" applyFill="1" applyBorder="1" applyAlignment="1">
      <alignment horizontal="center" vertical="top" wrapText="1"/>
    </xf>
    <xf numFmtId="0" fontId="8" fillId="0" borderId="5" xfId="1" applyNumberFormat="1" applyFont="1" applyFill="1" applyBorder="1" applyAlignment="1">
      <alignment horizontal="center" wrapText="1"/>
    </xf>
    <xf numFmtId="2" fontId="8" fillId="0" borderId="8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wrapText="1"/>
    </xf>
    <xf numFmtId="0" fontId="8" fillId="0" borderId="6" xfId="1" applyNumberFormat="1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166" fontId="8" fillId="0" borderId="8" xfId="1" applyNumberFormat="1" applyFont="1" applyFill="1" applyBorder="1" applyAlignment="1">
      <alignment horizontal="center" wrapText="1"/>
    </xf>
    <xf numFmtId="2" fontId="8" fillId="0" borderId="6" xfId="1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36" fillId="0" borderId="5" xfId="0" applyFont="1" applyFill="1" applyBorder="1" applyAlignment="1" applyProtection="1">
      <alignment vertical="top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12" applyNumberFormat="1" applyFont="1" applyFill="1" applyBorder="1" applyAlignment="1" applyProtection="1">
      <alignment horizontal="center" vertical="center" wrapText="1"/>
    </xf>
    <xf numFmtId="0" fontId="8" fillId="0" borderId="5" xfId="12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vertical="top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12" applyNumberFormat="1" applyFont="1" applyFill="1" applyBorder="1" applyAlignment="1" applyProtection="1">
      <alignment horizontal="center" vertical="center" wrapText="1"/>
    </xf>
    <xf numFmtId="2" fontId="8" fillId="0" borderId="8" xfId="12" applyNumberFormat="1" applyFont="1" applyFill="1" applyBorder="1" applyAlignment="1" applyProtection="1">
      <alignment horizontal="center" vertical="center" wrapText="1"/>
    </xf>
    <xf numFmtId="0" fontId="46" fillId="0" borderId="8" xfId="0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center" vertical="center"/>
    </xf>
    <xf numFmtId="165" fontId="8" fillId="0" borderId="8" xfId="12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12" applyNumberFormat="1" applyFont="1" applyFill="1" applyBorder="1" applyAlignment="1" applyProtection="1">
      <alignment horizontal="center" vertical="center" wrapText="1"/>
    </xf>
    <xf numFmtId="165" fontId="8" fillId="0" borderId="6" xfId="12" applyNumberFormat="1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2" fontId="8" fillId="2" borderId="8" xfId="3" applyNumberFormat="1" applyFont="1" applyFill="1" applyBorder="1" applyAlignment="1">
      <alignment horizontal="center" vertical="top" wrapText="1"/>
    </xf>
    <xf numFmtId="165" fontId="37" fillId="2" borderId="8" xfId="3" applyNumberFormat="1" applyFont="1" applyFill="1" applyBorder="1" applyAlignment="1">
      <alignment horizontal="center" vertical="justify"/>
    </xf>
    <xf numFmtId="165" fontId="8" fillId="2" borderId="8" xfId="3" applyNumberFormat="1" applyFont="1" applyFill="1" applyBorder="1" applyAlignment="1">
      <alignment horizontal="center" vertical="top" wrapText="1"/>
    </xf>
    <xf numFmtId="0" fontId="8" fillId="2" borderId="8" xfId="3" applyNumberFormat="1" applyFont="1" applyFill="1" applyBorder="1" applyAlignment="1">
      <alignment horizontal="center" vertical="top" wrapText="1"/>
    </xf>
    <xf numFmtId="169" fontId="8" fillId="0" borderId="8" xfId="12" applyNumberFormat="1" applyFont="1" applyFill="1" applyBorder="1" applyAlignment="1" applyProtection="1">
      <alignment vertical="top" wrapText="1"/>
    </xf>
    <xf numFmtId="166" fontId="8" fillId="2" borderId="8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8" fillId="0" borderId="6" xfId="0" quotePrefix="1" applyFont="1" applyFill="1" applyBorder="1" applyAlignment="1">
      <alignment horizontal="center" vertical="center" wrapText="1"/>
    </xf>
    <xf numFmtId="165" fontId="12" fillId="0" borderId="6" xfId="1" applyNumberFormat="1" applyFont="1" applyFill="1" applyBorder="1" applyAlignment="1">
      <alignment horizontal="center" vertical="center" wrapText="1"/>
    </xf>
    <xf numFmtId="166" fontId="12" fillId="2" borderId="6" xfId="5" applyNumberFormat="1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14" fillId="0" borderId="5" xfId="0" applyFont="1" applyBorder="1" applyAlignment="1">
      <alignment wrapText="1"/>
    </xf>
    <xf numFmtId="167" fontId="8" fillId="0" borderId="8" xfId="0" applyNumberFormat="1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/>
    <xf numFmtId="49" fontId="8" fillId="0" borderId="8" xfId="0" applyNumberFormat="1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center"/>
    </xf>
    <xf numFmtId="166" fontId="14" fillId="2" borderId="8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wrapText="1"/>
    </xf>
    <xf numFmtId="0" fontId="8" fillId="2" borderId="8" xfId="8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top" wrapText="1"/>
    </xf>
    <xf numFmtId="165" fontId="20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1" fontId="30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9" fontId="53" fillId="0" borderId="1" xfId="0" applyNumberFormat="1" applyFont="1" applyFill="1" applyBorder="1" applyAlignment="1">
      <alignment horizontal="center" vertical="center" wrapText="1"/>
    </xf>
    <xf numFmtId="2" fontId="51" fillId="0" borderId="6" xfId="0" applyNumberFormat="1" applyFont="1" applyFill="1" applyBorder="1" applyAlignment="1">
      <alignment horizontal="center" vertical="center" wrapText="1"/>
    </xf>
    <xf numFmtId="2" fontId="53" fillId="0" borderId="6" xfId="0" applyNumberFormat="1" applyFont="1" applyFill="1" applyBorder="1" applyAlignment="1">
      <alignment horizontal="right" vertical="center" wrapText="1"/>
    </xf>
    <xf numFmtId="1" fontId="30" fillId="0" borderId="1" xfId="0" applyNumberFormat="1" applyFont="1" applyFill="1" applyBorder="1" applyAlignment="1">
      <alignment horizontal="righ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wrapText="1"/>
    </xf>
    <xf numFmtId="0" fontId="52" fillId="0" borderId="6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1" fontId="30" fillId="0" borderId="6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/>
    </xf>
    <xf numFmtId="2" fontId="53" fillId="0" borderId="1" xfId="0" applyNumberFormat="1" applyFont="1" applyFill="1" applyBorder="1" applyAlignment="1">
      <alignment horizontal="right" vertical="center" wrapText="1"/>
    </xf>
    <xf numFmtId="0" fontId="30" fillId="0" borderId="4" xfId="0" applyFont="1" applyFill="1" applyBorder="1" applyAlignment="1">
      <alignment horizontal="center" vertical="center" wrapText="1"/>
    </xf>
    <xf numFmtId="2" fontId="53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12" fillId="0" borderId="5" xfId="0" applyFont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top" wrapText="1"/>
    </xf>
    <xf numFmtId="165" fontId="56" fillId="0" borderId="5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0" fontId="34" fillId="0" borderId="5" xfId="1" applyNumberFormat="1" applyFont="1" applyFill="1" applyBorder="1" applyAlignment="1">
      <alignment horizontal="center"/>
    </xf>
    <xf numFmtId="2" fontId="33" fillId="0" borderId="5" xfId="1" applyNumberFormat="1" applyFont="1" applyFill="1" applyBorder="1" applyAlignment="1">
      <alignment horizontal="center"/>
    </xf>
    <xf numFmtId="2" fontId="34" fillId="2" borderId="5" xfId="1" applyNumberFormat="1" applyFont="1" applyFill="1" applyBorder="1" applyAlignment="1">
      <alignment horizontal="center"/>
    </xf>
    <xf numFmtId="2" fontId="34" fillId="0" borderId="5" xfId="1" applyNumberFormat="1" applyFont="1" applyFill="1" applyBorder="1" applyAlignment="1">
      <alignment horizontal="center"/>
    </xf>
    <xf numFmtId="0" fontId="8" fillId="0" borderId="6" xfId="4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165" fontId="29" fillId="0" borderId="5" xfId="0" applyNumberFormat="1" applyFont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top" wrapText="1"/>
    </xf>
    <xf numFmtId="166" fontId="20" fillId="0" borderId="8" xfId="3" applyNumberFormat="1" applyFont="1" applyFill="1" applyBorder="1" applyAlignment="1">
      <alignment horizontal="center" vertical="top" wrapText="1"/>
    </xf>
    <xf numFmtId="2" fontId="14" fillId="0" borderId="8" xfId="0" applyNumberFormat="1" applyFont="1" applyFill="1" applyBorder="1" applyAlignment="1">
      <alignment horizontal="center" vertical="top" wrapText="1"/>
    </xf>
    <xf numFmtId="2" fontId="58" fillId="0" borderId="5" xfId="0" applyNumberFormat="1" applyFont="1" applyBorder="1" applyAlignment="1">
      <alignment horizontal="center" vertical="top"/>
    </xf>
    <xf numFmtId="0" fontId="57" fillId="0" borderId="0" xfId="0" applyFont="1"/>
    <xf numFmtId="2" fontId="59" fillId="0" borderId="8" xfId="0" applyNumberFormat="1" applyFont="1" applyBorder="1" applyAlignment="1">
      <alignment horizontal="center" vertical="center"/>
    </xf>
    <xf numFmtId="0" fontId="57" fillId="0" borderId="0" xfId="0" applyFont="1" applyBorder="1"/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49" fontId="14" fillId="0" borderId="5" xfId="13" applyNumberFormat="1" applyFont="1" applyBorder="1" applyAlignment="1">
      <alignment horizontal="center" vertical="center"/>
    </xf>
    <xf numFmtId="49" fontId="14" fillId="0" borderId="5" xfId="13" applyNumberFormat="1" applyFont="1" applyBorder="1" applyAlignment="1">
      <alignment horizontal="center" vertical="center" wrapText="1"/>
    </xf>
    <xf numFmtId="0" fontId="30" fillId="0" borderId="5" xfId="8" applyFont="1" applyBorder="1" applyAlignment="1">
      <alignment horizontal="left" vertical="center" wrapText="1"/>
    </xf>
    <xf numFmtId="0" fontId="14" fillId="0" borderId="5" xfId="13" applyFont="1" applyBorder="1" applyAlignment="1">
      <alignment horizontal="center" vertical="center" wrapText="1"/>
    </xf>
    <xf numFmtId="166" fontId="14" fillId="0" borderId="5" xfId="13" applyNumberFormat="1" applyFont="1" applyBorder="1" applyAlignment="1">
      <alignment horizontal="center" vertical="center"/>
    </xf>
    <xf numFmtId="165" fontId="30" fillId="0" borderId="0" xfId="13" applyNumberFormat="1" applyFont="1" applyFill="1" applyBorder="1" applyAlignment="1">
      <alignment horizontal="center" vertical="center"/>
    </xf>
    <xf numFmtId="2" fontId="8" fillId="0" borderId="5" xfId="13" applyNumberFormat="1" applyFont="1" applyBorder="1" applyAlignment="1">
      <alignment horizontal="center" vertical="center"/>
    </xf>
    <xf numFmtId="2" fontId="60" fillId="0" borderId="5" xfId="5" applyNumberFormat="1" applyFont="1" applyBorder="1" applyAlignment="1">
      <alignment horizontal="center" vertical="center" wrapText="1"/>
    </xf>
    <xf numFmtId="2" fontId="12" fillId="0" borderId="5" xfId="5" applyNumberFormat="1" applyFont="1" applyBorder="1" applyAlignment="1">
      <alignment horizontal="center" vertical="center"/>
    </xf>
    <xf numFmtId="2" fontId="8" fillId="0" borderId="5" xfId="13" applyNumberFormat="1" applyFont="1" applyFill="1" applyBorder="1" applyAlignment="1">
      <alignment horizontal="center" vertical="center"/>
    </xf>
    <xf numFmtId="49" fontId="8" fillId="0" borderId="8" xfId="13" applyNumberFormat="1" applyFont="1" applyBorder="1" applyAlignment="1">
      <alignment vertical="center"/>
    </xf>
    <xf numFmtId="2" fontId="8" fillId="0" borderId="8" xfId="13" applyNumberFormat="1" applyFont="1" applyBorder="1" applyAlignment="1">
      <alignment horizontal="center" vertical="center" wrapText="1"/>
    </xf>
    <xf numFmtId="0" fontId="8" fillId="0" borderId="12" xfId="13" applyFont="1" applyBorder="1" applyAlignment="1">
      <alignment horizontal="left" vertical="center" wrapText="1"/>
    </xf>
    <xf numFmtId="0" fontId="16" fillId="0" borderId="8" xfId="0" applyFont="1" applyBorder="1"/>
    <xf numFmtId="2" fontId="8" fillId="0" borderId="8" xfId="13" applyNumberFormat="1" applyFont="1" applyBorder="1" applyAlignment="1">
      <alignment horizontal="center" vertical="center"/>
    </xf>
    <xf numFmtId="2" fontId="16" fillId="0" borderId="8" xfId="13" applyNumberFormat="1" applyFont="1" applyBorder="1" applyAlignment="1">
      <alignment horizontal="center" vertical="center" wrapText="1"/>
    </xf>
    <xf numFmtId="2" fontId="61" fillId="0" borderId="8" xfId="13" applyNumberFormat="1" applyFont="1" applyBorder="1" applyAlignment="1">
      <alignment horizontal="center" vertical="center" wrapText="1"/>
    </xf>
    <xf numFmtId="2" fontId="60" fillId="0" borderId="8" xfId="5" applyNumberFormat="1" applyFont="1" applyBorder="1" applyAlignment="1">
      <alignment horizontal="center" vertical="center" wrapText="1"/>
    </xf>
    <xf numFmtId="2" fontId="12" fillId="0" borderId="8" xfId="5" applyNumberFormat="1" applyFont="1" applyBorder="1" applyAlignment="1">
      <alignment horizontal="center" vertical="center"/>
    </xf>
    <xf numFmtId="2" fontId="16" fillId="0" borderId="8" xfId="13" applyNumberFormat="1" applyFont="1" applyFill="1" applyBorder="1" applyAlignment="1">
      <alignment horizontal="center" vertical="center" wrapText="1"/>
    </xf>
    <xf numFmtId="0" fontId="8" fillId="0" borderId="8" xfId="13" applyFont="1" applyBorder="1" applyAlignment="1">
      <alignment horizontal="center" vertical="center"/>
    </xf>
    <xf numFmtId="49" fontId="8" fillId="0" borderId="19" xfId="13" applyNumberFormat="1" applyFont="1" applyBorder="1" applyAlignment="1">
      <alignment vertical="center"/>
    </xf>
    <xf numFmtId="2" fontId="8" fillId="0" borderId="6" xfId="13" applyNumberFormat="1" applyFont="1" applyBorder="1" applyAlignment="1">
      <alignment horizontal="center" vertical="center" wrapText="1"/>
    </xf>
    <xf numFmtId="2" fontId="8" fillId="0" borderId="6" xfId="13" applyNumberFormat="1" applyFont="1" applyBorder="1" applyAlignment="1">
      <alignment horizontal="center" vertical="center"/>
    </xf>
    <xf numFmtId="2" fontId="16" fillId="0" borderId="6" xfId="13" applyNumberFormat="1" applyFont="1" applyBorder="1" applyAlignment="1">
      <alignment horizontal="center" vertical="center"/>
    </xf>
    <xf numFmtId="2" fontId="61" fillId="0" borderId="6" xfId="13" applyNumberFormat="1" applyFont="1" applyBorder="1" applyAlignment="1">
      <alignment horizontal="center" vertical="center" wrapText="1"/>
    </xf>
    <xf numFmtId="2" fontId="60" fillId="0" borderId="6" xfId="5" applyNumberFormat="1" applyFont="1" applyBorder="1" applyAlignment="1">
      <alignment horizontal="center" vertical="center" wrapText="1"/>
    </xf>
    <xf numFmtId="2" fontId="16" fillId="0" borderId="6" xfId="13" applyNumberFormat="1" applyFont="1" applyFill="1" applyBorder="1" applyAlignment="1">
      <alignment horizontal="center" vertical="center" wrapText="1"/>
    </xf>
    <xf numFmtId="2" fontId="12" fillId="0" borderId="6" xfId="5" applyNumberFormat="1" applyFont="1" applyBorder="1" applyAlignment="1">
      <alignment horizontal="center" vertical="center"/>
    </xf>
    <xf numFmtId="0" fontId="19" fillId="0" borderId="5" xfId="10" applyFont="1" applyBorder="1" applyAlignment="1">
      <alignment horizontal="center" vertical="top" wrapText="1"/>
    </xf>
    <xf numFmtId="0" fontId="14" fillId="0" borderId="5" xfId="10" applyFont="1" applyFill="1" applyBorder="1" applyAlignment="1">
      <alignment horizontal="center" vertical="center" wrapText="1"/>
    </xf>
    <xf numFmtId="0" fontId="14" fillId="4" borderId="5" xfId="10" applyFont="1" applyFill="1" applyBorder="1" applyAlignment="1">
      <alignment horizontal="center" vertical="center" wrapText="1"/>
    </xf>
    <xf numFmtId="0" fontId="19" fillId="0" borderId="8" xfId="10" applyFont="1" applyBorder="1" applyAlignment="1">
      <alignment horizontal="center" vertical="top" wrapText="1"/>
    </xf>
    <xf numFmtId="0" fontId="8" fillId="4" borderId="8" xfId="10" applyFont="1" applyFill="1" applyBorder="1" applyAlignment="1">
      <alignment horizontal="left" vertical="top" wrapText="1"/>
    </xf>
    <xf numFmtId="0" fontId="8" fillId="0" borderId="8" xfId="10" applyFont="1" applyFill="1" applyBorder="1" applyAlignment="1">
      <alignment horizontal="center" vertical="top" wrapText="1"/>
    </xf>
    <xf numFmtId="49" fontId="8" fillId="0" borderId="8" xfId="10" applyNumberFormat="1" applyFont="1" applyBorder="1" applyAlignment="1">
      <alignment horizontal="center" vertical="top" wrapText="1"/>
    </xf>
    <xf numFmtId="0" fontId="8" fillId="4" borderId="8" xfId="10" applyNumberFormat="1" applyFont="1" applyFill="1" applyBorder="1" applyAlignment="1">
      <alignment horizontal="center" vertical="top" wrapText="1"/>
    </xf>
    <xf numFmtId="0" fontId="14" fillId="4" borderId="5" xfId="10" applyFont="1" applyFill="1" applyBorder="1" applyAlignment="1">
      <alignment horizontal="left" vertical="top" wrapText="1"/>
    </xf>
    <xf numFmtId="0" fontId="6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0" borderId="1" xfId="0" applyFont="1" applyBorder="1"/>
    <xf numFmtId="0" fontId="30" fillId="0" borderId="1" xfId="0" applyFont="1" applyBorder="1" applyAlignment="1">
      <alignment horizontal="center"/>
    </xf>
    <xf numFmtId="0" fontId="28" fillId="0" borderId="1" xfId="0" applyNumberFormat="1" applyFont="1" applyBorder="1"/>
    <xf numFmtId="0" fontId="28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63" fillId="0" borderId="1" xfId="0" applyNumberFormat="1" applyFont="1" applyFill="1" applyBorder="1" applyAlignment="1">
      <alignment horizontal="center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2" fontId="63" fillId="2" borderId="1" xfId="0" applyNumberFormat="1" applyFont="1" applyFill="1" applyBorder="1" applyAlignment="1">
      <alignment horizontal="right" vertical="center" wrapText="1"/>
    </xf>
    <xf numFmtId="0" fontId="14" fillId="0" borderId="1" xfId="1" applyNumberFormat="1" applyFont="1" applyFill="1" applyBorder="1" applyAlignment="1">
      <alignment horizontal="center" wrapText="1"/>
    </xf>
    <xf numFmtId="2" fontId="8" fillId="0" borderId="1" xfId="1" applyNumberFormat="1" applyFont="1" applyFill="1" applyBorder="1" applyAlignment="1">
      <alignment horizontal="center" wrapText="1"/>
    </xf>
    <xf numFmtId="2" fontId="14" fillId="0" borderId="1" xfId="1" applyNumberFormat="1" applyFont="1" applyFill="1" applyBorder="1" applyAlignment="1">
      <alignment horizontal="center" wrapText="1"/>
    </xf>
    <xf numFmtId="165" fontId="14" fillId="0" borderId="1" xfId="1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2" fontId="65" fillId="0" borderId="1" xfId="0" applyNumberFormat="1" applyFont="1" applyFill="1" applyBorder="1" applyAlignment="1">
      <alignment horizontal="center" vertical="center" wrapText="1"/>
    </xf>
    <xf numFmtId="2" fontId="64" fillId="2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center" wrapText="1"/>
    </xf>
    <xf numFmtId="2" fontId="63" fillId="0" borderId="1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wrapText="1"/>
    </xf>
    <xf numFmtId="0" fontId="14" fillId="0" borderId="8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2" fontId="8" fillId="0" borderId="8" xfId="0" applyNumberFormat="1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horizontal="center" vertical="center"/>
    </xf>
    <xf numFmtId="170" fontId="8" fillId="2" borderId="8" xfId="1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9" fillId="0" borderId="8" xfId="3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49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0" fillId="0" borderId="5" xfId="2" quotePrefix="1" applyFont="1" applyBorder="1" applyAlignment="1">
      <alignment horizontal="center" vertical="center" wrapText="1"/>
    </xf>
    <xf numFmtId="0" fontId="10" fillId="0" borderId="6" xfId="2" quotePrefix="1" applyFont="1" applyBorder="1" applyAlignment="1">
      <alignment horizontal="center" vertical="center" wrapText="1"/>
    </xf>
    <xf numFmtId="0" fontId="10" fillId="0" borderId="1" xfId="2" quotePrefix="1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2" fontId="13" fillId="0" borderId="5" xfId="2" applyNumberFormat="1" applyFont="1" applyBorder="1" applyAlignment="1">
      <alignment horizontal="center" vertical="center" wrapText="1"/>
    </xf>
    <xf numFmtId="2" fontId="13" fillId="0" borderId="6" xfId="2" applyNumberFormat="1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2" fontId="15" fillId="2" borderId="1" xfId="2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8" fillId="0" borderId="19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/>
    </xf>
    <xf numFmtId="14" fontId="17" fillId="0" borderId="19" xfId="0" applyNumberFormat="1" applyFont="1" applyFill="1" applyBorder="1" applyAlignment="1">
      <alignment horizontal="center"/>
    </xf>
    <xf numFmtId="0" fontId="14" fillId="0" borderId="5" xfId="14" applyFont="1" applyFill="1" applyBorder="1" applyAlignment="1">
      <alignment horizontal="center" vertical="center" wrapText="1"/>
    </xf>
    <xf numFmtId="166" fontId="14" fillId="0" borderId="5" xfId="14" applyNumberFormat="1" applyFont="1" applyFill="1" applyBorder="1" applyAlignment="1">
      <alignment horizontal="center" vertical="center" wrapText="1"/>
    </xf>
    <xf numFmtId="2" fontId="8" fillId="0" borderId="8" xfId="14" applyNumberFormat="1" applyFont="1" applyFill="1" applyBorder="1" applyAlignment="1">
      <alignment horizontal="center" vertical="center" wrapText="1"/>
    </xf>
    <xf numFmtId="2" fontId="8" fillId="2" borderId="8" xfId="14" applyNumberFormat="1" applyFont="1" applyFill="1" applyBorder="1" applyAlignment="1">
      <alignment horizontal="center" vertical="center" wrapText="1"/>
    </xf>
    <xf numFmtId="0" fontId="8" fillId="0" borderId="8" xfId="14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center" vertical="center"/>
    </xf>
    <xf numFmtId="2" fontId="8" fillId="0" borderId="11" xfId="1" applyNumberFormat="1" applyFont="1" applyFill="1" applyBorder="1" applyAlignment="1">
      <alignment horizontal="center" wrapText="1"/>
    </xf>
    <xf numFmtId="2" fontId="8" fillId="0" borderId="12" xfId="1" applyNumberFormat="1" applyFont="1" applyFill="1" applyBorder="1" applyAlignment="1">
      <alignment horizontal="center" wrapText="1"/>
    </xf>
    <xf numFmtId="165" fontId="8" fillId="0" borderId="8" xfId="14" applyNumberFormat="1" applyFont="1" applyFill="1" applyBorder="1" applyAlignment="1">
      <alignment horizontal="center" vertical="center" wrapText="1"/>
    </xf>
    <xf numFmtId="2" fontId="8" fillId="0" borderId="6" xfId="14" applyNumberFormat="1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2" applyBorder="1" applyAlignment="1">
      <alignment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7" fillId="0" borderId="6" xfId="2" applyBorder="1" applyAlignment="1">
      <alignment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6" fillId="2" borderId="5" xfId="6" applyNumberFormat="1" applyFont="1" applyFill="1" applyBorder="1" applyAlignment="1">
      <alignment horizontal="center" vertical="center" wrapText="1"/>
    </xf>
    <xf numFmtId="0" fontId="16" fillId="2" borderId="8" xfId="6" applyNumberFormat="1" applyFont="1" applyFill="1" applyBorder="1" applyAlignment="1">
      <alignment horizontal="center" vertical="center" wrapText="1"/>
    </xf>
    <xf numFmtId="0" fontId="16" fillId="2" borderId="6" xfId="6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49" fontId="8" fillId="4" borderId="5" xfId="10" applyNumberFormat="1" applyFont="1" applyFill="1" applyBorder="1" applyAlignment="1">
      <alignment horizontal="center" vertical="top" wrapText="1"/>
    </xf>
    <xf numFmtId="49" fontId="8" fillId="4" borderId="8" xfId="10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</cellXfs>
  <cellStyles count="15">
    <cellStyle name="Comma" xfId="1" builtinId="3"/>
    <cellStyle name="Comma 6" xfId="12"/>
    <cellStyle name="Normal" xfId="0" builtinId="0"/>
    <cellStyle name="Normal 13 5" xfId="8"/>
    <cellStyle name="Normal 2" xfId="5"/>
    <cellStyle name="Normal 2 2 3 2 2" xfId="13"/>
    <cellStyle name="Normal 3" xfId="2"/>
    <cellStyle name="Normal 5" xfId="9"/>
    <cellStyle name="Normal_2-1-1" xfId="7"/>
    <cellStyle name="Normal_stadion-1" xfId="6"/>
    <cellStyle name="Style 1" xfId="3"/>
    <cellStyle name="Обычный 5 2 2" xfId="14"/>
    <cellStyle name="Обычный_barat.xarj" xfId="10"/>
    <cellStyle name="Обычный_დემონტაჟი 2" xfId="4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2333625" y="464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8.85546875" customWidth="1"/>
    <col min="2" max="2" width="23.85546875" customWidth="1"/>
    <col min="3" max="3" width="30.28515625" customWidth="1"/>
    <col min="4" max="4" width="15" customWidth="1"/>
    <col min="5" max="5" width="16.28515625" customWidth="1"/>
    <col min="6" max="6" width="12.7109375" customWidth="1"/>
    <col min="8" max="8" width="12.28515625" customWidth="1"/>
  </cols>
  <sheetData>
    <row r="1" spans="1:8" ht="41.25" customHeight="1" x14ac:dyDescent="0.25">
      <c r="A1" s="752" t="s">
        <v>497</v>
      </c>
      <c r="B1" s="752"/>
      <c r="C1" s="752"/>
      <c r="D1" s="752"/>
      <c r="E1" s="752"/>
      <c r="F1" s="752"/>
      <c r="G1" s="752"/>
      <c r="H1" s="752"/>
    </row>
    <row r="2" spans="1:8" ht="22.5" customHeight="1" x14ac:dyDescent="0.25">
      <c r="A2" s="761" t="s">
        <v>0</v>
      </c>
      <c r="B2" s="761"/>
      <c r="C2" s="761"/>
      <c r="D2" s="761"/>
      <c r="E2" s="761"/>
      <c r="F2" s="761"/>
      <c r="G2" s="761"/>
      <c r="H2" s="761"/>
    </row>
    <row r="3" spans="1:8" x14ac:dyDescent="0.25">
      <c r="A3" s="752" t="s">
        <v>1</v>
      </c>
      <c r="B3" s="752"/>
      <c r="C3" s="752"/>
      <c r="D3" s="752"/>
      <c r="E3" s="752"/>
      <c r="F3" s="752"/>
      <c r="G3" s="752"/>
      <c r="H3" s="752"/>
    </row>
    <row r="4" spans="1:8" x14ac:dyDescent="0.25">
      <c r="A4" s="762" t="s">
        <v>2</v>
      </c>
      <c r="B4" s="762"/>
      <c r="C4" s="762"/>
      <c r="D4" s="762"/>
      <c r="E4" s="762"/>
      <c r="F4" s="762"/>
      <c r="G4" s="762"/>
      <c r="H4" s="762"/>
    </row>
    <row r="6" spans="1:8" x14ac:dyDescent="0.25">
      <c r="A6" s="753" t="s">
        <v>3</v>
      </c>
      <c r="B6" s="755" t="s">
        <v>4</v>
      </c>
      <c r="C6" s="753" t="s">
        <v>5</v>
      </c>
      <c r="D6" s="756" t="s">
        <v>6</v>
      </c>
      <c r="E6" s="757"/>
      <c r="F6" s="757"/>
      <c r="G6" s="758"/>
      <c r="H6" s="759" t="s">
        <v>7</v>
      </c>
    </row>
    <row r="7" spans="1:8" ht="54" x14ac:dyDescent="0.25">
      <c r="A7" s="754"/>
      <c r="B7" s="754"/>
      <c r="C7" s="754"/>
      <c r="D7" s="2" t="s">
        <v>8</v>
      </c>
      <c r="E7" s="2" t="s">
        <v>9</v>
      </c>
      <c r="F7" s="3" t="s">
        <v>10</v>
      </c>
      <c r="G7" s="2" t="s">
        <v>11</v>
      </c>
      <c r="H7" s="760"/>
    </row>
    <row r="8" spans="1:8" x14ac:dyDescent="0.25">
      <c r="A8" s="4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</row>
    <row r="9" spans="1:8" ht="15.75" x14ac:dyDescent="0.25">
      <c r="A9" s="704">
        <v>1</v>
      </c>
      <c r="B9" s="707" t="s">
        <v>498</v>
      </c>
      <c r="C9" s="5" t="s">
        <v>20</v>
      </c>
      <c r="D9" s="709"/>
      <c r="E9" s="6"/>
      <c r="F9" s="6"/>
      <c r="G9" s="6"/>
      <c r="H9" s="709"/>
    </row>
    <row r="10" spans="1:8" ht="15.75" x14ac:dyDescent="0.25">
      <c r="A10" s="705">
        <v>2</v>
      </c>
      <c r="B10" s="708" t="s">
        <v>499</v>
      </c>
      <c r="C10" s="7" t="s">
        <v>21</v>
      </c>
      <c r="D10" s="710"/>
      <c r="E10" s="8"/>
      <c r="F10" s="8"/>
      <c r="G10" s="8"/>
      <c r="H10" s="710"/>
    </row>
    <row r="11" spans="1:8" ht="15.75" x14ac:dyDescent="0.25">
      <c r="A11" s="706">
        <v>3</v>
      </c>
      <c r="B11" s="2"/>
      <c r="C11" s="9" t="s">
        <v>22</v>
      </c>
      <c r="D11" s="10"/>
      <c r="E11" s="10"/>
      <c r="F11" s="10"/>
      <c r="G11" s="10"/>
      <c r="H11" s="711"/>
    </row>
    <row r="12" spans="1:8" ht="27" x14ac:dyDescent="0.25">
      <c r="A12" s="706">
        <v>4</v>
      </c>
      <c r="B12" s="2"/>
      <c r="C12" s="701" t="s">
        <v>500</v>
      </c>
      <c r="D12" s="11"/>
      <c r="E12" s="11"/>
      <c r="F12" s="11"/>
      <c r="G12" s="11"/>
      <c r="H12" s="712"/>
    </row>
    <row r="13" spans="1:8" ht="15.75" x14ac:dyDescent="0.25">
      <c r="A13" s="706">
        <v>5</v>
      </c>
      <c r="B13" s="2"/>
      <c r="C13" s="2" t="s">
        <v>23</v>
      </c>
      <c r="D13" s="11"/>
      <c r="E13" s="11"/>
      <c r="F13" s="11"/>
      <c r="G13" s="11"/>
      <c r="H13" s="712"/>
    </row>
    <row r="14" spans="1:8" ht="15.75" x14ac:dyDescent="0.25">
      <c r="A14" s="706">
        <v>6</v>
      </c>
      <c r="B14" s="2"/>
      <c r="C14" s="2" t="s">
        <v>24</v>
      </c>
      <c r="D14" s="11"/>
      <c r="E14" s="11"/>
      <c r="F14" s="11"/>
      <c r="G14" s="11"/>
      <c r="H14" s="712"/>
    </row>
    <row r="15" spans="1:8" ht="15.75" x14ac:dyDescent="0.25">
      <c r="A15" s="706">
        <v>7</v>
      </c>
      <c r="B15" s="2"/>
      <c r="C15" s="9" t="s">
        <v>25</v>
      </c>
      <c r="D15" s="12"/>
      <c r="E15" s="12"/>
      <c r="F15" s="12"/>
      <c r="G15" s="12"/>
      <c r="H15" s="713"/>
    </row>
  </sheetData>
  <mergeCells count="9">
    <mergeCell ref="A1:H1"/>
    <mergeCell ref="A6:A7"/>
    <mergeCell ref="B6:B7"/>
    <mergeCell ref="C6:C7"/>
    <mergeCell ref="D6:G6"/>
    <mergeCell ref="H6:H7"/>
    <mergeCell ref="A2:H2"/>
    <mergeCell ref="A3:H3"/>
    <mergeCell ref="A4:H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0"/>
  <sheetViews>
    <sheetView tabSelected="1" view="pageBreakPreview" topLeftCell="A700" zoomScale="85" zoomScaleNormal="95" zoomScaleSheetLayoutView="85" workbookViewId="0">
      <selection activeCell="C13" sqref="C13"/>
    </sheetView>
  </sheetViews>
  <sheetFormatPr defaultRowHeight="15" x14ac:dyDescent="0.25"/>
  <cols>
    <col min="1" max="1" width="3.5703125" style="699" customWidth="1"/>
    <col min="2" max="2" width="8.7109375" customWidth="1"/>
    <col min="3" max="3" width="32.7109375" customWidth="1"/>
    <col min="7" max="7" width="6.28515625" customWidth="1"/>
    <col min="8" max="8" width="7.85546875" customWidth="1"/>
    <col min="9" max="9" width="6.5703125" customWidth="1"/>
    <col min="10" max="10" width="7.28515625" customWidth="1"/>
    <col min="11" max="11" width="5.85546875" customWidth="1"/>
    <col min="12" max="12" width="6.42578125" customWidth="1"/>
  </cols>
  <sheetData>
    <row r="1" spans="1:13" ht="28.5" customHeight="1" x14ac:dyDescent="0.25">
      <c r="A1" s="752" t="s">
        <v>501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2" spans="1:13" x14ac:dyDescent="0.25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3" x14ac:dyDescent="0.25">
      <c r="A3" s="790" t="s">
        <v>26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3" x14ac:dyDescent="0.25">
      <c r="A4" s="762" t="s">
        <v>2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x14ac:dyDescent="0.25">
      <c r="A5" s="700"/>
      <c r="B5" s="791"/>
      <c r="C5" s="791"/>
      <c r="D5" s="791"/>
      <c r="E5" s="700"/>
      <c r="F5" s="700"/>
      <c r="G5" s="700"/>
      <c r="H5" s="700"/>
      <c r="I5" s="700"/>
      <c r="J5" s="700"/>
      <c r="K5" s="700"/>
      <c r="L5" s="700"/>
      <c r="M5" s="700"/>
    </row>
    <row r="6" spans="1:13" ht="15" customHeight="1" x14ac:dyDescent="0.25">
      <c r="A6" s="785" t="s">
        <v>27</v>
      </c>
      <c r="B6" s="785" t="s">
        <v>28</v>
      </c>
      <c r="C6" s="785" t="s">
        <v>29</v>
      </c>
      <c r="D6" s="785" t="s">
        <v>30</v>
      </c>
      <c r="E6" s="785" t="s">
        <v>31</v>
      </c>
      <c r="F6" s="785" t="s">
        <v>32</v>
      </c>
      <c r="G6" s="787" t="s">
        <v>34</v>
      </c>
      <c r="H6" s="788"/>
      <c r="I6" s="787" t="s">
        <v>33</v>
      </c>
      <c r="J6" s="788"/>
      <c r="K6" s="787" t="s">
        <v>35</v>
      </c>
      <c r="L6" s="788"/>
      <c r="M6" s="785" t="s">
        <v>36</v>
      </c>
    </row>
    <row r="7" spans="1:13" ht="30" x14ac:dyDescent="0.25">
      <c r="A7" s="786"/>
      <c r="B7" s="786"/>
      <c r="C7" s="786"/>
      <c r="D7" s="786"/>
      <c r="E7" s="786"/>
      <c r="F7" s="786"/>
      <c r="G7" s="14" t="s">
        <v>37</v>
      </c>
      <c r="H7" s="14" t="s">
        <v>38</v>
      </c>
      <c r="I7" s="14" t="s">
        <v>37</v>
      </c>
      <c r="J7" s="14" t="s">
        <v>38</v>
      </c>
      <c r="K7" s="14" t="s">
        <v>37</v>
      </c>
      <c r="L7" s="14" t="s">
        <v>39</v>
      </c>
      <c r="M7" s="786"/>
    </row>
    <row r="8" spans="1:13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x14ac:dyDescent="0.25">
      <c r="A9" s="682"/>
      <c r="B9" s="16"/>
      <c r="C9" s="17" t="s">
        <v>40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5">
      <c r="A10" s="683"/>
      <c r="B10" s="18"/>
      <c r="C10" s="19" t="s">
        <v>41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7" x14ac:dyDescent="0.25">
      <c r="A11" s="132">
        <v>1</v>
      </c>
      <c r="B11" s="20" t="s">
        <v>42</v>
      </c>
      <c r="C11" s="21" t="s">
        <v>43</v>
      </c>
      <c r="D11" s="22" t="s">
        <v>44</v>
      </c>
      <c r="E11" s="23"/>
      <c r="F11" s="24">
        <v>3</v>
      </c>
      <c r="G11" s="25"/>
      <c r="H11" s="26"/>
      <c r="I11" s="27"/>
      <c r="J11" s="26"/>
      <c r="K11" s="28"/>
      <c r="L11" s="26"/>
      <c r="M11" s="26"/>
    </row>
    <row r="12" spans="1:13" x14ac:dyDescent="0.25">
      <c r="A12" s="160"/>
      <c r="B12" s="30"/>
      <c r="C12" s="31" t="s">
        <v>45</v>
      </c>
      <c r="D12" s="29" t="s">
        <v>46</v>
      </c>
      <c r="E12" s="29">
        <f>0.74*0.4*1.15</f>
        <v>0.34039999999999998</v>
      </c>
      <c r="F12" s="32">
        <f>E12*F11</f>
        <v>1.0211999999999999</v>
      </c>
      <c r="G12" s="33"/>
      <c r="H12" s="32"/>
      <c r="I12" s="34"/>
      <c r="J12" s="32"/>
      <c r="K12" s="33"/>
      <c r="L12" s="32"/>
      <c r="M12" s="32"/>
    </row>
    <row r="13" spans="1:13" ht="40.5" x14ac:dyDescent="0.25">
      <c r="A13" s="35">
        <v>2</v>
      </c>
      <c r="B13" s="36" t="s">
        <v>47</v>
      </c>
      <c r="C13" s="21" t="s">
        <v>48</v>
      </c>
      <c r="D13" s="36" t="s">
        <v>226</v>
      </c>
      <c r="E13" s="36"/>
      <c r="F13" s="37">
        <v>3</v>
      </c>
      <c r="G13" s="38"/>
      <c r="H13" s="38"/>
      <c r="I13" s="38"/>
      <c r="J13" s="38"/>
      <c r="K13" s="38"/>
      <c r="L13" s="38"/>
      <c r="M13" s="39"/>
    </row>
    <row r="14" spans="1:13" x14ac:dyDescent="0.25">
      <c r="A14" s="47"/>
      <c r="B14" s="41"/>
      <c r="C14" s="134" t="s">
        <v>45</v>
      </c>
      <c r="D14" s="20" t="s">
        <v>46</v>
      </c>
      <c r="E14" s="26">
        <f>1.65*1.15</f>
        <v>1.8974999999999997</v>
      </c>
      <c r="F14" s="43">
        <f>F13*E14</f>
        <v>5.692499999999999</v>
      </c>
      <c r="G14" s="44"/>
      <c r="H14" s="45"/>
      <c r="I14" s="45"/>
      <c r="J14" s="44"/>
      <c r="K14" s="44"/>
      <c r="L14" s="44"/>
      <c r="M14" s="45"/>
    </row>
    <row r="15" spans="1:13" x14ac:dyDescent="0.25">
      <c r="A15" s="47"/>
      <c r="B15" s="40"/>
      <c r="C15" s="134" t="s">
        <v>468</v>
      </c>
      <c r="D15" s="20" t="s">
        <v>122</v>
      </c>
      <c r="E15" s="40">
        <f>0.022*1.25</f>
        <v>2.7499999999999997E-2</v>
      </c>
      <c r="F15" s="43">
        <f>F13*E15</f>
        <v>8.249999999999999E-2</v>
      </c>
      <c r="G15" s="44"/>
      <c r="H15" s="44"/>
      <c r="I15" s="44"/>
      <c r="J15" s="44"/>
      <c r="K15" s="44"/>
      <c r="L15" s="44"/>
      <c r="M15" s="45"/>
    </row>
    <row r="16" spans="1:13" ht="27" x14ac:dyDescent="0.25">
      <c r="A16" s="47"/>
      <c r="B16" s="41"/>
      <c r="C16" s="46" t="s">
        <v>51</v>
      </c>
      <c r="D16" s="47" t="s">
        <v>226</v>
      </c>
      <c r="E16" s="47">
        <v>1</v>
      </c>
      <c r="F16" s="47">
        <v>3</v>
      </c>
      <c r="G16" s="44"/>
      <c r="H16" s="44"/>
      <c r="I16" s="45"/>
      <c r="J16" s="45"/>
      <c r="K16" s="45"/>
      <c r="L16" s="45"/>
      <c r="M16" s="45"/>
    </row>
    <row r="17" spans="1:13" x14ac:dyDescent="0.25">
      <c r="A17" s="146"/>
      <c r="B17" s="34"/>
      <c r="C17" s="31" t="s">
        <v>186</v>
      </c>
      <c r="D17" s="29" t="s">
        <v>122</v>
      </c>
      <c r="E17" s="34">
        <v>0.30599999999999999</v>
      </c>
      <c r="F17" s="50">
        <f>F13*E17</f>
        <v>0.91799999999999993</v>
      </c>
      <c r="G17" s="51"/>
      <c r="H17" s="51"/>
      <c r="I17" s="51"/>
      <c r="J17" s="51"/>
      <c r="K17" s="51"/>
      <c r="L17" s="51"/>
      <c r="M17" s="52"/>
    </row>
    <row r="18" spans="1:13" ht="27" x14ac:dyDescent="0.25">
      <c r="A18" s="684">
        <v>3</v>
      </c>
      <c r="B18" s="53" t="s">
        <v>53</v>
      </c>
      <c r="C18" s="54" t="s">
        <v>54</v>
      </c>
      <c r="D18" s="36" t="s">
        <v>58</v>
      </c>
      <c r="E18" s="35"/>
      <c r="F18" s="55">
        <f>0.9*2</f>
        <v>1.8</v>
      </c>
      <c r="G18" s="56"/>
      <c r="H18" s="57"/>
      <c r="I18" s="58"/>
      <c r="J18" s="59"/>
      <c r="K18" s="60"/>
      <c r="L18" s="60"/>
      <c r="M18" s="61"/>
    </row>
    <row r="19" spans="1:13" ht="15.75" x14ac:dyDescent="0.25">
      <c r="A19" s="143"/>
      <c r="B19" s="62"/>
      <c r="C19" s="31" t="s">
        <v>45</v>
      </c>
      <c r="D19" s="29" t="s">
        <v>46</v>
      </c>
      <c r="E19" s="65">
        <v>0.32800000000000001</v>
      </c>
      <c r="F19" s="66">
        <f>E19*F18</f>
        <v>0.59040000000000004</v>
      </c>
      <c r="G19" s="34"/>
      <c r="H19" s="32"/>
      <c r="I19" s="33"/>
      <c r="J19" s="32"/>
      <c r="K19" s="33"/>
      <c r="L19" s="32"/>
      <c r="M19" s="32"/>
    </row>
    <row r="20" spans="1:13" ht="54" x14ac:dyDescent="0.25">
      <c r="A20" s="403">
        <v>4</v>
      </c>
      <c r="B20" s="68" t="s">
        <v>57</v>
      </c>
      <c r="C20" s="69" t="s">
        <v>467</v>
      </c>
      <c r="D20" s="36" t="s">
        <v>58</v>
      </c>
      <c r="E20" s="55"/>
      <c r="F20" s="36">
        <f>2*0.9</f>
        <v>1.8</v>
      </c>
      <c r="G20" s="70"/>
      <c r="H20" s="71"/>
      <c r="I20" s="70"/>
      <c r="J20" s="71"/>
      <c r="K20" s="70"/>
      <c r="L20" s="71"/>
      <c r="M20" s="71"/>
    </row>
    <row r="21" spans="1:13" x14ac:dyDescent="0.25">
      <c r="A21" s="109"/>
      <c r="B21" s="73"/>
      <c r="C21" s="31" t="s">
        <v>45</v>
      </c>
      <c r="D21" s="29" t="s">
        <v>46</v>
      </c>
      <c r="E21" s="26">
        <f>1.12*1.15/1.4</f>
        <v>0.92</v>
      </c>
      <c r="F21" s="26">
        <f>F20*E21</f>
        <v>1.6560000000000001</v>
      </c>
      <c r="G21" s="75"/>
      <c r="H21" s="26"/>
      <c r="I21" s="76"/>
      <c r="J21" s="26"/>
      <c r="K21" s="76"/>
      <c r="L21" s="26"/>
      <c r="M21" s="77"/>
    </row>
    <row r="22" spans="1:13" ht="27" x14ac:dyDescent="0.25">
      <c r="A22" s="109"/>
      <c r="B22" s="73"/>
      <c r="C22" s="74" t="s">
        <v>61</v>
      </c>
      <c r="D22" s="47" t="s">
        <v>58</v>
      </c>
      <c r="E22" s="47">
        <v>1</v>
      </c>
      <c r="F22" s="89">
        <f>F20*E22</f>
        <v>1.8</v>
      </c>
      <c r="G22" s="47"/>
      <c r="H22" s="89"/>
      <c r="I22" s="91"/>
      <c r="J22" s="91"/>
      <c r="K22" s="92"/>
      <c r="L22" s="89"/>
      <c r="M22" s="91"/>
    </row>
    <row r="23" spans="1:13" x14ac:dyDescent="0.25">
      <c r="A23" s="115"/>
      <c r="B23" s="79"/>
      <c r="C23" s="31" t="s">
        <v>470</v>
      </c>
      <c r="D23" s="29" t="s">
        <v>122</v>
      </c>
      <c r="E23" s="81">
        <f>0.085/1.4</f>
        <v>6.0714285714285721E-2</v>
      </c>
      <c r="F23" s="32">
        <f>F20*E23</f>
        <v>0.10928571428571431</v>
      </c>
      <c r="G23" s="34"/>
      <c r="H23" s="32"/>
      <c r="I23" s="33"/>
      <c r="J23" s="32"/>
      <c r="K23" s="33"/>
      <c r="L23" s="32"/>
      <c r="M23" s="32"/>
    </row>
    <row r="24" spans="1:13" ht="27" x14ac:dyDescent="0.25">
      <c r="A24" s="403">
        <v>5</v>
      </c>
      <c r="B24" s="20" t="s">
        <v>63</v>
      </c>
      <c r="C24" s="82" t="s">
        <v>64</v>
      </c>
      <c r="D24" s="23" t="s">
        <v>81</v>
      </c>
      <c r="E24" s="23"/>
      <c r="F24" s="24">
        <v>39</v>
      </c>
      <c r="G24" s="56"/>
      <c r="H24" s="57"/>
      <c r="I24" s="58"/>
      <c r="J24" s="59"/>
      <c r="K24" s="60"/>
      <c r="L24" s="60"/>
      <c r="M24" s="61"/>
    </row>
    <row r="25" spans="1:13" x14ac:dyDescent="0.25">
      <c r="A25" s="109"/>
      <c r="B25" s="20"/>
      <c r="C25" s="134" t="s">
        <v>45</v>
      </c>
      <c r="D25" s="20" t="s">
        <v>46</v>
      </c>
      <c r="E25" s="40">
        <v>0.47199999999999998</v>
      </c>
      <c r="F25" s="26">
        <f>E25*F24</f>
        <v>18.407999999999998</v>
      </c>
      <c r="G25" s="77"/>
      <c r="H25" s="26"/>
      <c r="I25" s="76"/>
      <c r="J25" s="26"/>
      <c r="K25" s="76"/>
      <c r="L25" s="26"/>
      <c r="M25" s="26"/>
    </row>
    <row r="26" spans="1:13" x14ac:dyDescent="0.25">
      <c r="A26" s="109"/>
      <c r="B26" s="29"/>
      <c r="C26" s="134" t="s">
        <v>471</v>
      </c>
      <c r="D26" s="20" t="s">
        <v>122</v>
      </c>
      <c r="E26" s="34">
        <v>3.0099999999999998E-2</v>
      </c>
      <c r="F26" s="32">
        <f>E26*F24</f>
        <v>1.1738999999999999</v>
      </c>
      <c r="G26" s="83"/>
      <c r="H26" s="26"/>
      <c r="I26" s="76"/>
      <c r="J26" s="26"/>
      <c r="K26" s="76"/>
      <c r="L26" s="26"/>
      <c r="M26" s="26"/>
    </row>
    <row r="27" spans="1:13" x14ac:dyDescent="0.25">
      <c r="A27" s="403">
        <v>6</v>
      </c>
      <c r="B27" s="772" t="s">
        <v>66</v>
      </c>
      <c r="C27" s="84" t="s">
        <v>67</v>
      </c>
      <c r="D27" s="36" t="s">
        <v>81</v>
      </c>
      <c r="E27" s="55"/>
      <c r="F27" s="36">
        <v>39</v>
      </c>
      <c r="G27" s="70"/>
      <c r="H27" s="85"/>
      <c r="I27" s="70"/>
      <c r="J27" s="85"/>
      <c r="K27" s="70"/>
      <c r="L27" s="85"/>
      <c r="M27" s="85"/>
    </row>
    <row r="28" spans="1:13" x14ac:dyDescent="0.25">
      <c r="A28" s="109"/>
      <c r="B28" s="773"/>
      <c r="C28" s="134" t="s">
        <v>45</v>
      </c>
      <c r="D28" s="20" t="s">
        <v>46</v>
      </c>
      <c r="E28" s="26">
        <f>0.71*1.15</f>
        <v>0.81649999999999989</v>
      </c>
      <c r="F28" s="77">
        <f>E28*F27</f>
        <v>31.843499999999995</v>
      </c>
      <c r="G28" s="86"/>
      <c r="H28" s="26"/>
      <c r="I28" s="76"/>
      <c r="J28" s="26"/>
      <c r="K28" s="76"/>
      <c r="L28" s="26"/>
      <c r="M28" s="26"/>
    </row>
    <row r="29" spans="1:13" x14ac:dyDescent="0.25">
      <c r="A29" s="109"/>
      <c r="B29" s="773"/>
      <c r="C29" s="134" t="s">
        <v>468</v>
      </c>
      <c r="D29" s="20" t="s">
        <v>122</v>
      </c>
      <c r="E29" s="87">
        <f>0.0301*1.25</f>
        <v>3.7624999999999999E-2</v>
      </c>
      <c r="F29" s="26">
        <f>E29*F27</f>
        <v>1.4673749999999999</v>
      </c>
      <c r="G29" s="40"/>
      <c r="H29" s="26"/>
      <c r="I29" s="76"/>
      <c r="J29" s="26"/>
      <c r="K29" s="76"/>
      <c r="L29" s="26"/>
      <c r="M29" s="26"/>
    </row>
    <row r="30" spans="1:13" ht="27" x14ac:dyDescent="0.25">
      <c r="A30" s="109"/>
      <c r="B30" s="773"/>
      <c r="C30" s="88" t="s">
        <v>469</v>
      </c>
      <c r="D30" s="47" t="s">
        <v>81</v>
      </c>
      <c r="E30" s="47">
        <v>1.0149999999999999</v>
      </c>
      <c r="F30" s="89">
        <f>E30*F27</f>
        <v>39.584999999999994</v>
      </c>
      <c r="G30" s="47"/>
      <c r="H30" s="89"/>
      <c r="I30" s="90"/>
      <c r="J30" s="91"/>
      <c r="K30" s="92"/>
      <c r="L30" s="89"/>
      <c r="M30" s="89"/>
    </row>
    <row r="31" spans="1:13" x14ac:dyDescent="0.25">
      <c r="A31" s="109"/>
      <c r="B31" s="773"/>
      <c r="C31" s="31" t="s">
        <v>470</v>
      </c>
      <c r="D31" s="29" t="s">
        <v>122</v>
      </c>
      <c r="E31" s="34">
        <v>0.107</v>
      </c>
      <c r="F31" s="32">
        <f>E31*F27</f>
        <v>4.173</v>
      </c>
      <c r="G31" s="34"/>
      <c r="H31" s="32"/>
      <c r="I31" s="33"/>
      <c r="J31" s="32"/>
      <c r="K31" s="33"/>
      <c r="L31" s="32"/>
      <c r="M31" s="32"/>
    </row>
    <row r="32" spans="1:13" ht="27" x14ac:dyDescent="0.25">
      <c r="A32" s="403">
        <v>7</v>
      </c>
      <c r="B32" s="93" t="s">
        <v>70</v>
      </c>
      <c r="C32" s="94" t="s">
        <v>71</v>
      </c>
      <c r="D32" s="36" t="s">
        <v>81</v>
      </c>
      <c r="E32" s="56"/>
      <c r="F32" s="96">
        <v>123</v>
      </c>
      <c r="G32" s="56"/>
      <c r="H32" s="57"/>
      <c r="I32" s="58"/>
      <c r="J32" s="59"/>
      <c r="K32" s="60"/>
      <c r="L32" s="60"/>
      <c r="M32" s="61"/>
    </row>
    <row r="33" spans="1:13" x14ac:dyDescent="0.25">
      <c r="A33" s="109"/>
      <c r="B33" s="97"/>
      <c r="C33" s="134" t="s">
        <v>45</v>
      </c>
      <c r="D33" s="20" t="s">
        <v>46</v>
      </c>
      <c r="E33" s="83">
        <v>0.25800000000000001</v>
      </c>
      <c r="F33" s="99">
        <f>E33*F32</f>
        <v>31.734000000000002</v>
      </c>
      <c r="G33" s="77"/>
      <c r="H33" s="26"/>
      <c r="I33" s="76"/>
      <c r="J33" s="26"/>
      <c r="K33" s="76"/>
      <c r="L33" s="26"/>
      <c r="M33" s="26"/>
    </row>
    <row r="34" spans="1:13" x14ac:dyDescent="0.25">
      <c r="A34" s="109"/>
      <c r="B34" s="64"/>
      <c r="C34" s="134" t="s">
        <v>471</v>
      </c>
      <c r="D34" s="20" t="s">
        <v>122</v>
      </c>
      <c r="E34" s="65">
        <v>1.6000000000000001E-3</v>
      </c>
      <c r="F34" s="65">
        <f>E34*F32</f>
        <v>0.1968</v>
      </c>
      <c r="G34" s="65"/>
      <c r="H34" s="32"/>
      <c r="I34" s="33"/>
      <c r="J34" s="32"/>
      <c r="K34" s="33"/>
      <c r="L34" s="32"/>
      <c r="M34" s="32"/>
    </row>
    <row r="35" spans="1:13" ht="67.5" x14ac:dyDescent="0.25">
      <c r="A35" s="101">
        <v>8</v>
      </c>
      <c r="B35" s="778" t="s">
        <v>72</v>
      </c>
      <c r="C35" s="102" t="s">
        <v>73</v>
      </c>
      <c r="D35" s="36" t="s">
        <v>81</v>
      </c>
      <c r="E35" s="103"/>
      <c r="F35" s="104">
        <v>123</v>
      </c>
      <c r="G35" s="105"/>
      <c r="H35" s="106"/>
      <c r="I35" s="107"/>
      <c r="J35" s="106"/>
      <c r="K35" s="107"/>
      <c r="L35" s="106"/>
      <c r="M35" s="108"/>
    </row>
    <row r="36" spans="1:13" x14ac:dyDescent="0.25">
      <c r="A36" s="109"/>
      <c r="B36" s="771"/>
      <c r="C36" s="134" t="s">
        <v>45</v>
      </c>
      <c r="D36" s="20" t="s">
        <v>46</v>
      </c>
      <c r="E36" s="43">
        <f>0.658*1.15</f>
        <v>0.75669999999999993</v>
      </c>
      <c r="F36" s="43">
        <f>E36*F35</f>
        <v>93.074099999999987</v>
      </c>
      <c r="G36" s="86"/>
      <c r="H36" s="43"/>
      <c r="I36" s="110"/>
      <c r="J36" s="43"/>
      <c r="K36" s="110"/>
      <c r="L36" s="43"/>
      <c r="M36" s="75"/>
    </row>
    <row r="37" spans="1:13" x14ac:dyDescent="0.25">
      <c r="A37" s="109"/>
      <c r="B37" s="771"/>
      <c r="C37" s="134" t="s">
        <v>471</v>
      </c>
      <c r="D37" s="20" t="s">
        <v>122</v>
      </c>
      <c r="E37" s="111">
        <f>0.01*1.25</f>
        <v>1.2500000000000001E-2</v>
      </c>
      <c r="F37" s="43">
        <f>E37*F35</f>
        <v>1.5375000000000001</v>
      </c>
      <c r="G37" s="86"/>
      <c r="H37" s="43"/>
      <c r="I37" s="110"/>
      <c r="J37" s="43"/>
      <c r="K37" s="110"/>
      <c r="L37" s="43"/>
      <c r="M37" s="75"/>
    </row>
    <row r="38" spans="1:13" x14ac:dyDescent="0.25">
      <c r="A38" s="109"/>
      <c r="B38" s="86"/>
      <c r="C38" s="112" t="s">
        <v>481</v>
      </c>
      <c r="D38" s="86" t="s">
        <v>85</v>
      </c>
      <c r="E38" s="86">
        <v>0.24</v>
      </c>
      <c r="F38" s="43">
        <f>E38*F35</f>
        <v>29.52</v>
      </c>
      <c r="G38" s="86"/>
      <c r="H38" s="43"/>
      <c r="I38" s="113"/>
      <c r="J38" s="75"/>
      <c r="K38" s="110"/>
      <c r="L38" s="43"/>
      <c r="M38" s="75"/>
    </row>
    <row r="39" spans="1:13" x14ac:dyDescent="0.25">
      <c r="A39" s="109"/>
      <c r="B39" s="86"/>
      <c r="C39" s="112" t="s">
        <v>472</v>
      </c>
      <c r="D39" s="114" t="s">
        <v>85</v>
      </c>
      <c r="E39" s="114">
        <f>0.315</f>
        <v>0.315</v>
      </c>
      <c r="F39" s="43">
        <f>E39*F35</f>
        <v>38.744999999999997</v>
      </c>
      <c r="G39" s="86"/>
      <c r="H39" s="43"/>
      <c r="I39" s="110"/>
      <c r="J39" s="75"/>
      <c r="K39" s="110"/>
      <c r="L39" s="43"/>
      <c r="M39" s="75"/>
    </row>
    <row r="40" spans="1:13" x14ac:dyDescent="0.25">
      <c r="A40" s="115"/>
      <c r="B40" s="50"/>
      <c r="C40" s="31" t="s">
        <v>470</v>
      </c>
      <c r="D40" s="29" t="s">
        <v>122</v>
      </c>
      <c r="E40" s="50">
        <v>1.6E-2</v>
      </c>
      <c r="F40" s="117">
        <f>E40*F35</f>
        <v>1.968</v>
      </c>
      <c r="G40" s="50"/>
      <c r="H40" s="118"/>
      <c r="I40" s="119"/>
      <c r="J40" s="118"/>
      <c r="K40" s="119"/>
      <c r="L40" s="118"/>
      <c r="M40" s="120"/>
    </row>
    <row r="41" spans="1:13" ht="54" x14ac:dyDescent="0.25">
      <c r="A41" s="121">
        <v>9</v>
      </c>
      <c r="B41" s="122" t="s">
        <v>78</v>
      </c>
      <c r="C41" s="82" t="s">
        <v>79</v>
      </c>
      <c r="D41" s="36" t="s">
        <v>81</v>
      </c>
      <c r="E41" s="55"/>
      <c r="F41" s="123">
        <v>8.9</v>
      </c>
      <c r="G41" s="35"/>
      <c r="H41" s="124"/>
      <c r="I41" s="125"/>
      <c r="J41" s="124"/>
      <c r="K41" s="126"/>
      <c r="L41" s="126"/>
      <c r="M41" s="126"/>
    </row>
    <row r="42" spans="1:13" x14ac:dyDescent="0.25">
      <c r="A42" s="132"/>
      <c r="B42" s="73"/>
      <c r="C42" s="134" t="s">
        <v>45</v>
      </c>
      <c r="D42" s="20" t="s">
        <v>46</v>
      </c>
      <c r="E42" s="26">
        <f>1.8*1.15</f>
        <v>2.0699999999999998</v>
      </c>
      <c r="F42" s="26">
        <f>E42*F41</f>
        <v>18.422999999999998</v>
      </c>
      <c r="G42" s="127"/>
      <c r="H42" s="26"/>
      <c r="I42" s="76"/>
      <c r="J42" s="26"/>
      <c r="K42" s="76"/>
      <c r="L42" s="26"/>
      <c r="M42" s="26"/>
    </row>
    <row r="43" spans="1:13" x14ac:dyDescent="0.25">
      <c r="A43" s="132"/>
      <c r="B43" s="73"/>
      <c r="C43" s="134" t="s">
        <v>471</v>
      </c>
      <c r="D43" s="20" t="s">
        <v>122</v>
      </c>
      <c r="E43" s="26">
        <f>0.244*1.25</f>
        <v>0.30499999999999999</v>
      </c>
      <c r="F43" s="26">
        <f>E43*F41</f>
        <v>2.7145000000000001</v>
      </c>
      <c r="G43" s="40"/>
      <c r="H43" s="26"/>
      <c r="I43" s="76"/>
      <c r="J43" s="26"/>
      <c r="K43" s="76"/>
      <c r="L43" s="26"/>
      <c r="M43" s="26"/>
    </row>
    <row r="44" spans="1:13" ht="27" x14ac:dyDescent="0.25">
      <c r="A44" s="132"/>
      <c r="B44" s="73"/>
      <c r="C44" s="74" t="s">
        <v>80</v>
      </c>
      <c r="D44" s="47" t="s">
        <v>81</v>
      </c>
      <c r="E44" s="47">
        <v>1.05</v>
      </c>
      <c r="F44" s="89">
        <f>E44*F41</f>
        <v>9.3450000000000006</v>
      </c>
      <c r="G44" s="47"/>
      <c r="H44" s="89"/>
      <c r="I44" s="92"/>
      <c r="J44" s="89"/>
      <c r="K44" s="92"/>
      <c r="L44" s="89"/>
      <c r="M44" s="89"/>
    </row>
    <row r="45" spans="1:13" x14ac:dyDescent="0.25">
      <c r="A45" s="132"/>
      <c r="B45" s="73"/>
      <c r="C45" s="74" t="s">
        <v>82</v>
      </c>
      <c r="D45" s="47" t="s">
        <v>83</v>
      </c>
      <c r="E45" s="47">
        <v>0.01</v>
      </c>
      <c r="F45" s="89">
        <f>E45*F41</f>
        <v>8.900000000000001E-2</v>
      </c>
      <c r="G45" s="47"/>
      <c r="H45" s="89"/>
      <c r="I45" s="92"/>
      <c r="J45" s="89"/>
      <c r="K45" s="92"/>
      <c r="L45" s="89"/>
      <c r="M45" s="89"/>
    </row>
    <row r="46" spans="1:13" x14ac:dyDescent="0.25">
      <c r="A46" s="160"/>
      <c r="B46" s="79"/>
      <c r="C46" s="80" t="s">
        <v>84</v>
      </c>
      <c r="D46" s="34" t="s">
        <v>85</v>
      </c>
      <c r="E46" s="34">
        <v>0.128</v>
      </c>
      <c r="F46" s="32">
        <f>E46*F41</f>
        <v>1.1392</v>
      </c>
      <c r="G46" s="34"/>
      <c r="H46" s="32"/>
      <c r="I46" s="33"/>
      <c r="J46" s="32"/>
      <c r="K46" s="33"/>
      <c r="L46" s="32"/>
      <c r="M46" s="128"/>
    </row>
    <row r="47" spans="1:13" ht="27" x14ac:dyDescent="0.25">
      <c r="A47" s="132">
        <v>10</v>
      </c>
      <c r="B47" s="129" t="s">
        <v>86</v>
      </c>
      <c r="C47" s="130" t="s">
        <v>87</v>
      </c>
      <c r="D47" s="131" t="s">
        <v>44</v>
      </c>
      <c r="E47" s="132"/>
      <c r="F47" s="24">
        <v>12</v>
      </c>
      <c r="G47" s="26"/>
      <c r="H47" s="26"/>
      <c r="I47" s="26"/>
      <c r="J47" s="26"/>
      <c r="K47" s="26"/>
      <c r="L47" s="26"/>
      <c r="M47" s="26"/>
    </row>
    <row r="48" spans="1:13" x14ac:dyDescent="0.25">
      <c r="A48" s="132"/>
      <c r="B48" s="133"/>
      <c r="C48" s="134" t="s">
        <v>45</v>
      </c>
      <c r="D48" s="20" t="s">
        <v>46</v>
      </c>
      <c r="E48" s="47">
        <f>1.34*1.15</f>
        <v>1.5409999999999999</v>
      </c>
      <c r="F48" s="47">
        <f>E48*F47</f>
        <v>18.491999999999997</v>
      </c>
      <c r="G48" s="76"/>
      <c r="H48" s="26"/>
      <c r="I48" s="136"/>
      <c r="J48" s="137"/>
      <c r="K48" s="76"/>
      <c r="L48" s="26"/>
      <c r="M48" s="26"/>
    </row>
    <row r="49" spans="1:13" x14ac:dyDescent="0.25">
      <c r="A49" s="132"/>
      <c r="B49" s="138"/>
      <c r="C49" s="134" t="s">
        <v>471</v>
      </c>
      <c r="D49" s="20" t="s">
        <v>122</v>
      </c>
      <c r="E49" s="132">
        <v>0.05</v>
      </c>
      <c r="F49" s="47">
        <f>E49*F47</f>
        <v>0.60000000000000009</v>
      </c>
      <c r="G49" s="76"/>
      <c r="H49" s="26"/>
      <c r="I49" s="139"/>
      <c r="J49" s="26"/>
      <c r="K49" s="76"/>
      <c r="L49" s="26"/>
      <c r="M49" s="26"/>
    </row>
    <row r="50" spans="1:13" x14ac:dyDescent="0.25">
      <c r="A50" s="685"/>
      <c r="B50" s="140"/>
      <c r="C50" s="141" t="s">
        <v>89</v>
      </c>
      <c r="D50" s="135" t="s">
        <v>226</v>
      </c>
      <c r="E50" s="20">
        <v>1</v>
      </c>
      <c r="F50" s="40">
        <f>E50*F47</f>
        <v>12</v>
      </c>
      <c r="G50" s="40"/>
      <c r="H50" s="26"/>
      <c r="I50" s="40"/>
      <c r="J50" s="26"/>
      <c r="K50" s="76"/>
      <c r="L50" s="26"/>
      <c r="M50" s="26"/>
    </row>
    <row r="51" spans="1:13" x14ac:dyDescent="0.25">
      <c r="A51" s="115"/>
      <c r="B51" s="29"/>
      <c r="C51" s="31" t="s">
        <v>470</v>
      </c>
      <c r="D51" s="29" t="s">
        <v>122</v>
      </c>
      <c r="E51" s="34">
        <v>0.16</v>
      </c>
      <c r="F51" s="32">
        <f>E51*F47</f>
        <v>1.92</v>
      </c>
      <c r="G51" s="34"/>
      <c r="H51" s="32"/>
      <c r="I51" s="33"/>
      <c r="J51" s="32"/>
      <c r="K51" s="33"/>
      <c r="L51" s="32"/>
      <c r="M51" s="32"/>
    </row>
    <row r="52" spans="1:13" ht="27" x14ac:dyDescent="0.25">
      <c r="A52" s="684">
        <v>11</v>
      </c>
      <c r="B52" s="53" t="s">
        <v>90</v>
      </c>
      <c r="C52" s="142" t="s">
        <v>91</v>
      </c>
      <c r="D52" s="36" t="s">
        <v>65</v>
      </c>
      <c r="E52" s="35"/>
      <c r="F52" s="55">
        <v>1</v>
      </c>
      <c r="G52" s="56"/>
      <c r="H52" s="57"/>
      <c r="I52" s="58"/>
      <c r="J52" s="59"/>
      <c r="K52" s="60"/>
      <c r="L52" s="60"/>
      <c r="M52" s="61"/>
    </row>
    <row r="53" spans="1:13" ht="15.75" x14ac:dyDescent="0.25">
      <c r="A53" s="143"/>
      <c r="B53" s="144"/>
      <c r="C53" s="134" t="s">
        <v>45</v>
      </c>
      <c r="D53" s="185" t="s">
        <v>46</v>
      </c>
      <c r="E53" s="146">
        <v>2.09</v>
      </c>
      <c r="F53" s="147">
        <f>E53*F52</f>
        <v>2.09</v>
      </c>
      <c r="G53" s="146"/>
      <c r="H53" s="147"/>
      <c r="I53" s="148"/>
      <c r="J53" s="147"/>
      <c r="K53" s="148"/>
      <c r="L53" s="147"/>
      <c r="M53" s="147"/>
    </row>
    <row r="54" spans="1:13" ht="24.75" customHeight="1" x14ac:dyDescent="0.25">
      <c r="A54" s="121">
        <v>12</v>
      </c>
      <c r="B54" s="121" t="s">
        <v>92</v>
      </c>
      <c r="C54" s="94" t="s">
        <v>93</v>
      </c>
      <c r="D54" s="149" t="s">
        <v>259</v>
      </c>
      <c r="E54" s="150"/>
      <c r="F54" s="151">
        <v>1</v>
      </c>
      <c r="G54" s="152"/>
      <c r="H54" s="152"/>
      <c r="I54" s="152"/>
      <c r="J54" s="153"/>
      <c r="K54" s="154"/>
      <c r="L54" s="153"/>
      <c r="M54" s="124"/>
    </row>
    <row r="55" spans="1:13" x14ac:dyDescent="0.25">
      <c r="A55" s="132"/>
      <c r="B55" s="133"/>
      <c r="C55" s="134" t="s">
        <v>45</v>
      </c>
      <c r="D55" s="20" t="s">
        <v>46</v>
      </c>
      <c r="E55" s="47">
        <f>8.14*1.15</f>
        <v>9.3610000000000007</v>
      </c>
      <c r="F55" s="47">
        <f>F54*E55</f>
        <v>9.3610000000000007</v>
      </c>
      <c r="G55" s="76"/>
      <c r="H55" s="26"/>
      <c r="I55" s="76"/>
      <c r="J55" s="26"/>
      <c r="K55" s="76"/>
      <c r="L55" s="26"/>
      <c r="M55" s="26"/>
    </row>
    <row r="56" spans="1:13" x14ac:dyDescent="0.25">
      <c r="A56" s="132"/>
      <c r="B56" s="138"/>
      <c r="C56" s="134" t="s">
        <v>471</v>
      </c>
      <c r="D56" s="20" t="s">
        <v>122</v>
      </c>
      <c r="E56" s="132">
        <f>1.09*1.25</f>
        <v>1.3625</v>
      </c>
      <c r="F56" s="47">
        <f>F54*E56</f>
        <v>1.3625</v>
      </c>
      <c r="G56" s="139"/>
      <c r="H56" s="26"/>
      <c r="I56" s="76"/>
      <c r="J56" s="26"/>
      <c r="K56" s="76"/>
      <c r="L56" s="26"/>
      <c r="M56" s="26"/>
    </row>
    <row r="57" spans="1:13" x14ac:dyDescent="0.25">
      <c r="A57" s="132"/>
      <c r="B57" s="138"/>
      <c r="C57" s="141" t="s">
        <v>96</v>
      </c>
      <c r="D57" s="135" t="s">
        <v>259</v>
      </c>
      <c r="E57" s="132">
        <v>1</v>
      </c>
      <c r="F57" s="47">
        <f>F54*E57</f>
        <v>1</v>
      </c>
      <c r="G57" s="155"/>
      <c r="H57" s="77"/>
      <c r="I57" s="156"/>
      <c r="J57" s="157"/>
      <c r="K57" s="76"/>
      <c r="L57" s="26"/>
      <c r="M57" s="157"/>
    </row>
    <row r="58" spans="1:13" x14ac:dyDescent="0.25">
      <c r="A58" s="160"/>
      <c r="B58" s="158"/>
      <c r="C58" s="31" t="s">
        <v>470</v>
      </c>
      <c r="D58" s="29" t="s">
        <v>122</v>
      </c>
      <c r="E58" s="160">
        <v>3.7</v>
      </c>
      <c r="F58" s="146">
        <f>F54*E58</f>
        <v>3.7</v>
      </c>
      <c r="G58" s="34"/>
      <c r="H58" s="32"/>
      <c r="I58" s="34"/>
      <c r="J58" s="77"/>
      <c r="K58" s="33"/>
      <c r="L58" s="32"/>
      <c r="M58" s="32"/>
    </row>
    <row r="59" spans="1:13" x14ac:dyDescent="0.25">
      <c r="A59" s="686"/>
      <c r="B59" s="161"/>
      <c r="C59" s="162" t="s">
        <v>97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</row>
    <row r="60" spans="1:13" ht="40.5" x14ac:dyDescent="0.25">
      <c r="A60" s="403">
        <v>1</v>
      </c>
      <c r="B60" s="53" t="s">
        <v>98</v>
      </c>
      <c r="C60" s="94" t="s">
        <v>99</v>
      </c>
      <c r="D60" s="95" t="s">
        <v>81</v>
      </c>
      <c r="E60" s="56"/>
      <c r="F60" s="163">
        <v>1.21</v>
      </c>
      <c r="G60" s="56"/>
      <c r="H60" s="57"/>
      <c r="I60" s="58"/>
      <c r="J60" s="59"/>
      <c r="K60" s="60"/>
      <c r="L60" s="60"/>
      <c r="M60" s="61"/>
    </row>
    <row r="61" spans="1:13" x14ac:dyDescent="0.25">
      <c r="A61" s="109"/>
      <c r="B61" s="164"/>
      <c r="C61" s="134" t="s">
        <v>45</v>
      </c>
      <c r="D61" s="185" t="s">
        <v>46</v>
      </c>
      <c r="E61" s="47">
        <v>0.75</v>
      </c>
      <c r="F61" s="89">
        <f>E61*F60</f>
        <v>0.90749999999999997</v>
      </c>
      <c r="G61" s="91"/>
      <c r="H61" s="89"/>
      <c r="I61" s="92"/>
      <c r="J61" s="89"/>
      <c r="K61" s="92"/>
      <c r="L61" s="89"/>
      <c r="M61" s="89"/>
    </row>
    <row r="62" spans="1:13" x14ac:dyDescent="0.25">
      <c r="A62" s="109"/>
      <c r="B62" s="64"/>
      <c r="C62" s="134" t="s">
        <v>471</v>
      </c>
      <c r="D62" s="185" t="s">
        <v>122</v>
      </c>
      <c r="E62" s="65">
        <v>3.7000000000000002E-3</v>
      </c>
      <c r="F62" s="65">
        <f>E62*F60</f>
        <v>4.4770000000000001E-3</v>
      </c>
      <c r="G62" s="65"/>
      <c r="H62" s="32"/>
      <c r="I62" s="33"/>
      <c r="J62" s="32"/>
      <c r="K62" s="33"/>
      <c r="L62" s="32"/>
      <c r="M62" s="32"/>
    </row>
    <row r="63" spans="1:13" ht="27" x14ac:dyDescent="0.25">
      <c r="A63" s="166">
        <v>2</v>
      </c>
      <c r="B63" s="167" t="s">
        <v>100</v>
      </c>
      <c r="C63" s="168" t="s">
        <v>101</v>
      </c>
      <c r="D63" s="22" t="s">
        <v>81</v>
      </c>
      <c r="E63" s="169"/>
      <c r="F63" s="170">
        <v>1.21</v>
      </c>
      <c r="G63" s="166"/>
      <c r="H63" s="166"/>
      <c r="I63" s="166"/>
      <c r="J63" s="166"/>
      <c r="K63" s="166"/>
      <c r="L63" s="166"/>
      <c r="M63" s="166"/>
    </row>
    <row r="64" spans="1:13" x14ac:dyDescent="0.25">
      <c r="A64" s="166"/>
      <c r="B64" s="167"/>
      <c r="C64" s="134" t="s">
        <v>45</v>
      </c>
      <c r="D64" s="20" t="s">
        <v>46</v>
      </c>
      <c r="E64" s="172">
        <f>1.05*1.15</f>
        <v>1.2075</v>
      </c>
      <c r="F64" s="26">
        <f>E64*F63</f>
        <v>1.4610749999999999</v>
      </c>
      <c r="G64" s="40"/>
      <c r="H64" s="26"/>
      <c r="I64" s="76"/>
      <c r="J64" s="26"/>
      <c r="K64" s="76"/>
      <c r="L64" s="26"/>
      <c r="M64" s="26"/>
    </row>
    <row r="65" spans="1:13" x14ac:dyDescent="0.25">
      <c r="A65" s="166"/>
      <c r="B65" s="167"/>
      <c r="C65" s="134" t="s">
        <v>471</v>
      </c>
      <c r="D65" s="20" t="s">
        <v>122</v>
      </c>
      <c r="E65" s="173">
        <f>0.028*1.25</f>
        <v>3.5000000000000003E-2</v>
      </c>
      <c r="F65" s="26">
        <f>E65*F63</f>
        <v>4.2350000000000006E-2</v>
      </c>
      <c r="G65" s="40"/>
      <c r="H65" s="26"/>
      <c r="I65" s="76"/>
      <c r="J65" s="26"/>
      <c r="K65" s="76"/>
      <c r="L65" s="26"/>
      <c r="M65" s="26"/>
    </row>
    <row r="66" spans="1:13" x14ac:dyDescent="0.25">
      <c r="A66" s="166"/>
      <c r="B66" s="167"/>
      <c r="C66" s="171" t="s">
        <v>473</v>
      </c>
      <c r="D66" s="167" t="s">
        <v>81</v>
      </c>
      <c r="E66" s="173">
        <v>1</v>
      </c>
      <c r="F66" s="26">
        <f>E66*F63</f>
        <v>1.21</v>
      </c>
      <c r="G66" s="40"/>
      <c r="H66" s="26"/>
      <c r="I66" s="76"/>
      <c r="J66" s="26"/>
      <c r="K66" s="76"/>
      <c r="L66" s="26"/>
      <c r="M66" s="26"/>
    </row>
    <row r="67" spans="1:13" x14ac:dyDescent="0.25">
      <c r="A67" s="174"/>
      <c r="B67" s="175"/>
      <c r="C67" s="31" t="s">
        <v>470</v>
      </c>
      <c r="D67" s="29" t="s">
        <v>122</v>
      </c>
      <c r="E67" s="177">
        <v>0.157</v>
      </c>
      <c r="F67" s="26">
        <f>E67*F63</f>
        <v>0.18997</v>
      </c>
      <c r="G67" s="40"/>
      <c r="H67" s="26"/>
      <c r="I67" s="76"/>
      <c r="J67" s="26"/>
      <c r="K67" s="76"/>
      <c r="L67" s="26"/>
      <c r="M67" s="26"/>
    </row>
    <row r="68" spans="1:13" ht="15.75" x14ac:dyDescent="0.25">
      <c r="A68" s="682"/>
      <c r="B68" s="16"/>
      <c r="C68" s="178" t="s">
        <v>108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54" x14ac:dyDescent="0.25">
      <c r="A69" s="403">
        <v>1</v>
      </c>
      <c r="B69" s="121" t="s">
        <v>109</v>
      </c>
      <c r="C69" s="69" t="s">
        <v>110</v>
      </c>
      <c r="D69" s="36" t="s">
        <v>147</v>
      </c>
      <c r="E69" s="55"/>
      <c r="F69" s="55">
        <v>32.4</v>
      </c>
      <c r="G69" s="179"/>
      <c r="H69" s="57"/>
      <c r="I69" s="180"/>
      <c r="J69" s="57"/>
      <c r="K69" s="180"/>
      <c r="L69" s="57"/>
      <c r="M69" s="181"/>
    </row>
    <row r="70" spans="1:13" x14ac:dyDescent="0.25">
      <c r="A70" s="109"/>
      <c r="B70" s="134"/>
      <c r="C70" s="134" t="s">
        <v>45</v>
      </c>
      <c r="D70" s="20" t="s">
        <v>46</v>
      </c>
      <c r="E70" s="26">
        <f>0.62/0.625</f>
        <v>0.99199999999999999</v>
      </c>
      <c r="F70" s="26">
        <f>E70*F69</f>
        <v>32.140799999999999</v>
      </c>
      <c r="G70" s="40"/>
      <c r="H70" s="77"/>
      <c r="I70" s="76"/>
      <c r="J70" s="26"/>
      <c r="K70" s="76"/>
      <c r="L70" s="26"/>
      <c r="M70" s="77"/>
    </row>
    <row r="71" spans="1:13" ht="27" x14ac:dyDescent="0.25">
      <c r="A71" s="109"/>
      <c r="B71" s="20"/>
      <c r="C71" s="665" t="s">
        <v>474</v>
      </c>
      <c r="D71" s="40" t="s">
        <v>147</v>
      </c>
      <c r="E71" s="40">
        <v>1.02</v>
      </c>
      <c r="F71" s="91">
        <f>E71*F69</f>
        <v>33.048000000000002</v>
      </c>
      <c r="G71" s="47"/>
      <c r="H71" s="89"/>
      <c r="I71" s="664"/>
      <c r="J71" s="459"/>
      <c r="K71" s="92"/>
      <c r="L71" s="89"/>
      <c r="M71" s="89"/>
    </row>
    <row r="72" spans="1:13" x14ac:dyDescent="0.25">
      <c r="A72" s="109"/>
      <c r="B72" s="20"/>
      <c r="C72" s="182" t="s">
        <v>475</v>
      </c>
      <c r="D72" s="183" t="s">
        <v>85</v>
      </c>
      <c r="E72" s="184">
        <v>1.9E-2</v>
      </c>
      <c r="F72" s="26">
        <f>E72*F69</f>
        <v>0.61559999999999993</v>
      </c>
      <c r="G72" s="40"/>
      <c r="H72" s="26"/>
      <c r="I72" s="76"/>
      <c r="J72" s="77"/>
      <c r="K72" s="76"/>
      <c r="L72" s="26"/>
      <c r="M72" s="77"/>
    </row>
    <row r="73" spans="1:13" ht="40.5" x14ac:dyDescent="0.25">
      <c r="A73" s="403">
        <v>2</v>
      </c>
      <c r="B73" s="768" t="s">
        <v>111</v>
      </c>
      <c r="C73" s="69" t="s">
        <v>112</v>
      </c>
      <c r="D73" s="36" t="s">
        <v>113</v>
      </c>
      <c r="E73" s="36"/>
      <c r="F73" s="104">
        <v>12.1</v>
      </c>
      <c r="G73" s="179"/>
      <c r="H73" s="57"/>
      <c r="I73" s="180"/>
      <c r="J73" s="57"/>
      <c r="K73" s="180"/>
      <c r="L73" s="57"/>
      <c r="M73" s="181"/>
    </row>
    <row r="74" spans="1:13" x14ac:dyDescent="0.25">
      <c r="A74" s="109"/>
      <c r="B74" s="769"/>
      <c r="C74" s="134" t="s">
        <v>45</v>
      </c>
      <c r="D74" s="20" t="s">
        <v>46</v>
      </c>
      <c r="E74" s="47">
        <v>1.0349999999999999</v>
      </c>
      <c r="F74" s="89">
        <f>E74*F73</f>
        <v>12.523499999999999</v>
      </c>
      <c r="G74" s="47"/>
      <c r="H74" s="89"/>
      <c r="I74" s="92"/>
      <c r="J74" s="89"/>
      <c r="K74" s="92"/>
      <c r="L74" s="89"/>
      <c r="M74" s="89"/>
    </row>
    <row r="75" spans="1:13" ht="15.75" x14ac:dyDescent="0.25">
      <c r="A75" s="687"/>
      <c r="B75" s="18"/>
      <c r="C75" s="186" t="s">
        <v>114</v>
      </c>
      <c r="D75" s="187" t="s">
        <v>115</v>
      </c>
      <c r="E75" s="188">
        <v>0.15</v>
      </c>
      <c r="F75" s="188">
        <f>E75*F73</f>
        <v>1.8149999999999999</v>
      </c>
      <c r="G75" s="189"/>
      <c r="H75" s="189"/>
      <c r="I75" s="190"/>
      <c r="J75" s="32"/>
      <c r="K75" s="33"/>
      <c r="L75" s="32"/>
      <c r="M75" s="89"/>
    </row>
    <row r="76" spans="1:13" ht="45" x14ac:dyDescent="0.25">
      <c r="A76" s="191">
        <v>3</v>
      </c>
      <c r="B76" s="121" t="s">
        <v>116</v>
      </c>
      <c r="C76" s="192" t="s">
        <v>117</v>
      </c>
      <c r="D76" s="193" t="s">
        <v>81</v>
      </c>
      <c r="E76" s="194"/>
      <c r="F76" s="367">
        <v>15.4</v>
      </c>
      <c r="G76" s="195"/>
      <c r="H76" s="196"/>
      <c r="I76" s="197"/>
      <c r="J76" s="196"/>
      <c r="K76" s="197"/>
      <c r="L76" s="196"/>
      <c r="M76" s="198"/>
    </row>
    <row r="77" spans="1:13" x14ac:dyDescent="0.25">
      <c r="A77" s="199"/>
      <c r="B77" s="134"/>
      <c r="C77" s="200" t="s">
        <v>118</v>
      </c>
      <c r="D77" s="201" t="s">
        <v>119</v>
      </c>
      <c r="E77" s="202">
        <v>1.4630000000000001</v>
      </c>
      <c r="F77" s="202">
        <f>E77*F76</f>
        <v>22.530200000000001</v>
      </c>
      <c r="G77" s="201"/>
      <c r="H77" s="202"/>
      <c r="I77" s="203"/>
      <c r="J77" s="202"/>
      <c r="K77" s="203"/>
      <c r="L77" s="202"/>
      <c r="M77" s="202"/>
    </row>
    <row r="78" spans="1:13" ht="30" x14ac:dyDescent="0.25">
      <c r="A78" s="199"/>
      <c r="B78" s="134"/>
      <c r="C78" s="666" t="s">
        <v>120</v>
      </c>
      <c r="D78" s="667" t="s">
        <v>85</v>
      </c>
      <c r="E78" s="667">
        <f>0.07+0.1</f>
        <v>0.17</v>
      </c>
      <c r="F78" s="668">
        <f>E78*F76</f>
        <v>2.6180000000000003</v>
      </c>
      <c r="G78" s="667"/>
      <c r="H78" s="668"/>
      <c r="I78" s="669"/>
      <c r="J78" s="668"/>
      <c r="K78" s="669"/>
      <c r="L78" s="668"/>
      <c r="M78" s="668"/>
    </row>
    <row r="79" spans="1:13" x14ac:dyDescent="0.25">
      <c r="A79" s="204"/>
      <c r="B79" s="29"/>
      <c r="C79" s="205" t="s">
        <v>121</v>
      </c>
      <c r="D79" s="206" t="s">
        <v>122</v>
      </c>
      <c r="E79" s="207">
        <v>0.23749999999999999</v>
      </c>
      <c r="F79" s="207">
        <f>E79*F76</f>
        <v>3.6574999999999998</v>
      </c>
      <c r="G79" s="206"/>
      <c r="H79" s="208"/>
      <c r="I79" s="209"/>
      <c r="J79" s="208"/>
      <c r="K79" s="209"/>
      <c r="L79" s="208"/>
      <c r="M79" s="208"/>
    </row>
    <row r="80" spans="1:13" ht="15.75" x14ac:dyDescent="0.25">
      <c r="A80" s="682"/>
      <c r="B80" s="16"/>
      <c r="C80" s="210" t="s">
        <v>123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27" x14ac:dyDescent="0.25">
      <c r="A81" s="403">
        <v>1</v>
      </c>
      <c r="B81" s="20" t="s">
        <v>124</v>
      </c>
      <c r="C81" s="211" t="s">
        <v>125</v>
      </c>
      <c r="D81" s="212" t="s">
        <v>65</v>
      </c>
      <c r="E81" s="212"/>
      <c r="F81" s="213">
        <v>11</v>
      </c>
      <c r="G81" s="83"/>
      <c r="H81" s="26"/>
      <c r="I81" s="97"/>
      <c r="J81" s="214"/>
      <c r="K81" s="215"/>
      <c r="L81" s="60"/>
      <c r="M81" s="61"/>
    </row>
    <row r="82" spans="1:13" x14ac:dyDescent="0.25">
      <c r="A82" s="109"/>
      <c r="B82" s="160"/>
      <c r="C82" s="205" t="s">
        <v>118</v>
      </c>
      <c r="D82" s="201" t="s">
        <v>119</v>
      </c>
      <c r="E82" s="146">
        <v>0.61099999999999999</v>
      </c>
      <c r="F82" s="147">
        <f>E82*F81</f>
        <v>6.7210000000000001</v>
      </c>
      <c r="G82" s="146"/>
      <c r="H82" s="147"/>
      <c r="I82" s="148"/>
      <c r="J82" s="147"/>
      <c r="K82" s="148"/>
      <c r="L82" s="147"/>
      <c r="M82" s="147"/>
    </row>
    <row r="83" spans="1:13" ht="27" x14ac:dyDescent="0.25">
      <c r="A83" s="403">
        <v>2</v>
      </c>
      <c r="B83" s="20" t="s">
        <v>126</v>
      </c>
      <c r="C83" s="82" t="s">
        <v>127</v>
      </c>
      <c r="D83" s="23" t="s">
        <v>65</v>
      </c>
      <c r="E83" s="23"/>
      <c r="F83" s="24">
        <v>11</v>
      </c>
      <c r="G83" s="56"/>
      <c r="H83" s="57"/>
      <c r="I83" s="58"/>
      <c r="J83" s="59"/>
      <c r="K83" s="60"/>
      <c r="L83" s="60"/>
      <c r="M83" s="61"/>
    </row>
    <row r="84" spans="1:13" x14ac:dyDescent="0.25">
      <c r="A84" s="109"/>
      <c r="B84" s="20"/>
      <c r="C84" s="200" t="s">
        <v>118</v>
      </c>
      <c r="D84" s="201" t="s">
        <v>119</v>
      </c>
      <c r="E84" s="40">
        <v>0.23799999999999999</v>
      </c>
      <c r="F84" s="26">
        <f>E84*F83</f>
        <v>2.6179999999999999</v>
      </c>
      <c r="G84" s="77"/>
      <c r="H84" s="26"/>
      <c r="I84" s="76"/>
      <c r="J84" s="26"/>
      <c r="K84" s="76"/>
      <c r="L84" s="26"/>
      <c r="M84" s="26"/>
    </row>
    <row r="85" spans="1:13" x14ac:dyDescent="0.25">
      <c r="A85" s="109"/>
      <c r="B85" s="29"/>
      <c r="C85" s="134" t="s">
        <v>471</v>
      </c>
      <c r="D85" s="20" t="s">
        <v>122</v>
      </c>
      <c r="E85" s="34">
        <v>0.186</v>
      </c>
      <c r="F85" s="32">
        <f>E85*F83</f>
        <v>2.0459999999999998</v>
      </c>
      <c r="G85" s="83"/>
      <c r="H85" s="26"/>
      <c r="I85" s="76"/>
      <c r="J85" s="26"/>
      <c r="K85" s="76"/>
      <c r="L85" s="26"/>
      <c r="M85" s="26"/>
    </row>
    <row r="86" spans="1:13" ht="27" x14ac:dyDescent="0.25">
      <c r="A86" s="781">
        <v>3</v>
      </c>
      <c r="B86" s="217" t="s">
        <v>128</v>
      </c>
      <c r="C86" s="218" t="s">
        <v>129</v>
      </c>
      <c r="D86" s="219" t="s">
        <v>81</v>
      </c>
      <c r="E86" s="219"/>
      <c r="F86" s="219">
        <v>11</v>
      </c>
      <c r="G86" s="220"/>
      <c r="H86" s="221"/>
      <c r="I86" s="222"/>
      <c r="J86" s="222"/>
      <c r="K86" s="223"/>
      <c r="L86" s="222"/>
      <c r="M86" s="224"/>
    </row>
    <row r="87" spans="1:13" x14ac:dyDescent="0.25">
      <c r="A87" s="782"/>
      <c r="B87" s="225"/>
      <c r="C87" s="200" t="s">
        <v>118</v>
      </c>
      <c r="D87" s="201" t="s">
        <v>119</v>
      </c>
      <c r="E87" s="227">
        <v>1</v>
      </c>
      <c r="F87" s="227">
        <f>E87*F86</f>
        <v>11</v>
      </c>
      <c r="G87" s="76"/>
      <c r="H87" s="228"/>
      <c r="I87" s="228"/>
      <c r="J87" s="228"/>
      <c r="K87" s="229"/>
      <c r="L87" s="228"/>
      <c r="M87" s="230"/>
    </row>
    <row r="88" spans="1:13" x14ac:dyDescent="0.25">
      <c r="A88" s="782"/>
      <c r="B88" s="226"/>
      <c r="C88" s="134" t="s">
        <v>471</v>
      </c>
      <c r="D88" s="20" t="s">
        <v>122</v>
      </c>
      <c r="E88" s="231">
        <f>(0.0023*2+0.0095)*1.25</f>
        <v>1.7624999999999998E-2</v>
      </c>
      <c r="F88" s="232">
        <f>E88*F86</f>
        <v>0.19387499999999999</v>
      </c>
      <c r="G88" s="228"/>
      <c r="H88" s="228"/>
      <c r="I88" s="228"/>
      <c r="J88" s="228"/>
      <c r="K88" s="229"/>
      <c r="L88" s="228"/>
      <c r="M88" s="230"/>
    </row>
    <row r="89" spans="1:13" x14ac:dyDescent="0.25">
      <c r="A89" s="782"/>
      <c r="B89" s="225"/>
      <c r="C89" s="226" t="s">
        <v>476</v>
      </c>
      <c r="D89" s="233" t="s">
        <v>83</v>
      </c>
      <c r="E89" s="234">
        <f>0.0051*6+0.0204</f>
        <v>5.1000000000000004E-2</v>
      </c>
      <c r="F89" s="227">
        <f>E89*F86</f>
        <v>0.56100000000000005</v>
      </c>
      <c r="G89" s="235"/>
      <c r="H89" s="228"/>
      <c r="I89" s="229"/>
      <c r="J89" s="228"/>
      <c r="K89" s="229"/>
      <c r="L89" s="228"/>
      <c r="M89" s="230"/>
    </row>
    <row r="90" spans="1:13" x14ac:dyDescent="0.25">
      <c r="A90" s="783"/>
      <c r="B90" s="236"/>
      <c r="C90" s="31" t="s">
        <v>470</v>
      </c>
      <c r="D90" s="29" t="s">
        <v>122</v>
      </c>
      <c r="E90" s="237">
        <v>6.3600000000000004E-2</v>
      </c>
      <c r="F90" s="237">
        <f>E90*F86</f>
        <v>0.6996</v>
      </c>
      <c r="G90" s="238"/>
      <c r="H90" s="239"/>
      <c r="I90" s="240"/>
      <c r="J90" s="239"/>
      <c r="K90" s="241"/>
      <c r="L90" s="239"/>
      <c r="M90" s="242"/>
    </row>
    <row r="91" spans="1:13" ht="54" x14ac:dyDescent="0.25">
      <c r="A91" s="403">
        <v>4</v>
      </c>
      <c r="B91" s="68" t="s">
        <v>130</v>
      </c>
      <c r="C91" s="69" t="s">
        <v>131</v>
      </c>
      <c r="D91" s="36" t="s">
        <v>81</v>
      </c>
      <c r="E91" s="55"/>
      <c r="F91" s="123">
        <v>11</v>
      </c>
      <c r="G91" s="70"/>
      <c r="H91" s="71"/>
      <c r="I91" s="70"/>
      <c r="J91" s="71"/>
      <c r="K91" s="70"/>
      <c r="L91" s="71"/>
      <c r="M91" s="71"/>
    </row>
    <row r="92" spans="1:13" x14ac:dyDescent="0.25">
      <c r="A92" s="109"/>
      <c r="B92" s="73"/>
      <c r="C92" s="200" t="s">
        <v>118</v>
      </c>
      <c r="D92" s="201" t="s">
        <v>119</v>
      </c>
      <c r="E92" s="26">
        <f>2.42*1.15</f>
        <v>2.7829999999999999</v>
      </c>
      <c r="F92" s="26">
        <f>F91*E92</f>
        <v>30.613</v>
      </c>
      <c r="G92" s="77"/>
      <c r="H92" s="77"/>
      <c r="I92" s="76"/>
      <c r="J92" s="26"/>
      <c r="K92" s="76"/>
      <c r="L92" s="26"/>
      <c r="M92" s="77"/>
    </row>
    <row r="93" spans="1:13" x14ac:dyDescent="0.25">
      <c r="A93" s="109"/>
      <c r="B93" s="73"/>
      <c r="C93" s="134" t="s">
        <v>471</v>
      </c>
      <c r="D93" s="20" t="s">
        <v>122</v>
      </c>
      <c r="E93" s="87">
        <f>0.045*1.25</f>
        <v>5.6249999999999994E-2</v>
      </c>
      <c r="F93" s="26">
        <f>F91*E93</f>
        <v>0.61874999999999991</v>
      </c>
      <c r="G93" s="40"/>
      <c r="H93" s="77"/>
      <c r="I93" s="76"/>
      <c r="J93" s="26"/>
      <c r="K93" s="76"/>
      <c r="L93" s="26"/>
      <c r="M93" s="77"/>
    </row>
    <row r="94" spans="1:13" x14ac:dyDescent="0.25">
      <c r="A94" s="109"/>
      <c r="B94" s="73"/>
      <c r="C94" s="74" t="s">
        <v>478</v>
      </c>
      <c r="D94" s="40" t="s">
        <v>81</v>
      </c>
      <c r="E94" s="26">
        <v>1.02</v>
      </c>
      <c r="F94" s="26">
        <f>F91*E94</f>
        <v>11.22</v>
      </c>
      <c r="G94" s="40"/>
      <c r="H94" s="77"/>
      <c r="I94" s="77"/>
      <c r="J94" s="26"/>
      <c r="K94" s="76"/>
      <c r="L94" s="26"/>
      <c r="M94" s="77"/>
    </row>
    <row r="95" spans="1:13" x14ac:dyDescent="0.25">
      <c r="A95" s="109"/>
      <c r="B95" s="73"/>
      <c r="C95" s="74" t="s">
        <v>477</v>
      </c>
      <c r="D95" s="40" t="s">
        <v>75</v>
      </c>
      <c r="E95" s="40">
        <v>5.5</v>
      </c>
      <c r="F95" s="26">
        <f>F91*E95</f>
        <v>60.5</v>
      </c>
      <c r="G95" s="40"/>
      <c r="H95" s="77"/>
      <c r="I95" s="76"/>
      <c r="J95" s="26"/>
      <c r="K95" s="76"/>
      <c r="L95" s="26"/>
      <c r="M95" s="77"/>
    </row>
    <row r="96" spans="1:13" x14ac:dyDescent="0.25">
      <c r="A96" s="115"/>
      <c r="B96" s="79"/>
      <c r="C96" s="31" t="s">
        <v>470</v>
      </c>
      <c r="D96" s="29" t="s">
        <v>122</v>
      </c>
      <c r="E96" s="34">
        <v>4.2999999999999997E-2</v>
      </c>
      <c r="F96" s="32">
        <f>F91*E96</f>
        <v>0.47299999999999998</v>
      </c>
      <c r="G96" s="40"/>
      <c r="H96" s="77"/>
      <c r="I96" s="76"/>
      <c r="J96" s="26"/>
      <c r="K96" s="76"/>
      <c r="L96" s="26"/>
      <c r="M96" s="26"/>
    </row>
    <row r="97" spans="1:13" ht="40.5" x14ac:dyDescent="0.25">
      <c r="A97" s="403">
        <v>5</v>
      </c>
      <c r="B97" s="68" t="s">
        <v>134</v>
      </c>
      <c r="C97" s="69" t="s">
        <v>479</v>
      </c>
      <c r="D97" s="36" t="s">
        <v>81</v>
      </c>
      <c r="E97" s="55"/>
      <c r="F97" s="123">
        <v>73</v>
      </c>
      <c r="G97" s="179"/>
      <c r="H97" s="57"/>
      <c r="I97" s="180"/>
      <c r="J97" s="57"/>
      <c r="K97" s="180"/>
      <c r="L97" s="57"/>
      <c r="M97" s="181"/>
    </row>
    <row r="98" spans="1:13" x14ac:dyDescent="0.25">
      <c r="A98" s="109"/>
      <c r="B98" s="73"/>
      <c r="C98" s="200" t="s">
        <v>118</v>
      </c>
      <c r="D98" s="201" t="s">
        <v>119</v>
      </c>
      <c r="E98" s="26">
        <f>0.811*1.15</f>
        <v>0.93264999999999998</v>
      </c>
      <c r="F98" s="26">
        <f>F97*E98</f>
        <v>68.083449999999999</v>
      </c>
      <c r="G98" s="77"/>
      <c r="H98" s="77"/>
      <c r="I98" s="76"/>
      <c r="J98" s="26"/>
      <c r="K98" s="76"/>
      <c r="L98" s="26"/>
      <c r="M98" s="77"/>
    </row>
    <row r="99" spans="1:13" x14ac:dyDescent="0.25">
      <c r="A99" s="109"/>
      <c r="B99" s="73"/>
      <c r="C99" s="134" t="s">
        <v>471</v>
      </c>
      <c r="D99" s="20" t="s">
        <v>122</v>
      </c>
      <c r="E99" s="40">
        <f>0.012*1.25</f>
        <v>1.4999999999999999E-2</v>
      </c>
      <c r="F99" s="26">
        <f>F97*E99</f>
        <v>1.095</v>
      </c>
      <c r="G99" s="40"/>
      <c r="H99" s="77"/>
      <c r="I99" s="76"/>
      <c r="J99" s="26"/>
      <c r="K99" s="76"/>
      <c r="L99" s="26"/>
      <c r="M99" s="26"/>
    </row>
    <row r="100" spans="1:13" x14ac:dyDescent="0.25">
      <c r="A100" s="115"/>
      <c r="B100" s="79"/>
      <c r="C100" s="670" t="s">
        <v>480</v>
      </c>
      <c r="D100" s="34" t="s">
        <v>122</v>
      </c>
      <c r="E100" s="32">
        <v>1</v>
      </c>
      <c r="F100" s="32">
        <f>F97*E100</f>
        <v>73</v>
      </c>
      <c r="G100" s="34"/>
      <c r="H100" s="128"/>
      <c r="I100" s="33"/>
      <c r="J100" s="32"/>
      <c r="K100" s="33"/>
      <c r="L100" s="32"/>
      <c r="M100" s="128"/>
    </row>
    <row r="101" spans="1:13" ht="27" x14ac:dyDescent="0.25">
      <c r="A101" s="403">
        <v>6</v>
      </c>
      <c r="B101" s="93" t="s">
        <v>70</v>
      </c>
      <c r="C101" s="94" t="s">
        <v>136</v>
      </c>
      <c r="D101" s="95" t="s">
        <v>81</v>
      </c>
      <c r="E101" s="56"/>
      <c r="F101" s="96">
        <v>65</v>
      </c>
      <c r="G101" s="56"/>
      <c r="H101" s="57"/>
      <c r="I101" s="58"/>
      <c r="J101" s="59"/>
      <c r="K101" s="60"/>
      <c r="L101" s="60"/>
      <c r="M101" s="61"/>
    </row>
    <row r="102" spans="1:13" x14ac:dyDescent="0.25">
      <c r="A102" s="109"/>
      <c r="B102" s="164"/>
      <c r="C102" s="200" t="s">
        <v>118</v>
      </c>
      <c r="D102" s="201" t="s">
        <v>119</v>
      </c>
      <c r="E102" s="47">
        <v>0.25800000000000001</v>
      </c>
      <c r="F102" s="89">
        <f>E102*F101</f>
        <v>16.77</v>
      </c>
      <c r="G102" s="91"/>
      <c r="H102" s="89"/>
      <c r="I102" s="92"/>
      <c r="J102" s="89"/>
      <c r="K102" s="92"/>
      <c r="L102" s="89"/>
      <c r="M102" s="89"/>
    </row>
    <row r="103" spans="1:13" x14ac:dyDescent="0.25">
      <c r="A103" s="115"/>
      <c r="B103" s="145"/>
      <c r="C103" s="134" t="s">
        <v>471</v>
      </c>
      <c r="D103" s="185" t="s">
        <v>122</v>
      </c>
      <c r="E103" s="146">
        <v>1.6000000000000001E-3</v>
      </c>
      <c r="F103" s="146">
        <f>E103*F101</f>
        <v>0.10400000000000001</v>
      </c>
      <c r="G103" s="146"/>
      <c r="H103" s="147"/>
      <c r="I103" s="148"/>
      <c r="J103" s="147"/>
      <c r="K103" s="148"/>
      <c r="L103" s="147"/>
      <c r="M103" s="147"/>
    </row>
    <row r="104" spans="1:13" ht="54" x14ac:dyDescent="0.25">
      <c r="A104" s="101">
        <v>7</v>
      </c>
      <c r="B104" s="778" t="s">
        <v>137</v>
      </c>
      <c r="C104" s="102" t="s">
        <v>138</v>
      </c>
      <c r="D104" s="103" t="s">
        <v>81</v>
      </c>
      <c r="E104" s="103"/>
      <c r="F104" s="104">
        <v>65</v>
      </c>
      <c r="G104" s="105"/>
      <c r="H104" s="106"/>
      <c r="I104" s="107"/>
      <c r="J104" s="106"/>
      <c r="K104" s="107"/>
      <c r="L104" s="106"/>
      <c r="M104" s="108"/>
    </row>
    <row r="105" spans="1:13" x14ac:dyDescent="0.25">
      <c r="A105" s="109"/>
      <c r="B105" s="771"/>
      <c r="C105" s="200" t="s">
        <v>118</v>
      </c>
      <c r="D105" s="201" t="s">
        <v>119</v>
      </c>
      <c r="E105" s="43">
        <f>0.856*1.15</f>
        <v>0.98439999999999994</v>
      </c>
      <c r="F105" s="43">
        <f>E105*F104</f>
        <v>63.985999999999997</v>
      </c>
      <c r="G105" s="86"/>
      <c r="H105" s="43"/>
      <c r="I105" s="110"/>
      <c r="J105" s="43"/>
      <c r="K105" s="110"/>
      <c r="L105" s="43"/>
      <c r="M105" s="75"/>
    </row>
    <row r="106" spans="1:13" x14ac:dyDescent="0.25">
      <c r="A106" s="109"/>
      <c r="B106" s="771"/>
      <c r="C106" s="134" t="s">
        <v>471</v>
      </c>
      <c r="D106" s="185" t="s">
        <v>122</v>
      </c>
      <c r="E106" s="111">
        <f>0.012*1.25</f>
        <v>1.4999999999999999E-2</v>
      </c>
      <c r="F106" s="43">
        <f>E106*F104</f>
        <v>0.97499999999999998</v>
      </c>
      <c r="G106" s="86"/>
      <c r="H106" s="43"/>
      <c r="I106" s="110"/>
      <c r="J106" s="43"/>
      <c r="K106" s="110"/>
      <c r="L106" s="43"/>
      <c r="M106" s="75"/>
    </row>
    <row r="107" spans="1:13" x14ac:dyDescent="0.25">
      <c r="A107" s="109"/>
      <c r="B107" s="86"/>
      <c r="C107" s="112" t="s">
        <v>481</v>
      </c>
      <c r="D107" s="86" t="s">
        <v>85</v>
      </c>
      <c r="E107" s="86">
        <v>0.24</v>
      </c>
      <c r="F107" s="43">
        <f>E107*F104</f>
        <v>15.6</v>
      </c>
      <c r="G107" s="86"/>
      <c r="H107" s="43"/>
      <c r="I107" s="113"/>
      <c r="J107" s="75"/>
      <c r="K107" s="110"/>
      <c r="L107" s="43"/>
      <c r="M107" s="75"/>
    </row>
    <row r="108" spans="1:13" x14ac:dyDescent="0.25">
      <c r="A108" s="109"/>
      <c r="B108" s="86"/>
      <c r="C108" s="112" t="s">
        <v>472</v>
      </c>
      <c r="D108" s="114" t="s">
        <v>85</v>
      </c>
      <c r="E108" s="114">
        <f>0.314</f>
        <v>0.314</v>
      </c>
      <c r="F108" s="43">
        <f>E108*F104</f>
        <v>20.41</v>
      </c>
      <c r="G108" s="86"/>
      <c r="H108" s="43"/>
      <c r="I108" s="110"/>
      <c r="J108" s="75"/>
      <c r="K108" s="110"/>
      <c r="L108" s="43"/>
      <c r="M108" s="75"/>
    </row>
    <row r="109" spans="1:13" x14ac:dyDescent="0.25">
      <c r="A109" s="115"/>
      <c r="B109" s="50"/>
      <c r="C109" s="116" t="s">
        <v>490</v>
      </c>
      <c r="D109" s="50" t="s">
        <v>122</v>
      </c>
      <c r="E109" s="50">
        <v>1.6E-2</v>
      </c>
      <c r="F109" s="117">
        <f>E109*F104</f>
        <v>1.04</v>
      </c>
      <c r="G109" s="50"/>
      <c r="H109" s="118"/>
      <c r="I109" s="119"/>
      <c r="J109" s="118"/>
      <c r="K109" s="119"/>
      <c r="L109" s="118"/>
      <c r="M109" s="120"/>
    </row>
    <row r="110" spans="1:13" ht="40.5" x14ac:dyDescent="0.25">
      <c r="A110" s="688">
        <v>8</v>
      </c>
      <c r="B110" s="244" t="s">
        <v>140</v>
      </c>
      <c r="C110" s="245" t="s">
        <v>141</v>
      </c>
      <c r="D110" s="246" t="s">
        <v>142</v>
      </c>
      <c r="E110" s="247"/>
      <c r="F110" s="248">
        <f>F113*0.00383+F114*0.00525+F115*0.00108+F116*0.00383</f>
        <v>0.497585</v>
      </c>
      <c r="G110" s="249"/>
      <c r="H110" s="249"/>
      <c r="I110" s="250"/>
      <c r="J110" s="249"/>
      <c r="K110" s="249"/>
      <c r="L110" s="249"/>
      <c r="M110" s="250"/>
    </row>
    <row r="111" spans="1:13" x14ac:dyDescent="0.25">
      <c r="A111" s="251"/>
      <c r="B111" s="251"/>
      <c r="C111" s="252" t="s">
        <v>143</v>
      </c>
      <c r="D111" s="97" t="s">
        <v>46</v>
      </c>
      <c r="E111" s="99">
        <f>53.8*1.15</f>
        <v>61.86999999999999</v>
      </c>
      <c r="F111" s="127">
        <f>E111*F110</f>
        <v>30.785583949999996</v>
      </c>
      <c r="G111" s="127"/>
      <c r="H111" s="127"/>
      <c r="I111" s="253"/>
      <c r="J111" s="254"/>
      <c r="K111" s="254"/>
      <c r="L111" s="254"/>
      <c r="M111" s="214"/>
    </row>
    <row r="112" spans="1:13" x14ac:dyDescent="0.25">
      <c r="A112" s="251"/>
      <c r="B112" s="251"/>
      <c r="C112" s="98" t="s">
        <v>144</v>
      </c>
      <c r="D112" s="97" t="s">
        <v>145</v>
      </c>
      <c r="E112" s="83">
        <f>18.4*1.25</f>
        <v>23</v>
      </c>
      <c r="F112" s="127">
        <f>E112*F110</f>
        <v>11.444455</v>
      </c>
      <c r="G112" s="40"/>
      <c r="H112" s="26"/>
      <c r="I112" s="76"/>
      <c r="J112" s="26"/>
      <c r="K112" s="76"/>
      <c r="L112" s="26"/>
      <c r="M112" s="255"/>
    </row>
    <row r="113" spans="1:13" x14ac:dyDescent="0.25">
      <c r="A113" s="251"/>
      <c r="B113" s="251"/>
      <c r="C113" s="46" t="s">
        <v>146</v>
      </c>
      <c r="D113" s="256" t="s">
        <v>147</v>
      </c>
      <c r="E113" s="47"/>
      <c r="F113" s="257">
        <v>29</v>
      </c>
      <c r="G113" s="47"/>
      <c r="H113" s="89"/>
      <c r="I113" s="92"/>
      <c r="J113" s="89"/>
      <c r="K113" s="92"/>
      <c r="L113" s="89"/>
      <c r="M113" s="258"/>
    </row>
    <row r="114" spans="1:13" x14ac:dyDescent="0.25">
      <c r="A114" s="251"/>
      <c r="B114" s="251"/>
      <c r="C114" s="46" t="s">
        <v>148</v>
      </c>
      <c r="D114" s="256" t="s">
        <v>147</v>
      </c>
      <c r="E114" s="47"/>
      <c r="F114" s="257">
        <v>2</v>
      </c>
      <c r="G114" s="47"/>
      <c r="H114" s="89"/>
      <c r="I114" s="92"/>
      <c r="J114" s="89"/>
      <c r="K114" s="92"/>
      <c r="L114" s="89"/>
      <c r="M114" s="258"/>
    </row>
    <row r="115" spans="1:13" x14ac:dyDescent="0.25">
      <c r="A115" s="251"/>
      <c r="B115" s="251"/>
      <c r="C115" s="165" t="s">
        <v>149</v>
      </c>
      <c r="D115" s="256" t="s">
        <v>147</v>
      </c>
      <c r="E115" s="47"/>
      <c r="F115" s="257">
        <f>30*8</f>
        <v>240</v>
      </c>
      <c r="G115" s="40"/>
      <c r="H115" s="26"/>
      <c r="I115" s="92"/>
      <c r="J115" s="26"/>
      <c r="K115" s="76"/>
      <c r="L115" s="26"/>
      <c r="M115" s="214"/>
    </row>
    <row r="116" spans="1:13" ht="27.75" customHeight="1" x14ac:dyDescent="0.25">
      <c r="A116" s="251"/>
      <c r="B116" s="251"/>
      <c r="C116" s="46" t="s">
        <v>150</v>
      </c>
      <c r="D116" s="256" t="s">
        <v>147</v>
      </c>
      <c r="E116" s="47"/>
      <c r="F116" s="259">
        <v>30.5</v>
      </c>
      <c r="G116" s="40"/>
      <c r="H116" s="26"/>
      <c r="I116" s="92"/>
      <c r="J116" s="26"/>
      <c r="K116" s="76"/>
      <c r="L116" s="26"/>
      <c r="M116" s="214"/>
    </row>
    <row r="117" spans="1:13" x14ac:dyDescent="0.25">
      <c r="A117" s="251"/>
      <c r="B117" s="251"/>
      <c r="C117" s="165" t="s">
        <v>151</v>
      </c>
      <c r="D117" s="97" t="s">
        <v>85</v>
      </c>
      <c r="E117" s="83">
        <v>24.4</v>
      </c>
      <c r="F117" s="127">
        <f>E117*F110</f>
        <v>12.141074</v>
      </c>
      <c r="G117" s="40"/>
      <c r="H117" s="26"/>
      <c r="I117" s="76"/>
      <c r="J117" s="214"/>
      <c r="K117" s="76"/>
      <c r="L117" s="26"/>
      <c r="M117" s="214"/>
    </row>
    <row r="118" spans="1:13" x14ac:dyDescent="0.25">
      <c r="A118" s="260"/>
      <c r="B118" s="260"/>
      <c r="C118" s="243" t="s">
        <v>152</v>
      </c>
      <c r="D118" s="64" t="s">
        <v>122</v>
      </c>
      <c r="E118" s="65">
        <v>2.78</v>
      </c>
      <c r="F118" s="261">
        <f>E118*F110</f>
        <v>1.3832863</v>
      </c>
      <c r="G118" s="34"/>
      <c r="H118" s="32"/>
      <c r="I118" s="33"/>
      <c r="J118" s="262"/>
      <c r="K118" s="33"/>
      <c r="L118" s="32"/>
      <c r="M118" s="263"/>
    </row>
    <row r="119" spans="1:13" ht="63.75" customHeight="1" x14ac:dyDescent="0.25">
      <c r="A119" s="454">
        <v>9</v>
      </c>
      <c r="B119" s="264" t="s">
        <v>153</v>
      </c>
      <c r="C119" s="54" t="s">
        <v>154</v>
      </c>
      <c r="D119" s="265" t="s">
        <v>165</v>
      </c>
      <c r="E119" s="266"/>
      <c r="F119" s="267">
        <v>124</v>
      </c>
      <c r="G119" s="40"/>
      <c r="H119" s="26"/>
      <c r="I119" s="110"/>
      <c r="J119" s="26"/>
      <c r="K119" s="76"/>
      <c r="L119" s="26"/>
      <c r="M119" s="26"/>
    </row>
    <row r="120" spans="1:13" x14ac:dyDescent="0.25">
      <c r="A120" s="689"/>
      <c r="B120" s="97"/>
      <c r="C120" s="252" t="s">
        <v>143</v>
      </c>
      <c r="D120" s="97" t="s">
        <v>46</v>
      </c>
      <c r="E120" s="83">
        <f>0.426</f>
        <v>0.42599999999999999</v>
      </c>
      <c r="F120" s="269">
        <f>E120*F119</f>
        <v>52.823999999999998</v>
      </c>
      <c r="G120" s="40"/>
      <c r="H120" s="26"/>
      <c r="I120" s="110"/>
      <c r="J120" s="26"/>
      <c r="K120" s="76"/>
      <c r="L120" s="26"/>
      <c r="M120" s="26"/>
    </row>
    <row r="121" spans="1:13" x14ac:dyDescent="0.25">
      <c r="A121" s="689"/>
      <c r="B121" s="97"/>
      <c r="C121" s="270" t="s">
        <v>482</v>
      </c>
      <c r="D121" s="97" t="s">
        <v>145</v>
      </c>
      <c r="E121" s="83">
        <f>0.215</f>
        <v>0.215</v>
      </c>
      <c r="F121" s="269">
        <f>E121*F119</f>
        <v>26.66</v>
      </c>
      <c r="G121" s="40"/>
      <c r="H121" s="26"/>
      <c r="I121" s="110"/>
      <c r="J121" s="26"/>
      <c r="K121" s="76"/>
      <c r="L121" s="26"/>
      <c r="M121" s="26"/>
    </row>
    <row r="122" spans="1:13" x14ac:dyDescent="0.25">
      <c r="A122" s="689"/>
      <c r="B122" s="271"/>
      <c r="C122" s="268" t="s">
        <v>483</v>
      </c>
      <c r="D122" s="97" t="s">
        <v>165</v>
      </c>
      <c r="E122" s="83">
        <f>0.0252</f>
        <v>2.52E-2</v>
      </c>
      <c r="F122" s="269">
        <f>E122*F119</f>
        <v>3.1248</v>
      </c>
      <c r="G122" s="40"/>
      <c r="H122" s="26"/>
      <c r="I122" s="110"/>
      <c r="J122" s="26"/>
      <c r="K122" s="76"/>
      <c r="L122" s="26"/>
      <c r="M122" s="272"/>
    </row>
    <row r="123" spans="1:13" x14ac:dyDescent="0.25">
      <c r="A123" s="690"/>
      <c r="B123" s="273"/>
      <c r="C123" s="243" t="s">
        <v>152</v>
      </c>
      <c r="D123" s="64" t="s">
        <v>122</v>
      </c>
      <c r="E123" s="65">
        <f>0.29</f>
        <v>0.28999999999999998</v>
      </c>
      <c r="F123" s="81">
        <f>E123*F119</f>
        <v>35.96</v>
      </c>
      <c r="G123" s="34"/>
      <c r="H123" s="32"/>
      <c r="I123" s="119"/>
      <c r="J123" s="32"/>
      <c r="K123" s="33"/>
      <c r="L123" s="32"/>
      <c r="M123" s="32"/>
    </row>
    <row r="124" spans="1:13" ht="54" x14ac:dyDescent="0.25">
      <c r="A124" s="454">
        <v>10</v>
      </c>
      <c r="B124" s="93" t="s">
        <v>160</v>
      </c>
      <c r="C124" s="54" t="s">
        <v>161</v>
      </c>
      <c r="D124" s="274" t="s">
        <v>75</v>
      </c>
      <c r="E124" s="36"/>
      <c r="F124" s="36">
        <f>0.9*0.15*124</f>
        <v>16.740000000000002</v>
      </c>
      <c r="G124" s="70"/>
      <c r="H124" s="181"/>
      <c r="I124" s="275"/>
      <c r="J124" s="181"/>
      <c r="K124" s="276"/>
      <c r="L124" s="70"/>
      <c r="M124" s="181"/>
    </row>
    <row r="125" spans="1:13" x14ac:dyDescent="0.25">
      <c r="A125" s="164"/>
      <c r="B125" s="97"/>
      <c r="C125" s="252" t="s">
        <v>143</v>
      </c>
      <c r="D125" s="97" t="s">
        <v>46</v>
      </c>
      <c r="E125" s="83">
        <f>0.3*1.15</f>
        <v>0.34499999999999997</v>
      </c>
      <c r="F125" s="99">
        <f>E125*F124</f>
        <v>5.7753000000000005</v>
      </c>
      <c r="G125" s="83"/>
      <c r="H125" s="26"/>
      <c r="I125" s="110"/>
      <c r="J125" s="26"/>
      <c r="K125" s="76"/>
      <c r="L125" s="26"/>
      <c r="M125" s="26"/>
    </row>
    <row r="126" spans="1:13" x14ac:dyDescent="0.25">
      <c r="A126" s="164"/>
      <c r="B126" s="164"/>
      <c r="C126" s="98" t="s">
        <v>144</v>
      </c>
      <c r="D126" s="97" t="s">
        <v>145</v>
      </c>
      <c r="E126" s="279">
        <f>0.021*1.25</f>
        <v>2.6250000000000002E-2</v>
      </c>
      <c r="F126" s="83">
        <f>E126*F124</f>
        <v>0.43942500000000012</v>
      </c>
      <c r="G126" s="40"/>
      <c r="H126" s="26"/>
      <c r="I126" s="110"/>
      <c r="J126" s="26"/>
      <c r="K126" s="76"/>
      <c r="L126" s="26"/>
      <c r="M126" s="26"/>
    </row>
    <row r="127" spans="1:13" x14ac:dyDescent="0.25">
      <c r="A127" s="164"/>
      <c r="B127" s="271"/>
      <c r="C127" s="277" t="s">
        <v>163</v>
      </c>
      <c r="D127" s="97" t="s">
        <v>165</v>
      </c>
      <c r="E127" s="83">
        <v>1</v>
      </c>
      <c r="F127" s="127">
        <v>124</v>
      </c>
      <c r="G127" s="40"/>
      <c r="H127" s="26"/>
      <c r="I127" s="43"/>
      <c r="J127" s="26"/>
      <c r="K127" s="76"/>
      <c r="L127" s="26"/>
      <c r="M127" s="26"/>
    </row>
    <row r="128" spans="1:13" ht="40.5" x14ac:dyDescent="0.25">
      <c r="A128" s="145"/>
      <c r="B128" s="273"/>
      <c r="C128" s="278" t="s">
        <v>164</v>
      </c>
      <c r="D128" s="164" t="s">
        <v>165</v>
      </c>
      <c r="E128" s="47"/>
      <c r="F128" s="91">
        <v>2</v>
      </c>
      <c r="G128" s="47"/>
      <c r="H128" s="89"/>
      <c r="I128" s="89"/>
      <c r="J128" s="89"/>
      <c r="K128" s="92"/>
      <c r="L128" s="89"/>
      <c r="M128" s="89"/>
    </row>
    <row r="129" spans="1:13" ht="15.75" x14ac:dyDescent="0.25">
      <c r="A129" s="682"/>
      <c r="B129" s="16"/>
      <c r="C129" s="178" t="s">
        <v>166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27" x14ac:dyDescent="0.25">
      <c r="A130" s="454">
        <v>1</v>
      </c>
      <c r="B130" s="281" t="s">
        <v>153</v>
      </c>
      <c r="C130" s="54" t="s">
        <v>167</v>
      </c>
      <c r="D130" s="265" t="s">
        <v>155</v>
      </c>
      <c r="E130" s="266"/>
      <c r="F130" s="282">
        <v>18</v>
      </c>
      <c r="G130" s="40"/>
      <c r="H130" s="26"/>
      <c r="I130" s="110"/>
      <c r="J130" s="26"/>
      <c r="K130" s="76"/>
      <c r="L130" s="26"/>
      <c r="M130" s="26"/>
    </row>
    <row r="131" spans="1:13" x14ac:dyDescent="0.25">
      <c r="A131" s="689"/>
      <c r="B131" s="97"/>
      <c r="C131" s="252" t="s">
        <v>143</v>
      </c>
      <c r="D131" s="97" t="s">
        <v>46</v>
      </c>
      <c r="E131" s="83">
        <f>0.426</f>
        <v>0.42599999999999999</v>
      </c>
      <c r="F131" s="269">
        <f>E131*F130</f>
        <v>7.6680000000000001</v>
      </c>
      <c r="G131" s="40"/>
      <c r="H131" s="26"/>
      <c r="I131" s="110"/>
      <c r="J131" s="26"/>
      <c r="K131" s="76"/>
      <c r="L131" s="26"/>
      <c r="M131" s="26"/>
    </row>
    <row r="132" spans="1:13" x14ac:dyDescent="0.25">
      <c r="A132" s="689"/>
      <c r="B132" s="97"/>
      <c r="C132" s="270" t="s">
        <v>482</v>
      </c>
      <c r="D132" s="97" t="s">
        <v>145</v>
      </c>
      <c r="E132" s="83">
        <f>0.215</f>
        <v>0.215</v>
      </c>
      <c r="F132" s="269">
        <f>E132*F130</f>
        <v>3.87</v>
      </c>
      <c r="G132" s="40"/>
      <c r="H132" s="26"/>
      <c r="I132" s="110"/>
      <c r="J132" s="26"/>
      <c r="K132" s="76"/>
      <c r="L132" s="26"/>
      <c r="M132" s="26"/>
    </row>
    <row r="133" spans="1:13" x14ac:dyDescent="0.25">
      <c r="A133" s="689"/>
      <c r="B133" s="271"/>
      <c r="C133" s="268" t="s">
        <v>483</v>
      </c>
      <c r="D133" s="97" t="s">
        <v>165</v>
      </c>
      <c r="E133" s="83">
        <f>0.0252</f>
        <v>2.52E-2</v>
      </c>
      <c r="F133" s="269">
        <f>E133*F130</f>
        <v>0.4536</v>
      </c>
      <c r="G133" s="40"/>
      <c r="H133" s="26"/>
      <c r="I133" s="110"/>
      <c r="J133" s="26"/>
      <c r="K133" s="76"/>
      <c r="L133" s="26"/>
      <c r="M133" s="272"/>
    </row>
    <row r="134" spans="1:13" x14ac:dyDescent="0.25">
      <c r="A134" s="690"/>
      <c r="B134" s="273"/>
      <c r="C134" s="243" t="s">
        <v>152</v>
      </c>
      <c r="D134" s="64" t="s">
        <v>122</v>
      </c>
      <c r="E134" s="65">
        <f>0.29</f>
        <v>0.28999999999999998</v>
      </c>
      <c r="F134" s="32">
        <f>E134*F130</f>
        <v>5.22</v>
      </c>
      <c r="G134" s="34"/>
      <c r="H134" s="32"/>
      <c r="I134" s="119"/>
      <c r="J134" s="32"/>
      <c r="K134" s="33"/>
      <c r="L134" s="32"/>
      <c r="M134" s="32"/>
    </row>
    <row r="135" spans="1:13" ht="67.5" x14ac:dyDescent="0.25">
      <c r="A135" s="121">
        <v>2</v>
      </c>
      <c r="B135" s="283" t="s">
        <v>168</v>
      </c>
      <c r="C135" s="69" t="s">
        <v>169</v>
      </c>
      <c r="D135" s="36" t="s">
        <v>170</v>
      </c>
      <c r="E135" s="36"/>
      <c r="F135" s="284">
        <v>0.15</v>
      </c>
      <c r="G135" s="179"/>
      <c r="H135" s="57"/>
      <c r="I135" s="180"/>
      <c r="J135" s="285"/>
      <c r="K135" s="180"/>
      <c r="L135" s="57"/>
      <c r="M135" s="181"/>
    </row>
    <row r="136" spans="1:13" x14ac:dyDescent="0.25">
      <c r="A136" s="132"/>
      <c r="B136" s="132"/>
      <c r="C136" s="252" t="s">
        <v>143</v>
      </c>
      <c r="D136" s="97" t="s">
        <v>46</v>
      </c>
      <c r="E136" s="89">
        <f>9.25*1.15*1.1</f>
        <v>11.70125</v>
      </c>
      <c r="F136" s="89">
        <f>E136*F135</f>
        <v>1.7551874999999999</v>
      </c>
      <c r="G136" s="91"/>
      <c r="H136" s="89"/>
      <c r="I136" s="92"/>
      <c r="J136" s="91"/>
      <c r="K136" s="92"/>
      <c r="L136" s="89"/>
      <c r="M136" s="89"/>
    </row>
    <row r="137" spans="1:13" x14ac:dyDescent="0.25">
      <c r="A137" s="132"/>
      <c r="B137" s="20"/>
      <c r="C137" s="98" t="s">
        <v>144</v>
      </c>
      <c r="D137" s="97" t="s">
        <v>145</v>
      </c>
      <c r="E137" s="40">
        <f>1.14*1.25</f>
        <v>1.4249999999999998</v>
      </c>
      <c r="F137" s="26">
        <f>E137*F135</f>
        <v>0.21374999999999997</v>
      </c>
      <c r="G137" s="40"/>
      <c r="H137" s="26"/>
      <c r="I137" s="76"/>
      <c r="J137" s="77"/>
      <c r="K137" s="76"/>
      <c r="L137" s="26"/>
      <c r="M137" s="26"/>
    </row>
    <row r="138" spans="1:13" x14ac:dyDescent="0.25">
      <c r="A138" s="132"/>
      <c r="B138" s="20"/>
      <c r="C138" s="165" t="s">
        <v>484</v>
      </c>
      <c r="D138" s="454" t="s">
        <v>83</v>
      </c>
      <c r="E138" s="40">
        <v>1.0149999999999999</v>
      </c>
      <c r="F138" s="26">
        <f>E138*F135</f>
        <v>0.15224999999999997</v>
      </c>
      <c r="G138" s="40"/>
      <c r="H138" s="26"/>
      <c r="I138" s="76"/>
      <c r="J138" s="77"/>
      <c r="K138" s="76"/>
      <c r="L138" s="26"/>
      <c r="M138" s="26"/>
    </row>
    <row r="139" spans="1:13" x14ac:dyDescent="0.25">
      <c r="A139" s="132"/>
      <c r="B139" s="20"/>
      <c r="C139" s="74" t="s">
        <v>485</v>
      </c>
      <c r="D139" s="40" t="s">
        <v>81</v>
      </c>
      <c r="E139" s="40">
        <v>1.76</v>
      </c>
      <c r="F139" s="26">
        <f>E139*F135</f>
        <v>0.26400000000000001</v>
      </c>
      <c r="G139" s="40"/>
      <c r="H139" s="26"/>
      <c r="I139" s="76"/>
      <c r="J139" s="77"/>
      <c r="K139" s="76"/>
      <c r="L139" s="26"/>
      <c r="M139" s="26"/>
    </row>
    <row r="140" spans="1:13" x14ac:dyDescent="0.25">
      <c r="A140" s="132"/>
      <c r="B140" s="20"/>
      <c r="C140" s="74" t="s">
        <v>486</v>
      </c>
      <c r="D140" s="40" t="s">
        <v>83</v>
      </c>
      <c r="E140" s="269">
        <f>0.0366+0.0033</f>
        <v>3.9899999999999998E-2</v>
      </c>
      <c r="F140" s="26">
        <f>E140*F135</f>
        <v>5.9849999999999999E-3</v>
      </c>
      <c r="G140" s="40"/>
      <c r="H140" s="26"/>
      <c r="I140" s="76"/>
      <c r="J140" s="77"/>
      <c r="K140" s="76"/>
      <c r="L140" s="26"/>
      <c r="M140" s="26"/>
    </row>
    <row r="141" spans="1:13" x14ac:dyDescent="0.25">
      <c r="A141" s="132"/>
      <c r="B141" s="671"/>
      <c r="C141" s="74" t="s">
        <v>172</v>
      </c>
      <c r="D141" s="40" t="s">
        <v>75</v>
      </c>
      <c r="E141" s="40">
        <v>2.7</v>
      </c>
      <c r="F141" s="43">
        <f>E141*F135</f>
        <v>0.40500000000000003</v>
      </c>
      <c r="G141" s="672"/>
      <c r="H141" s="43"/>
      <c r="I141" s="110"/>
      <c r="J141" s="75"/>
      <c r="K141" s="110"/>
      <c r="L141" s="43"/>
      <c r="M141" s="43"/>
    </row>
    <row r="142" spans="1:13" x14ac:dyDescent="0.25">
      <c r="A142" s="132"/>
      <c r="B142" s="20"/>
      <c r="C142" s="74" t="s">
        <v>487</v>
      </c>
      <c r="D142" s="40" t="s">
        <v>85</v>
      </c>
      <c r="E142" s="40">
        <v>2.1</v>
      </c>
      <c r="F142" s="26">
        <f>E142*F135</f>
        <v>0.315</v>
      </c>
      <c r="G142" s="40"/>
      <c r="H142" s="26"/>
      <c r="I142" s="76"/>
      <c r="J142" s="77"/>
      <c r="K142" s="76"/>
      <c r="L142" s="26"/>
      <c r="M142" s="26"/>
    </row>
    <row r="143" spans="1:13" x14ac:dyDescent="0.25">
      <c r="A143" s="132"/>
      <c r="B143" s="29"/>
      <c r="C143" s="243" t="s">
        <v>152</v>
      </c>
      <c r="D143" s="64" t="s">
        <v>122</v>
      </c>
      <c r="E143" s="34">
        <v>0.32</v>
      </c>
      <c r="F143" s="40">
        <f>E143*F135</f>
        <v>4.8000000000000001E-2</v>
      </c>
      <c r="G143" s="40"/>
      <c r="H143" s="26"/>
      <c r="I143" s="76"/>
      <c r="J143" s="77"/>
      <c r="K143" s="76"/>
      <c r="L143" s="26"/>
      <c r="M143" s="26"/>
    </row>
    <row r="144" spans="1:13" ht="40.5" x14ac:dyDescent="0.25">
      <c r="A144" s="454">
        <v>3</v>
      </c>
      <c r="B144" s="93" t="s">
        <v>173</v>
      </c>
      <c r="C144" s="142" t="s">
        <v>488</v>
      </c>
      <c r="D144" s="274" t="s">
        <v>75</v>
      </c>
      <c r="E144" s="36"/>
      <c r="F144" s="123">
        <f>1.21*F147</f>
        <v>14.52</v>
      </c>
      <c r="G144" s="70"/>
      <c r="H144" s="181"/>
      <c r="I144" s="70"/>
      <c r="J144" s="181"/>
      <c r="K144" s="276"/>
      <c r="L144" s="70"/>
      <c r="M144" s="181"/>
    </row>
    <row r="145" spans="1:13" x14ac:dyDescent="0.25">
      <c r="A145" s="164"/>
      <c r="B145" s="97"/>
      <c r="C145" s="252" t="s">
        <v>143</v>
      </c>
      <c r="D145" s="97" t="s">
        <v>46</v>
      </c>
      <c r="E145" s="286">
        <f>0.123*1.15</f>
        <v>0.14144999999999999</v>
      </c>
      <c r="F145" s="99">
        <f>E145*F144</f>
        <v>2.0538539999999998</v>
      </c>
      <c r="G145" s="83"/>
      <c r="H145" s="26"/>
      <c r="I145" s="76"/>
      <c r="J145" s="26"/>
      <c r="K145" s="76"/>
      <c r="L145" s="26"/>
      <c r="M145" s="26"/>
    </row>
    <row r="146" spans="1:13" x14ac:dyDescent="0.25">
      <c r="A146" s="164"/>
      <c r="B146" s="97"/>
      <c r="C146" s="98" t="s">
        <v>144</v>
      </c>
      <c r="D146" s="97" t="s">
        <v>145</v>
      </c>
      <c r="E146" s="286">
        <f>0.021*1.25</f>
        <v>2.6250000000000002E-2</v>
      </c>
      <c r="F146" s="83">
        <f>E146*F144</f>
        <v>0.38115000000000004</v>
      </c>
      <c r="G146" s="40"/>
      <c r="H146" s="26"/>
      <c r="I146" s="76"/>
      <c r="J146" s="26"/>
      <c r="K146" s="76"/>
      <c r="L146" s="26"/>
      <c r="M146" s="26"/>
    </row>
    <row r="147" spans="1:13" x14ac:dyDescent="0.25">
      <c r="A147" s="164"/>
      <c r="B147" s="271"/>
      <c r="C147" s="270" t="s">
        <v>174</v>
      </c>
      <c r="D147" s="164" t="s">
        <v>147</v>
      </c>
      <c r="E147" s="287"/>
      <c r="F147" s="288">
        <v>12</v>
      </c>
      <c r="G147" s="40"/>
      <c r="H147" s="26"/>
      <c r="I147" s="26"/>
      <c r="J147" s="26"/>
      <c r="K147" s="76"/>
      <c r="L147" s="26"/>
      <c r="M147" s="26"/>
    </row>
    <row r="148" spans="1:13" x14ac:dyDescent="0.25">
      <c r="A148" s="164"/>
      <c r="B148" s="271"/>
      <c r="C148" s="277" t="s">
        <v>163</v>
      </c>
      <c r="D148" s="164" t="s">
        <v>165</v>
      </c>
      <c r="E148" s="287"/>
      <c r="F148" s="288">
        <v>2</v>
      </c>
      <c r="G148" s="40"/>
      <c r="H148" s="26"/>
      <c r="I148" s="26"/>
      <c r="J148" s="26"/>
      <c r="K148" s="76"/>
      <c r="L148" s="26"/>
      <c r="M148" s="26"/>
    </row>
    <row r="149" spans="1:13" x14ac:dyDescent="0.25">
      <c r="A149" s="160"/>
      <c r="B149" s="29"/>
      <c r="C149" s="243" t="s">
        <v>152</v>
      </c>
      <c r="D149" s="64" t="s">
        <v>122</v>
      </c>
      <c r="E149" s="34">
        <v>0.32</v>
      </c>
      <c r="F149" s="34">
        <f>E149*F144</f>
        <v>4.6463999999999999</v>
      </c>
      <c r="G149" s="34"/>
      <c r="H149" s="26"/>
      <c r="I149" s="76"/>
      <c r="J149" s="77"/>
      <c r="K149" s="76"/>
      <c r="L149" s="26"/>
      <c r="M149" s="26"/>
    </row>
    <row r="150" spans="1:13" ht="54" x14ac:dyDescent="0.25">
      <c r="A150" s="403">
        <v>4</v>
      </c>
      <c r="B150" s="283" t="s">
        <v>175</v>
      </c>
      <c r="C150" s="289" t="s">
        <v>131</v>
      </c>
      <c r="D150" s="36" t="s">
        <v>65</v>
      </c>
      <c r="E150" s="35"/>
      <c r="F150" s="123">
        <v>1.3</v>
      </c>
      <c r="G150" s="179"/>
      <c r="H150" s="57"/>
      <c r="I150" s="290"/>
      <c r="J150" s="57"/>
      <c r="K150" s="180"/>
      <c r="L150" s="57"/>
      <c r="M150" s="57"/>
    </row>
    <row r="151" spans="1:13" x14ac:dyDescent="0.25">
      <c r="A151" s="109"/>
      <c r="B151" s="20"/>
      <c r="C151" s="252" t="s">
        <v>143</v>
      </c>
      <c r="D151" s="97" t="s">
        <v>46</v>
      </c>
      <c r="E151" s="77">
        <v>1</v>
      </c>
      <c r="F151" s="26">
        <f>F150*E151</f>
        <v>1.3</v>
      </c>
      <c r="G151" s="40"/>
      <c r="H151" s="77"/>
      <c r="I151" s="291"/>
      <c r="J151" s="26"/>
      <c r="K151" s="76"/>
      <c r="L151" s="26"/>
      <c r="M151" s="77"/>
    </row>
    <row r="152" spans="1:13" x14ac:dyDescent="0.25">
      <c r="A152" s="109"/>
      <c r="B152" s="20"/>
      <c r="C152" s="98" t="s">
        <v>144</v>
      </c>
      <c r="D152" s="97" t="s">
        <v>145</v>
      </c>
      <c r="E152" s="40">
        <f>0.17*1.25</f>
        <v>0.21250000000000002</v>
      </c>
      <c r="F152" s="269">
        <f>F150*E152</f>
        <v>0.27625000000000005</v>
      </c>
      <c r="G152" s="40"/>
      <c r="H152" s="26"/>
      <c r="I152" s="291"/>
      <c r="J152" s="26"/>
      <c r="K152" s="76"/>
      <c r="L152" s="26"/>
      <c r="M152" s="26"/>
    </row>
    <row r="153" spans="1:13" x14ac:dyDescent="0.25">
      <c r="A153" s="109"/>
      <c r="B153" s="20"/>
      <c r="C153" s="74" t="s">
        <v>176</v>
      </c>
      <c r="D153" s="40" t="s">
        <v>85</v>
      </c>
      <c r="E153" s="40">
        <v>5.5</v>
      </c>
      <c r="F153" s="269">
        <f>F150*E153</f>
        <v>7.15</v>
      </c>
      <c r="G153" s="40"/>
      <c r="H153" s="26"/>
      <c r="I153" s="26"/>
      <c r="J153" s="26"/>
      <c r="K153" s="76"/>
      <c r="L153" s="26"/>
      <c r="M153" s="26"/>
    </row>
    <row r="154" spans="1:13" x14ac:dyDescent="0.25">
      <c r="A154" s="109"/>
      <c r="B154" s="20"/>
      <c r="C154" s="74" t="s">
        <v>177</v>
      </c>
      <c r="D154" s="40" t="s">
        <v>65</v>
      </c>
      <c r="E154" s="26">
        <v>1</v>
      </c>
      <c r="F154" s="26">
        <f>F150*E154</f>
        <v>1.3</v>
      </c>
      <c r="G154" s="40"/>
      <c r="H154" s="26"/>
      <c r="I154" s="26"/>
      <c r="J154" s="26"/>
      <c r="K154" s="76"/>
      <c r="L154" s="26"/>
      <c r="M154" s="77"/>
    </row>
    <row r="155" spans="1:13" x14ac:dyDescent="0.25">
      <c r="A155" s="115"/>
      <c r="B155" s="29"/>
      <c r="C155" s="80" t="s">
        <v>77</v>
      </c>
      <c r="D155" s="34" t="s">
        <v>50</v>
      </c>
      <c r="E155" s="34">
        <v>0.09</v>
      </c>
      <c r="F155" s="81">
        <f>F150*E155</f>
        <v>0.11699999999999999</v>
      </c>
      <c r="G155" s="34"/>
      <c r="H155" s="32"/>
      <c r="I155" s="292"/>
      <c r="J155" s="32"/>
      <c r="K155" s="33"/>
      <c r="L155" s="32"/>
      <c r="M155" s="32"/>
    </row>
    <row r="156" spans="1:13" ht="27" x14ac:dyDescent="0.25">
      <c r="A156" s="454">
        <v>5</v>
      </c>
      <c r="B156" s="281" t="s">
        <v>153</v>
      </c>
      <c r="C156" s="54" t="s">
        <v>178</v>
      </c>
      <c r="D156" s="265" t="s">
        <v>155</v>
      </c>
      <c r="E156" s="266"/>
      <c r="F156" s="282">
        <v>1</v>
      </c>
      <c r="G156" s="40"/>
      <c r="H156" s="26"/>
      <c r="I156" s="110"/>
      <c r="J156" s="26"/>
      <c r="K156" s="76"/>
      <c r="L156" s="26"/>
      <c r="M156" s="26"/>
    </row>
    <row r="157" spans="1:13" x14ac:dyDescent="0.25">
      <c r="A157" s="689"/>
      <c r="B157" s="97"/>
      <c r="C157" s="252" t="s">
        <v>143</v>
      </c>
      <c r="D157" s="97" t="s">
        <v>46</v>
      </c>
      <c r="E157" s="83">
        <f>0.426</f>
        <v>0.42599999999999999</v>
      </c>
      <c r="F157" s="269">
        <f>E157*F156</f>
        <v>0.42599999999999999</v>
      </c>
      <c r="G157" s="40"/>
      <c r="H157" s="26"/>
      <c r="I157" s="110"/>
      <c r="J157" s="26"/>
      <c r="K157" s="76"/>
      <c r="L157" s="26"/>
      <c r="M157" s="26"/>
    </row>
    <row r="158" spans="1:13" x14ac:dyDescent="0.25">
      <c r="A158" s="689"/>
      <c r="B158" s="97"/>
      <c r="C158" s="270" t="s">
        <v>156</v>
      </c>
      <c r="D158" s="97" t="s">
        <v>157</v>
      </c>
      <c r="E158" s="83">
        <f>0.215</f>
        <v>0.215</v>
      </c>
      <c r="F158" s="269">
        <f>E158*F156</f>
        <v>0.215</v>
      </c>
      <c r="G158" s="40"/>
      <c r="H158" s="26"/>
      <c r="I158" s="110"/>
      <c r="J158" s="26"/>
      <c r="K158" s="76"/>
      <c r="L158" s="26"/>
      <c r="M158" s="26"/>
    </row>
    <row r="159" spans="1:13" x14ac:dyDescent="0.25">
      <c r="A159" s="689"/>
      <c r="B159" s="271"/>
      <c r="C159" s="268" t="s">
        <v>158</v>
      </c>
      <c r="D159" s="97" t="s">
        <v>155</v>
      </c>
      <c r="E159" s="83">
        <f>0.0252</f>
        <v>2.52E-2</v>
      </c>
      <c r="F159" s="269">
        <f>E159*F156</f>
        <v>2.52E-2</v>
      </c>
      <c r="G159" s="40"/>
      <c r="H159" s="26"/>
      <c r="I159" s="110"/>
      <c r="J159" s="26"/>
      <c r="K159" s="76"/>
      <c r="L159" s="26"/>
      <c r="M159" s="272"/>
    </row>
    <row r="160" spans="1:13" x14ac:dyDescent="0.25">
      <c r="A160" s="690"/>
      <c r="B160" s="273"/>
      <c r="C160" s="63" t="s">
        <v>159</v>
      </c>
      <c r="D160" s="64" t="s">
        <v>50</v>
      </c>
      <c r="E160" s="65">
        <f>0.29</f>
        <v>0.28999999999999998</v>
      </c>
      <c r="F160" s="32">
        <f>E160*F156</f>
        <v>0.28999999999999998</v>
      </c>
      <c r="G160" s="34"/>
      <c r="H160" s="32"/>
      <c r="I160" s="119"/>
      <c r="J160" s="32"/>
      <c r="K160" s="33"/>
      <c r="L160" s="32"/>
      <c r="M160" s="32"/>
    </row>
    <row r="161" spans="1:13" ht="27" x14ac:dyDescent="0.25">
      <c r="A161" s="132">
        <v>6</v>
      </c>
      <c r="B161" s="20" t="s">
        <v>179</v>
      </c>
      <c r="C161" s="21" t="s">
        <v>180</v>
      </c>
      <c r="D161" s="293" t="s">
        <v>55</v>
      </c>
      <c r="E161" s="212"/>
      <c r="F161" s="676">
        <v>10</v>
      </c>
      <c r="G161" s="294"/>
      <c r="H161" s="295"/>
      <c r="I161" s="296"/>
      <c r="J161" s="295"/>
      <c r="K161" s="294"/>
      <c r="L161" s="295"/>
      <c r="M161" s="295"/>
    </row>
    <row r="162" spans="1:13" x14ac:dyDescent="0.25">
      <c r="A162" s="132"/>
      <c r="B162" s="297"/>
      <c r="C162" s="134" t="s">
        <v>95</v>
      </c>
      <c r="D162" s="20" t="s">
        <v>49</v>
      </c>
      <c r="E162" s="298">
        <v>0.15</v>
      </c>
      <c r="F162" s="26">
        <f>F161*E162</f>
        <v>1.5</v>
      </c>
      <c r="G162" s="76"/>
      <c r="H162" s="26"/>
      <c r="I162" s="40"/>
      <c r="J162" s="26"/>
      <c r="K162" s="76"/>
      <c r="L162" s="26"/>
      <c r="M162" s="26"/>
    </row>
    <row r="163" spans="1:13" x14ac:dyDescent="0.25">
      <c r="A163" s="132"/>
      <c r="B163" s="72"/>
      <c r="C163" s="134" t="s">
        <v>88</v>
      </c>
      <c r="D163" s="20" t="s">
        <v>50</v>
      </c>
      <c r="E163" s="269">
        <f>0.0017</f>
        <v>1.6999999999999999E-3</v>
      </c>
      <c r="F163" s="26">
        <f>F161*E163</f>
        <v>1.6999999999999998E-2</v>
      </c>
      <c r="G163" s="76"/>
      <c r="H163" s="26"/>
      <c r="I163" s="40"/>
      <c r="J163" s="26"/>
      <c r="K163" s="76"/>
      <c r="L163" s="26"/>
      <c r="M163" s="26"/>
    </row>
    <row r="164" spans="1:13" ht="27" x14ac:dyDescent="0.25">
      <c r="A164" s="132"/>
      <c r="B164" s="297"/>
      <c r="C164" s="141" t="s">
        <v>180</v>
      </c>
      <c r="D164" s="132" t="s">
        <v>55</v>
      </c>
      <c r="E164" s="132">
        <v>1</v>
      </c>
      <c r="F164" s="459">
        <f>F161*E164</f>
        <v>10</v>
      </c>
      <c r="G164" s="92"/>
      <c r="H164" s="89"/>
      <c r="I164" s="47"/>
      <c r="J164" s="89"/>
      <c r="K164" s="92"/>
      <c r="L164" s="89"/>
      <c r="M164" s="89"/>
    </row>
    <row r="165" spans="1:13" x14ac:dyDescent="0.25">
      <c r="A165" s="160"/>
      <c r="B165" s="299"/>
      <c r="C165" s="31" t="s">
        <v>52</v>
      </c>
      <c r="D165" s="29" t="s">
        <v>50</v>
      </c>
      <c r="E165" s="29">
        <v>1.5100000000000001E-2</v>
      </c>
      <c r="F165" s="32">
        <f>F161*E165</f>
        <v>0.151</v>
      </c>
      <c r="G165" s="33"/>
      <c r="H165" s="32"/>
      <c r="I165" s="33"/>
      <c r="J165" s="32"/>
      <c r="K165" s="33"/>
      <c r="L165" s="32"/>
      <c r="M165" s="32"/>
    </row>
    <row r="166" spans="1:13" x14ac:dyDescent="0.25">
      <c r="A166" s="300" t="s">
        <v>18</v>
      </c>
      <c r="B166" s="301" t="s">
        <v>181</v>
      </c>
      <c r="C166" s="302" t="s">
        <v>182</v>
      </c>
      <c r="D166" s="303" t="s">
        <v>165</v>
      </c>
      <c r="E166" s="303"/>
      <c r="F166" s="304">
        <v>1</v>
      </c>
      <c r="G166" s="305"/>
      <c r="H166" s="306"/>
      <c r="I166" s="305"/>
      <c r="J166" s="306"/>
      <c r="K166" s="305"/>
      <c r="L166" s="306"/>
      <c r="M166" s="307"/>
    </row>
    <row r="167" spans="1:13" x14ac:dyDescent="0.25">
      <c r="A167" s="308"/>
      <c r="B167" s="309"/>
      <c r="C167" s="310" t="s">
        <v>183</v>
      </c>
      <c r="D167" s="311" t="s">
        <v>46</v>
      </c>
      <c r="E167" s="312">
        <f>0.54*1.15</f>
        <v>0.621</v>
      </c>
      <c r="F167" s="312">
        <f>E167*F166</f>
        <v>0.621</v>
      </c>
      <c r="G167" s="313"/>
      <c r="H167" s="312"/>
      <c r="I167" s="314"/>
      <c r="J167" s="315"/>
      <c r="K167" s="313"/>
      <c r="L167" s="312"/>
      <c r="M167" s="316"/>
    </row>
    <row r="168" spans="1:13" x14ac:dyDescent="0.25">
      <c r="A168" s="308"/>
      <c r="B168" s="309"/>
      <c r="C168" s="310" t="s">
        <v>184</v>
      </c>
      <c r="D168" s="311" t="s">
        <v>122</v>
      </c>
      <c r="E168" s="317">
        <f>0.0113*1.25</f>
        <v>1.4124999999999999E-2</v>
      </c>
      <c r="F168" s="318">
        <f>E168*F166</f>
        <v>1.4124999999999999E-2</v>
      </c>
      <c r="G168" s="313"/>
      <c r="H168" s="312"/>
      <c r="I168" s="312"/>
      <c r="J168" s="312"/>
      <c r="K168" s="314"/>
      <c r="L168" s="319"/>
      <c r="M168" s="316"/>
    </row>
    <row r="169" spans="1:13" x14ac:dyDescent="0.25">
      <c r="A169" s="308"/>
      <c r="B169" s="320"/>
      <c r="C169" s="321" t="s">
        <v>182</v>
      </c>
      <c r="D169" s="311" t="s">
        <v>165</v>
      </c>
      <c r="E169" s="312">
        <v>1</v>
      </c>
      <c r="F169" s="314">
        <f>E169*F166</f>
        <v>1</v>
      </c>
      <c r="G169" s="314"/>
      <c r="H169" s="322"/>
      <c r="I169" s="314"/>
      <c r="J169" s="314"/>
      <c r="K169" s="314"/>
      <c r="L169" s="314"/>
      <c r="M169" s="316"/>
    </row>
    <row r="170" spans="1:13" ht="30" x14ac:dyDescent="0.25">
      <c r="A170" s="308"/>
      <c r="B170" s="323"/>
      <c r="C170" s="324" t="s">
        <v>185</v>
      </c>
      <c r="D170" s="311" t="s">
        <v>165</v>
      </c>
      <c r="E170" s="312">
        <v>1</v>
      </c>
      <c r="F170" s="314">
        <f>E170*F166</f>
        <v>1</v>
      </c>
      <c r="G170" s="314"/>
      <c r="H170" s="322"/>
      <c r="I170" s="314"/>
      <c r="J170" s="314"/>
      <c r="K170" s="314"/>
      <c r="L170" s="314"/>
      <c r="M170" s="316"/>
    </row>
    <row r="171" spans="1:13" x14ac:dyDescent="0.25">
      <c r="A171" s="325"/>
      <c r="B171" s="326"/>
      <c r="C171" s="327" t="s">
        <v>186</v>
      </c>
      <c r="D171" s="328" t="s">
        <v>122</v>
      </c>
      <c r="E171" s="329">
        <v>9.3699999999999992E-2</v>
      </c>
      <c r="F171" s="330">
        <v>2.4361999999999999</v>
      </c>
      <c r="G171" s="330"/>
      <c r="H171" s="331"/>
      <c r="I171" s="332"/>
      <c r="J171" s="330"/>
      <c r="K171" s="332"/>
      <c r="L171" s="330"/>
      <c r="M171" s="316"/>
    </row>
    <row r="172" spans="1:13" x14ac:dyDescent="0.25">
      <c r="A172" s="35">
        <v>8</v>
      </c>
      <c r="B172" s="35" t="s">
        <v>187</v>
      </c>
      <c r="C172" s="333" t="s">
        <v>188</v>
      </c>
      <c r="D172" s="103" t="s">
        <v>189</v>
      </c>
      <c r="E172" s="103"/>
      <c r="F172" s="334">
        <v>10</v>
      </c>
      <c r="G172" s="180"/>
      <c r="H172" s="57"/>
      <c r="I172" s="179"/>
      <c r="J172" s="57"/>
      <c r="K172" s="180"/>
      <c r="L172" s="57"/>
      <c r="M172" s="57"/>
    </row>
    <row r="173" spans="1:13" x14ac:dyDescent="0.25">
      <c r="A173" s="47"/>
      <c r="B173" s="335"/>
      <c r="C173" s="310" t="s">
        <v>183</v>
      </c>
      <c r="D173" s="311" t="s">
        <v>46</v>
      </c>
      <c r="E173" s="86">
        <f>0.11*1.2</f>
        <v>0.13200000000000001</v>
      </c>
      <c r="F173" s="48">
        <f>F172*E173</f>
        <v>1.32</v>
      </c>
      <c r="G173" s="336"/>
      <c r="H173" s="25"/>
      <c r="I173" s="28"/>
      <c r="J173" s="25"/>
      <c r="K173" s="28"/>
      <c r="L173" s="25"/>
      <c r="M173" s="25"/>
    </row>
    <row r="174" spans="1:13" x14ac:dyDescent="0.25">
      <c r="A174" s="47"/>
      <c r="B174" s="40"/>
      <c r="C174" s="310" t="s">
        <v>184</v>
      </c>
      <c r="D174" s="311" t="s">
        <v>122</v>
      </c>
      <c r="E174" s="86">
        <f>0.0027*1.2</f>
        <v>3.2400000000000003E-3</v>
      </c>
      <c r="F174" s="86">
        <f>F172*E174</f>
        <v>3.2400000000000005E-2</v>
      </c>
      <c r="G174" s="336"/>
      <c r="H174" s="25"/>
      <c r="I174" s="28"/>
      <c r="J174" s="25"/>
      <c r="K174" s="28"/>
      <c r="L174" s="25"/>
      <c r="M174" s="25"/>
    </row>
    <row r="175" spans="1:13" x14ac:dyDescent="0.25">
      <c r="A175" s="47"/>
      <c r="B175" s="337"/>
      <c r="C175" s="338" t="s">
        <v>491</v>
      </c>
      <c r="D175" s="48" t="s">
        <v>147</v>
      </c>
      <c r="E175" s="48">
        <v>1</v>
      </c>
      <c r="F175" s="48">
        <f>E175*F172</f>
        <v>10</v>
      </c>
      <c r="G175" s="92"/>
      <c r="H175" s="89"/>
      <c r="I175" s="92"/>
      <c r="J175" s="76"/>
      <c r="K175" s="92"/>
      <c r="L175" s="89"/>
      <c r="M175" s="25"/>
    </row>
    <row r="176" spans="1:13" x14ac:dyDescent="0.25">
      <c r="A176" s="146"/>
      <c r="B176" s="339"/>
      <c r="C176" s="327" t="s">
        <v>186</v>
      </c>
      <c r="D176" s="328" t="s">
        <v>122</v>
      </c>
      <c r="E176" s="50">
        <v>3.49E-2</v>
      </c>
      <c r="F176" s="118">
        <f>F172*E176</f>
        <v>0.34899999999999998</v>
      </c>
      <c r="G176" s="33"/>
      <c r="H176" s="32"/>
      <c r="I176" s="34"/>
      <c r="J176" s="128"/>
      <c r="K176" s="33"/>
      <c r="L176" s="32"/>
      <c r="M176" s="340"/>
    </row>
    <row r="177" spans="1:13" ht="27" x14ac:dyDescent="0.25">
      <c r="A177" s="691">
        <v>9</v>
      </c>
      <c r="B177" s="40" t="s">
        <v>190</v>
      </c>
      <c r="C177" s="341" t="s">
        <v>191</v>
      </c>
      <c r="D177" s="342" t="s">
        <v>192</v>
      </c>
      <c r="E177" s="342"/>
      <c r="F177" s="343">
        <v>1</v>
      </c>
      <c r="G177" s="25"/>
      <c r="H177" s="344"/>
      <c r="I177" s="345"/>
      <c r="J177" s="344"/>
      <c r="K177" s="28"/>
      <c r="L177" s="344"/>
      <c r="M177" s="344"/>
    </row>
    <row r="178" spans="1:13" x14ac:dyDescent="0.25">
      <c r="A178" s="691"/>
      <c r="B178" s="346"/>
      <c r="C178" s="310" t="s">
        <v>183</v>
      </c>
      <c r="D178" s="311" t="s">
        <v>46</v>
      </c>
      <c r="E178" s="348">
        <f>1.6*1.15</f>
        <v>1.8399999999999999</v>
      </c>
      <c r="F178" s="349">
        <f>F177*E178</f>
        <v>1.8399999999999999</v>
      </c>
      <c r="G178" s="76"/>
      <c r="H178" s="349"/>
      <c r="I178" s="350"/>
      <c r="J178" s="25"/>
      <c r="K178" s="25"/>
      <c r="L178" s="25"/>
      <c r="M178" s="25"/>
    </row>
    <row r="179" spans="1:13" x14ac:dyDescent="0.25">
      <c r="A179" s="691"/>
      <c r="B179" s="347"/>
      <c r="C179" s="310" t="s">
        <v>184</v>
      </c>
      <c r="D179" s="311" t="s">
        <v>122</v>
      </c>
      <c r="E179" s="351">
        <v>3.2000000000000001E-2</v>
      </c>
      <c r="F179" s="25">
        <f>F177*E179</f>
        <v>3.2000000000000001E-2</v>
      </c>
      <c r="G179" s="352"/>
      <c r="H179" s="25"/>
      <c r="I179" s="350"/>
      <c r="J179" s="25"/>
      <c r="K179" s="28"/>
      <c r="L179" s="25"/>
      <c r="M179" s="25"/>
    </row>
    <row r="180" spans="1:13" ht="27" x14ac:dyDescent="0.25">
      <c r="A180" s="691"/>
      <c r="B180" s="346"/>
      <c r="C180" s="353" t="s">
        <v>191</v>
      </c>
      <c r="D180" s="347" t="s">
        <v>44</v>
      </c>
      <c r="E180" s="354">
        <v>1</v>
      </c>
      <c r="F180" s="27">
        <f>F177*E180</f>
        <v>1</v>
      </c>
      <c r="G180" s="336"/>
      <c r="H180" s="25"/>
      <c r="I180" s="27"/>
      <c r="J180" s="27"/>
      <c r="K180" s="27"/>
      <c r="L180" s="27"/>
      <c r="M180" s="27"/>
    </row>
    <row r="181" spans="1:13" x14ac:dyDescent="0.25">
      <c r="A181" s="692"/>
      <c r="B181" s="355"/>
      <c r="C181" s="327" t="s">
        <v>186</v>
      </c>
      <c r="D181" s="328" t="s">
        <v>122</v>
      </c>
      <c r="E181" s="358">
        <v>1.6</v>
      </c>
      <c r="F181" s="359">
        <f>F177*E181</f>
        <v>1.6</v>
      </c>
      <c r="G181" s="360"/>
      <c r="H181" s="340"/>
      <c r="I181" s="361"/>
      <c r="J181" s="340"/>
      <c r="K181" s="362"/>
      <c r="L181" s="340"/>
      <c r="M181" s="340"/>
    </row>
    <row r="182" spans="1:13" ht="15.75" x14ac:dyDescent="0.25">
      <c r="A182" s="682"/>
      <c r="B182" s="16"/>
      <c r="C182" s="178" t="s">
        <v>193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81" x14ac:dyDescent="0.25">
      <c r="A183" s="403">
        <v>1</v>
      </c>
      <c r="B183" s="768" t="s">
        <v>111</v>
      </c>
      <c r="C183" s="69" t="s">
        <v>194</v>
      </c>
      <c r="D183" s="363" t="s">
        <v>113</v>
      </c>
      <c r="E183" s="363"/>
      <c r="F183" s="71">
        <v>10</v>
      </c>
      <c r="G183" s="179"/>
      <c r="H183" s="57"/>
      <c r="I183" s="180"/>
      <c r="J183" s="57"/>
      <c r="K183" s="180"/>
      <c r="L183" s="57"/>
      <c r="M183" s="181"/>
    </row>
    <row r="184" spans="1:13" x14ac:dyDescent="0.25">
      <c r="A184" s="109"/>
      <c r="B184" s="769"/>
      <c r="C184" s="310" t="s">
        <v>183</v>
      </c>
      <c r="D184" s="311" t="s">
        <v>46</v>
      </c>
      <c r="E184" s="40">
        <v>1.0349999999999999</v>
      </c>
      <c r="F184" s="26">
        <f>E184*F183</f>
        <v>10.35</v>
      </c>
      <c r="G184" s="40"/>
      <c r="H184" s="26"/>
      <c r="I184" s="76"/>
      <c r="J184" s="26"/>
      <c r="K184" s="76"/>
      <c r="L184" s="26"/>
      <c r="M184" s="26"/>
    </row>
    <row r="185" spans="1:13" x14ac:dyDescent="0.25">
      <c r="A185" s="109"/>
      <c r="B185" s="20"/>
      <c r="C185" s="74" t="s">
        <v>114</v>
      </c>
      <c r="D185" s="34" t="s">
        <v>122</v>
      </c>
      <c r="E185" s="40">
        <v>0.11</v>
      </c>
      <c r="F185" s="26">
        <f>E185*F183</f>
        <v>1.1000000000000001</v>
      </c>
      <c r="G185" s="40"/>
      <c r="H185" s="26"/>
      <c r="I185" s="76"/>
      <c r="J185" s="26"/>
      <c r="K185" s="76"/>
      <c r="L185" s="26"/>
      <c r="M185" s="26"/>
    </row>
    <row r="186" spans="1:13" ht="67.5" x14ac:dyDescent="0.25">
      <c r="A186" s="403">
        <v>2</v>
      </c>
      <c r="B186" s="768" t="s">
        <v>195</v>
      </c>
      <c r="C186" s="69" t="s">
        <v>196</v>
      </c>
      <c r="D186" s="36" t="s">
        <v>65</v>
      </c>
      <c r="E186" s="55"/>
      <c r="F186" s="364">
        <v>10</v>
      </c>
      <c r="G186" s="70"/>
      <c r="H186" s="71"/>
      <c r="I186" s="70"/>
      <c r="J186" s="71"/>
      <c r="K186" s="70"/>
      <c r="L186" s="71"/>
      <c r="M186" s="71"/>
    </row>
    <row r="187" spans="1:13" x14ac:dyDescent="0.25">
      <c r="A187" s="109"/>
      <c r="B187" s="769"/>
      <c r="C187" s="310" t="s">
        <v>183</v>
      </c>
      <c r="D187" s="311" t="s">
        <v>46</v>
      </c>
      <c r="E187" s="26">
        <f>0.68*1.15</f>
        <v>0.78200000000000003</v>
      </c>
      <c r="F187" s="26">
        <f>E187*F186</f>
        <v>7.82</v>
      </c>
      <c r="G187" s="40"/>
      <c r="H187" s="26"/>
      <c r="I187" s="76"/>
      <c r="J187" s="26"/>
      <c r="K187" s="76"/>
      <c r="L187" s="26"/>
      <c r="M187" s="26"/>
    </row>
    <row r="188" spans="1:13" x14ac:dyDescent="0.25">
      <c r="A188" s="109"/>
      <c r="B188" s="769"/>
      <c r="C188" s="310" t="s">
        <v>184</v>
      </c>
      <c r="D188" s="311" t="s">
        <v>122</v>
      </c>
      <c r="E188" s="365">
        <f>0.0003*1.25</f>
        <v>3.7499999999999995E-4</v>
      </c>
      <c r="F188" s="269">
        <f>E188*F186</f>
        <v>3.7499999999999994E-3</v>
      </c>
      <c r="G188" s="40"/>
      <c r="H188" s="26"/>
      <c r="I188" s="76"/>
      <c r="J188" s="26"/>
      <c r="K188" s="76"/>
      <c r="L188" s="269"/>
      <c r="M188" s="26"/>
    </row>
    <row r="189" spans="1:13" ht="27" x14ac:dyDescent="0.25">
      <c r="A189" s="109"/>
      <c r="B189" s="769"/>
      <c r="C189" s="74" t="s">
        <v>197</v>
      </c>
      <c r="D189" s="40" t="s">
        <v>75</v>
      </c>
      <c r="E189" s="40">
        <v>2.7E-2</v>
      </c>
      <c r="F189" s="26">
        <f>E189*F186</f>
        <v>0.27</v>
      </c>
      <c r="G189" s="40"/>
      <c r="H189" s="26"/>
      <c r="I189" s="26"/>
      <c r="J189" s="26"/>
      <c r="K189" s="76"/>
      <c r="L189" s="26"/>
      <c r="M189" s="26"/>
    </row>
    <row r="190" spans="1:13" ht="27" x14ac:dyDescent="0.25">
      <c r="A190" s="109"/>
      <c r="B190" s="20"/>
      <c r="C190" s="74" t="s">
        <v>198</v>
      </c>
      <c r="D190" s="40" t="s">
        <v>75</v>
      </c>
      <c r="E190" s="40">
        <v>0.246</v>
      </c>
      <c r="F190" s="26">
        <f>E190*F186</f>
        <v>2.46</v>
      </c>
      <c r="G190" s="40"/>
      <c r="H190" s="26"/>
      <c r="I190" s="26"/>
      <c r="J190" s="26"/>
      <c r="K190" s="76"/>
      <c r="L190" s="26"/>
      <c r="M190" s="26"/>
    </row>
    <row r="191" spans="1:13" x14ac:dyDescent="0.25">
      <c r="A191" s="115"/>
      <c r="B191" s="29"/>
      <c r="C191" s="205" t="s">
        <v>205</v>
      </c>
      <c r="D191" s="206" t="s">
        <v>122</v>
      </c>
      <c r="E191" s="34">
        <v>1.9E-3</v>
      </c>
      <c r="F191" s="81">
        <f>E191*F186</f>
        <v>1.9E-2</v>
      </c>
      <c r="G191" s="34"/>
      <c r="H191" s="32"/>
      <c r="I191" s="33"/>
      <c r="J191" s="32"/>
      <c r="K191" s="33"/>
      <c r="L191" s="32"/>
      <c r="M191" s="32"/>
    </row>
    <row r="192" spans="1:13" ht="27" x14ac:dyDescent="0.25">
      <c r="A192" s="403">
        <v>3</v>
      </c>
      <c r="B192" s="768" t="s">
        <v>111</v>
      </c>
      <c r="C192" s="69" t="s">
        <v>199</v>
      </c>
      <c r="D192" s="36" t="s">
        <v>113</v>
      </c>
      <c r="E192" s="36"/>
      <c r="F192" s="104">
        <v>1.1000000000000001</v>
      </c>
      <c r="G192" s="179"/>
      <c r="H192" s="57"/>
      <c r="I192" s="180"/>
      <c r="J192" s="57"/>
      <c r="K192" s="180"/>
      <c r="L192" s="57"/>
      <c r="M192" s="181"/>
    </row>
    <row r="193" spans="1:13" x14ac:dyDescent="0.25">
      <c r="A193" s="109"/>
      <c r="B193" s="769"/>
      <c r="C193" s="310" t="s">
        <v>183</v>
      </c>
      <c r="D193" s="311" t="s">
        <v>46</v>
      </c>
      <c r="E193" s="47">
        <v>1.0349999999999999</v>
      </c>
      <c r="F193" s="89">
        <f>E193*F192</f>
        <v>1.1385000000000001</v>
      </c>
      <c r="G193" s="47"/>
      <c r="H193" s="89"/>
      <c r="I193" s="92"/>
      <c r="J193" s="89"/>
      <c r="K193" s="92"/>
      <c r="L193" s="89"/>
      <c r="M193" s="89"/>
    </row>
    <row r="194" spans="1:13" ht="15.75" x14ac:dyDescent="0.25">
      <c r="A194" s="687"/>
      <c r="B194" s="18"/>
      <c r="C194" s="186" t="s">
        <v>114</v>
      </c>
      <c r="D194" s="187" t="s">
        <v>115</v>
      </c>
      <c r="E194" s="188">
        <v>0.15</v>
      </c>
      <c r="F194" s="188">
        <f>E194*F192</f>
        <v>0.16500000000000001</v>
      </c>
      <c r="G194" s="189"/>
      <c r="H194" s="189"/>
      <c r="I194" s="190"/>
      <c r="J194" s="32"/>
      <c r="K194" s="33"/>
      <c r="L194" s="32"/>
      <c r="M194" s="89"/>
    </row>
    <row r="195" spans="1:13" ht="45" x14ac:dyDescent="0.25">
      <c r="A195" s="191">
        <v>4</v>
      </c>
      <c r="B195" s="779" t="s">
        <v>200</v>
      </c>
      <c r="C195" s="192" t="s">
        <v>201</v>
      </c>
      <c r="D195" s="366" t="s">
        <v>81</v>
      </c>
      <c r="E195" s="194"/>
      <c r="F195" s="367">
        <v>1.1000000000000001</v>
      </c>
      <c r="G195" s="195"/>
      <c r="H195" s="196"/>
      <c r="I195" s="197"/>
      <c r="J195" s="196"/>
      <c r="K195" s="197"/>
      <c r="L195" s="196"/>
      <c r="M195" s="198"/>
    </row>
    <row r="196" spans="1:13" ht="15.75" x14ac:dyDescent="0.3">
      <c r="A196" s="199"/>
      <c r="B196" s="780"/>
      <c r="C196" s="200" t="s">
        <v>202</v>
      </c>
      <c r="D196" s="368" t="s">
        <v>203</v>
      </c>
      <c r="E196" s="369">
        <f>0.749</f>
        <v>0.749</v>
      </c>
      <c r="F196" s="202">
        <f>E196*F195</f>
        <v>0.82390000000000008</v>
      </c>
      <c r="G196" s="201"/>
      <c r="H196" s="202"/>
      <c r="I196" s="203"/>
      <c r="J196" s="202"/>
      <c r="K196" s="203"/>
      <c r="L196" s="202"/>
      <c r="M196" s="202"/>
    </row>
    <row r="197" spans="1:13" x14ac:dyDescent="0.25">
      <c r="A197" s="199"/>
      <c r="B197" s="780"/>
      <c r="C197" s="200" t="s">
        <v>204</v>
      </c>
      <c r="D197" s="370" t="s">
        <v>85</v>
      </c>
      <c r="E197" s="201">
        <f>(0.07+0.05)*2</f>
        <v>0.24000000000000002</v>
      </c>
      <c r="F197" s="369">
        <f>E197*F195</f>
        <v>0.26400000000000007</v>
      </c>
      <c r="G197" s="201"/>
      <c r="H197" s="202"/>
      <c r="I197" s="371"/>
      <c r="J197" s="371"/>
      <c r="K197" s="203"/>
      <c r="L197" s="202"/>
      <c r="M197" s="202"/>
    </row>
    <row r="198" spans="1:13" x14ac:dyDescent="0.25">
      <c r="A198" s="204"/>
      <c r="B198" s="372"/>
      <c r="C198" s="205" t="s">
        <v>205</v>
      </c>
      <c r="D198" s="206" t="s">
        <v>122</v>
      </c>
      <c r="E198" s="206">
        <v>9.0999999999999998E-2</v>
      </c>
      <c r="F198" s="207">
        <f>E198*F195</f>
        <v>0.10010000000000001</v>
      </c>
      <c r="G198" s="206"/>
      <c r="H198" s="208"/>
      <c r="I198" s="209"/>
      <c r="J198" s="208"/>
      <c r="K198" s="209"/>
      <c r="L198" s="208"/>
      <c r="M198" s="208"/>
    </row>
    <row r="199" spans="1:13" ht="27" x14ac:dyDescent="0.25">
      <c r="A199" s="403">
        <v>5</v>
      </c>
      <c r="B199" s="93" t="s">
        <v>70</v>
      </c>
      <c r="C199" s="94" t="s">
        <v>136</v>
      </c>
      <c r="D199" s="366" t="s">
        <v>81</v>
      </c>
      <c r="E199" s="56"/>
      <c r="F199" s="96">
        <v>85</v>
      </c>
      <c r="G199" s="56"/>
      <c r="H199" s="57"/>
      <c r="I199" s="58"/>
      <c r="J199" s="59"/>
      <c r="K199" s="60"/>
      <c r="L199" s="60"/>
      <c r="M199" s="61"/>
    </row>
    <row r="200" spans="1:13" x14ac:dyDescent="0.25">
      <c r="A200" s="109"/>
      <c r="B200" s="164"/>
      <c r="C200" s="310" t="s">
        <v>183</v>
      </c>
      <c r="D200" s="311" t="s">
        <v>46</v>
      </c>
      <c r="E200" s="47">
        <v>0.25800000000000001</v>
      </c>
      <c r="F200" s="89">
        <f>E200*F199</f>
        <v>21.93</v>
      </c>
      <c r="G200" s="91"/>
      <c r="H200" s="89"/>
      <c r="I200" s="92"/>
      <c r="J200" s="89"/>
      <c r="K200" s="92"/>
      <c r="L200" s="89"/>
      <c r="M200" s="89"/>
    </row>
    <row r="201" spans="1:13" x14ac:dyDescent="0.25">
      <c r="A201" s="115"/>
      <c r="B201" s="145"/>
      <c r="C201" s="310" t="s">
        <v>184</v>
      </c>
      <c r="D201" s="311" t="s">
        <v>122</v>
      </c>
      <c r="E201" s="146">
        <v>1.6000000000000001E-3</v>
      </c>
      <c r="F201" s="146">
        <f>E201*F199</f>
        <v>0.13600000000000001</v>
      </c>
      <c r="G201" s="146"/>
      <c r="H201" s="147"/>
      <c r="I201" s="148"/>
      <c r="J201" s="147"/>
      <c r="K201" s="148"/>
      <c r="L201" s="147"/>
      <c r="M201" s="147"/>
    </row>
    <row r="202" spans="1:13" ht="54" x14ac:dyDescent="0.25">
      <c r="A202" s="101">
        <v>6</v>
      </c>
      <c r="B202" s="778" t="s">
        <v>137</v>
      </c>
      <c r="C202" s="102" t="s">
        <v>138</v>
      </c>
      <c r="D202" s="366" t="s">
        <v>81</v>
      </c>
      <c r="E202" s="103"/>
      <c r="F202" s="104">
        <v>85</v>
      </c>
      <c r="G202" s="105"/>
      <c r="H202" s="106"/>
      <c r="I202" s="107"/>
      <c r="J202" s="106"/>
      <c r="K202" s="107"/>
      <c r="L202" s="106"/>
      <c r="M202" s="108"/>
    </row>
    <row r="203" spans="1:13" x14ac:dyDescent="0.25">
      <c r="A203" s="109"/>
      <c r="B203" s="771"/>
      <c r="C203" s="310" t="s">
        <v>183</v>
      </c>
      <c r="D203" s="311" t="s">
        <v>46</v>
      </c>
      <c r="E203" s="43">
        <f>0.856*1.15</f>
        <v>0.98439999999999994</v>
      </c>
      <c r="F203" s="43">
        <f>E203*F202</f>
        <v>83.673999999999992</v>
      </c>
      <c r="G203" s="86"/>
      <c r="H203" s="43"/>
      <c r="I203" s="110"/>
      <c r="J203" s="43"/>
      <c r="K203" s="110"/>
      <c r="L203" s="43"/>
      <c r="M203" s="75"/>
    </row>
    <row r="204" spans="1:13" x14ac:dyDescent="0.25">
      <c r="A204" s="109"/>
      <c r="B204" s="771"/>
      <c r="C204" s="310" t="s">
        <v>184</v>
      </c>
      <c r="D204" s="311" t="s">
        <v>122</v>
      </c>
      <c r="E204" s="111">
        <f>0.012*1.25</f>
        <v>1.4999999999999999E-2</v>
      </c>
      <c r="F204" s="43">
        <f>E204*F202</f>
        <v>1.2749999999999999</v>
      </c>
      <c r="G204" s="86"/>
      <c r="H204" s="43"/>
      <c r="I204" s="110"/>
      <c r="J204" s="43"/>
      <c r="K204" s="110"/>
      <c r="L204" s="43"/>
      <c r="M204" s="75"/>
    </row>
    <row r="205" spans="1:13" x14ac:dyDescent="0.25">
      <c r="A205" s="109"/>
      <c r="B205" s="86"/>
      <c r="C205" s="112" t="s">
        <v>493</v>
      </c>
      <c r="D205" s="86" t="s">
        <v>85</v>
      </c>
      <c r="E205" s="86">
        <v>0.24</v>
      </c>
      <c r="F205" s="43">
        <f>E205*F202</f>
        <v>20.399999999999999</v>
      </c>
      <c r="G205" s="86"/>
      <c r="H205" s="43"/>
      <c r="I205" s="113"/>
      <c r="J205" s="75"/>
      <c r="K205" s="110"/>
      <c r="L205" s="43"/>
      <c r="M205" s="75"/>
    </row>
    <row r="206" spans="1:13" x14ac:dyDescent="0.25">
      <c r="A206" s="109"/>
      <c r="B206" s="86"/>
      <c r="C206" s="112" t="s">
        <v>472</v>
      </c>
      <c r="D206" s="114" t="s">
        <v>85</v>
      </c>
      <c r="E206" s="114">
        <f>0.314</f>
        <v>0.314</v>
      </c>
      <c r="F206" s="43">
        <f>E206*F202</f>
        <v>26.69</v>
      </c>
      <c r="G206" s="86"/>
      <c r="H206" s="43"/>
      <c r="I206" s="110"/>
      <c r="J206" s="75"/>
      <c r="K206" s="110"/>
      <c r="L206" s="43"/>
      <c r="M206" s="75"/>
    </row>
    <row r="207" spans="1:13" x14ac:dyDescent="0.25">
      <c r="A207" s="115"/>
      <c r="B207" s="50"/>
      <c r="C207" s="205" t="s">
        <v>205</v>
      </c>
      <c r="D207" s="206" t="s">
        <v>122</v>
      </c>
      <c r="E207" s="50">
        <v>1.6E-2</v>
      </c>
      <c r="F207" s="117">
        <f>E207*F202</f>
        <v>1.36</v>
      </c>
      <c r="G207" s="50"/>
      <c r="H207" s="118"/>
      <c r="I207" s="119"/>
      <c r="J207" s="118"/>
      <c r="K207" s="119"/>
      <c r="L207" s="118"/>
      <c r="M207" s="120"/>
    </row>
    <row r="208" spans="1:13" ht="27" x14ac:dyDescent="0.25">
      <c r="A208" s="403">
        <v>7</v>
      </c>
      <c r="B208" s="93" t="s">
        <v>70</v>
      </c>
      <c r="C208" s="94" t="s">
        <v>206</v>
      </c>
      <c r="D208" s="366" t="s">
        <v>81</v>
      </c>
      <c r="E208" s="56"/>
      <c r="F208" s="96">
        <v>25</v>
      </c>
      <c r="G208" s="56"/>
      <c r="H208" s="57"/>
      <c r="I208" s="58"/>
      <c r="J208" s="59"/>
      <c r="K208" s="60"/>
      <c r="L208" s="60"/>
      <c r="M208" s="61"/>
    </row>
    <row r="209" spans="1:13" x14ac:dyDescent="0.25">
      <c r="A209" s="109"/>
      <c r="B209" s="164"/>
      <c r="C209" s="310" t="s">
        <v>183</v>
      </c>
      <c r="D209" s="311" t="s">
        <v>46</v>
      </c>
      <c r="E209" s="47">
        <v>0.25800000000000001</v>
      </c>
      <c r="F209" s="89">
        <f>E209*F208</f>
        <v>6.45</v>
      </c>
      <c r="G209" s="91"/>
      <c r="H209" s="89"/>
      <c r="I209" s="92"/>
      <c r="J209" s="89"/>
      <c r="K209" s="92"/>
      <c r="L209" s="89"/>
      <c r="M209" s="89"/>
    </row>
    <row r="210" spans="1:13" x14ac:dyDescent="0.25">
      <c r="A210" s="115"/>
      <c r="B210" s="145"/>
      <c r="C210" s="310" t="s">
        <v>184</v>
      </c>
      <c r="D210" s="311" t="s">
        <v>122</v>
      </c>
      <c r="E210" s="146">
        <v>1.6000000000000001E-3</v>
      </c>
      <c r="F210" s="146">
        <f>E210*F208</f>
        <v>0.04</v>
      </c>
      <c r="G210" s="146"/>
      <c r="H210" s="147"/>
      <c r="I210" s="148"/>
      <c r="J210" s="147"/>
      <c r="K210" s="148"/>
      <c r="L210" s="147"/>
      <c r="M210" s="147"/>
    </row>
    <row r="211" spans="1:13" ht="67.5" x14ac:dyDescent="0.25">
      <c r="A211" s="101">
        <v>8</v>
      </c>
      <c r="B211" s="778" t="s">
        <v>72</v>
      </c>
      <c r="C211" s="102" t="s">
        <v>207</v>
      </c>
      <c r="D211" s="103" t="s">
        <v>65</v>
      </c>
      <c r="E211" s="103"/>
      <c r="F211" s="104">
        <v>25</v>
      </c>
      <c r="G211" s="105"/>
      <c r="H211" s="106"/>
      <c r="I211" s="107"/>
      <c r="J211" s="106"/>
      <c r="K211" s="107"/>
      <c r="L211" s="106"/>
      <c r="M211" s="108"/>
    </row>
    <row r="212" spans="1:13" x14ac:dyDescent="0.25">
      <c r="A212" s="109"/>
      <c r="B212" s="771"/>
      <c r="C212" s="310" t="s">
        <v>183</v>
      </c>
      <c r="D212" s="311" t="s">
        <v>46</v>
      </c>
      <c r="E212" s="43">
        <f>0.658*1.15</f>
        <v>0.75669999999999993</v>
      </c>
      <c r="F212" s="43">
        <f>E212*F211</f>
        <v>18.917499999999997</v>
      </c>
      <c r="G212" s="86"/>
      <c r="H212" s="43"/>
      <c r="I212" s="110"/>
      <c r="J212" s="43"/>
      <c r="K212" s="110"/>
      <c r="L212" s="43"/>
      <c r="M212" s="75"/>
    </row>
    <row r="213" spans="1:13" x14ac:dyDescent="0.25">
      <c r="A213" s="109"/>
      <c r="B213" s="771"/>
      <c r="C213" s="310" t="s">
        <v>184</v>
      </c>
      <c r="D213" s="311" t="s">
        <v>122</v>
      </c>
      <c r="E213" s="111">
        <f>0.01*1.25</f>
        <v>1.2500000000000001E-2</v>
      </c>
      <c r="F213" s="43">
        <f>E213*F211</f>
        <v>0.3125</v>
      </c>
      <c r="G213" s="86"/>
      <c r="H213" s="43"/>
      <c r="I213" s="110"/>
      <c r="J213" s="43"/>
      <c r="K213" s="110"/>
      <c r="L213" s="43"/>
      <c r="M213" s="75"/>
    </row>
    <row r="214" spans="1:13" x14ac:dyDescent="0.25">
      <c r="A214" s="109"/>
      <c r="B214" s="86"/>
      <c r="C214" s="112" t="s">
        <v>493</v>
      </c>
      <c r="D214" s="672" t="s">
        <v>85</v>
      </c>
      <c r="E214" s="86">
        <v>0.24</v>
      </c>
      <c r="F214" s="43">
        <f>E214*F211</f>
        <v>6</v>
      </c>
      <c r="G214" s="86"/>
      <c r="H214" s="43"/>
      <c r="I214" s="113"/>
      <c r="J214" s="75"/>
      <c r="K214" s="110"/>
      <c r="L214" s="43"/>
      <c r="M214" s="75"/>
    </row>
    <row r="215" spans="1:13" x14ac:dyDescent="0.25">
      <c r="A215" s="109"/>
      <c r="B215" s="86"/>
      <c r="C215" s="112" t="s">
        <v>472</v>
      </c>
      <c r="D215" s="114" t="s">
        <v>85</v>
      </c>
      <c r="E215" s="114">
        <f>0.183+0.12+0.001</f>
        <v>0.30399999999999999</v>
      </c>
      <c r="F215" s="43">
        <f>E215*F211</f>
        <v>7.6</v>
      </c>
      <c r="G215" s="86"/>
      <c r="H215" s="43"/>
      <c r="I215" s="110"/>
      <c r="J215" s="75"/>
      <c r="K215" s="110"/>
      <c r="L215" s="43"/>
      <c r="M215" s="75"/>
    </row>
    <row r="216" spans="1:13" x14ac:dyDescent="0.25">
      <c r="A216" s="115"/>
      <c r="B216" s="50"/>
      <c r="C216" s="205" t="s">
        <v>205</v>
      </c>
      <c r="D216" s="206" t="s">
        <v>122</v>
      </c>
      <c r="E216" s="50">
        <v>1.6E-2</v>
      </c>
      <c r="F216" s="117">
        <f>E216*F211</f>
        <v>0.4</v>
      </c>
      <c r="G216" s="50"/>
      <c r="H216" s="118"/>
      <c r="I216" s="119"/>
      <c r="J216" s="118"/>
      <c r="K216" s="119"/>
      <c r="L216" s="118"/>
      <c r="M216" s="120"/>
    </row>
    <row r="217" spans="1:13" ht="15.75" x14ac:dyDescent="0.25">
      <c r="A217" s="682"/>
      <c r="B217" s="16"/>
      <c r="C217" s="178" t="s">
        <v>208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27" x14ac:dyDescent="0.25">
      <c r="A218" s="403">
        <v>1</v>
      </c>
      <c r="B218" s="20" t="s">
        <v>63</v>
      </c>
      <c r="C218" s="82" t="s">
        <v>64</v>
      </c>
      <c r="D218" s="212" t="s">
        <v>65</v>
      </c>
      <c r="E218" s="212"/>
      <c r="F218" s="213">
        <v>71</v>
      </c>
      <c r="G218" s="56"/>
      <c r="H218" s="57"/>
      <c r="I218" s="58"/>
      <c r="J218" s="59"/>
      <c r="K218" s="60"/>
      <c r="L218" s="60"/>
      <c r="M218" s="61"/>
    </row>
    <row r="219" spans="1:13" x14ac:dyDescent="0.25">
      <c r="A219" s="109"/>
      <c r="B219" s="20"/>
      <c r="C219" s="310" t="s">
        <v>183</v>
      </c>
      <c r="D219" s="311" t="s">
        <v>46</v>
      </c>
      <c r="E219" s="40">
        <v>0.47199999999999998</v>
      </c>
      <c r="F219" s="26">
        <f>E219*F218</f>
        <v>33.512</v>
      </c>
      <c r="G219" s="77"/>
      <c r="H219" s="26"/>
      <c r="I219" s="76"/>
      <c r="J219" s="26"/>
      <c r="K219" s="76"/>
      <c r="L219" s="26"/>
      <c r="M219" s="26"/>
    </row>
    <row r="220" spans="1:13" x14ac:dyDescent="0.25">
      <c r="A220" s="109"/>
      <c r="B220" s="29"/>
      <c r="C220" s="310" t="s">
        <v>184</v>
      </c>
      <c r="D220" s="311" t="s">
        <v>122</v>
      </c>
      <c r="E220" s="34">
        <v>3.0099999999999998E-2</v>
      </c>
      <c r="F220" s="32">
        <f>E220*F218</f>
        <v>2.1370999999999998</v>
      </c>
      <c r="G220" s="83"/>
      <c r="H220" s="26"/>
      <c r="I220" s="76"/>
      <c r="J220" s="26"/>
      <c r="K220" s="76"/>
      <c r="L220" s="26"/>
      <c r="M220" s="26"/>
    </row>
    <row r="221" spans="1:13" x14ac:dyDescent="0.25">
      <c r="A221" s="403">
        <v>2</v>
      </c>
      <c r="B221" s="772" t="s">
        <v>66</v>
      </c>
      <c r="C221" s="84" t="s">
        <v>67</v>
      </c>
      <c r="D221" s="36" t="s">
        <v>65</v>
      </c>
      <c r="E221" s="55"/>
      <c r="F221" s="36">
        <v>71</v>
      </c>
      <c r="G221" s="70"/>
      <c r="H221" s="85"/>
      <c r="I221" s="70"/>
      <c r="J221" s="85"/>
      <c r="K221" s="70"/>
      <c r="L221" s="85"/>
      <c r="M221" s="85"/>
    </row>
    <row r="222" spans="1:13" x14ac:dyDescent="0.25">
      <c r="A222" s="109"/>
      <c r="B222" s="773"/>
      <c r="C222" s="310" t="s">
        <v>183</v>
      </c>
      <c r="D222" s="311" t="s">
        <v>46</v>
      </c>
      <c r="E222" s="26">
        <f>0.71*1.15</f>
        <v>0.81649999999999989</v>
      </c>
      <c r="F222" s="77">
        <f>E222*F221</f>
        <v>57.971499999999992</v>
      </c>
      <c r="G222" s="86"/>
      <c r="H222" s="26"/>
      <c r="I222" s="76"/>
      <c r="J222" s="26"/>
      <c r="K222" s="76"/>
      <c r="L222" s="26"/>
      <c r="M222" s="26"/>
    </row>
    <row r="223" spans="1:13" x14ac:dyDescent="0.25">
      <c r="A223" s="109"/>
      <c r="B223" s="773"/>
      <c r="C223" s="310" t="s">
        <v>184</v>
      </c>
      <c r="D223" s="311" t="s">
        <v>122</v>
      </c>
      <c r="E223" s="87">
        <f>0.0301*1.25</f>
        <v>3.7624999999999999E-2</v>
      </c>
      <c r="F223" s="26">
        <f>E223*F221</f>
        <v>2.6713749999999998</v>
      </c>
      <c r="G223" s="40"/>
      <c r="H223" s="26"/>
      <c r="I223" s="76"/>
      <c r="J223" s="26"/>
      <c r="K223" s="76"/>
      <c r="L223" s="26"/>
      <c r="M223" s="26"/>
    </row>
    <row r="224" spans="1:13" ht="27" x14ac:dyDescent="0.25">
      <c r="A224" s="109"/>
      <c r="B224" s="773"/>
      <c r="C224" s="88" t="s">
        <v>469</v>
      </c>
      <c r="D224" s="47" t="s">
        <v>81</v>
      </c>
      <c r="E224" s="47">
        <v>1.0149999999999999</v>
      </c>
      <c r="F224" s="89">
        <f>E224*F221</f>
        <v>72.064999999999998</v>
      </c>
      <c r="G224" s="47"/>
      <c r="H224" s="89"/>
      <c r="I224" s="90"/>
      <c r="J224" s="91"/>
      <c r="K224" s="92"/>
      <c r="L224" s="89"/>
      <c r="M224" s="89"/>
    </row>
    <row r="225" spans="1:13" x14ac:dyDescent="0.25">
      <c r="A225" s="115"/>
      <c r="B225" s="784"/>
      <c r="C225" s="80" t="s">
        <v>62</v>
      </c>
      <c r="D225" s="34" t="s">
        <v>50</v>
      </c>
      <c r="E225" s="34">
        <v>0.107</v>
      </c>
      <c r="F225" s="32">
        <f>E225*F221</f>
        <v>7.5969999999999995</v>
      </c>
      <c r="G225" s="34"/>
      <c r="H225" s="32"/>
      <c r="I225" s="33"/>
      <c r="J225" s="32"/>
      <c r="K225" s="33"/>
      <c r="L225" s="32"/>
      <c r="M225" s="32"/>
    </row>
    <row r="226" spans="1:13" ht="27" x14ac:dyDescent="0.25">
      <c r="A226" s="132">
        <v>3</v>
      </c>
      <c r="B226" s="20" t="s">
        <v>42</v>
      </c>
      <c r="C226" s="21" t="s">
        <v>43</v>
      </c>
      <c r="D226" s="22" t="s">
        <v>44</v>
      </c>
      <c r="E226" s="23"/>
      <c r="F226" s="24">
        <v>13</v>
      </c>
      <c r="G226" s="25"/>
      <c r="H226" s="26"/>
      <c r="I226" s="27"/>
      <c r="J226" s="26"/>
      <c r="K226" s="28"/>
      <c r="L226" s="26"/>
      <c r="M226" s="26"/>
    </row>
    <row r="227" spans="1:13" x14ac:dyDescent="0.25">
      <c r="A227" s="160"/>
      <c r="B227" s="30"/>
      <c r="C227" s="31" t="s">
        <v>45</v>
      </c>
      <c r="D227" s="29" t="s">
        <v>46</v>
      </c>
      <c r="E227" s="29">
        <f>0.74*0.4*1.15</f>
        <v>0.34039999999999998</v>
      </c>
      <c r="F227" s="32">
        <f>E227*F226</f>
        <v>4.4251999999999994</v>
      </c>
      <c r="G227" s="33"/>
      <c r="H227" s="32"/>
      <c r="I227" s="34"/>
      <c r="J227" s="32"/>
      <c r="K227" s="33"/>
      <c r="L227" s="32"/>
      <c r="M227" s="32"/>
    </row>
    <row r="228" spans="1:13" ht="40.5" x14ac:dyDescent="0.25">
      <c r="A228" s="35">
        <v>4</v>
      </c>
      <c r="B228" s="35" t="s">
        <v>47</v>
      </c>
      <c r="C228" s="21" t="s">
        <v>48</v>
      </c>
      <c r="D228" s="36" t="s">
        <v>44</v>
      </c>
      <c r="E228" s="36"/>
      <c r="F228" s="37">
        <v>13</v>
      </c>
      <c r="G228" s="38"/>
      <c r="H228" s="38"/>
      <c r="I228" s="38"/>
      <c r="J228" s="38"/>
      <c r="K228" s="38"/>
      <c r="L228" s="38"/>
      <c r="M228" s="39"/>
    </row>
    <row r="229" spans="1:13" x14ac:dyDescent="0.25">
      <c r="A229" s="47"/>
      <c r="B229" s="41"/>
      <c r="C229" s="310" t="s">
        <v>183</v>
      </c>
      <c r="D229" s="311" t="s">
        <v>46</v>
      </c>
      <c r="E229" s="26">
        <f>1.65*1.15</f>
        <v>1.8974999999999997</v>
      </c>
      <c r="F229" s="43">
        <f>F228*E229</f>
        <v>24.667499999999997</v>
      </c>
      <c r="G229" s="44"/>
      <c r="H229" s="45"/>
      <c r="I229" s="45"/>
      <c r="J229" s="44"/>
      <c r="K229" s="44"/>
      <c r="L229" s="44"/>
      <c r="M229" s="45"/>
    </row>
    <row r="230" spans="1:13" x14ac:dyDescent="0.25">
      <c r="A230" s="47"/>
      <c r="B230" s="40"/>
      <c r="C230" s="310" t="s">
        <v>184</v>
      </c>
      <c r="D230" s="311" t="s">
        <v>122</v>
      </c>
      <c r="E230" s="40">
        <f>0.022*1.25</f>
        <v>2.7499999999999997E-2</v>
      </c>
      <c r="F230" s="43">
        <f>F228*E230</f>
        <v>0.35749999999999993</v>
      </c>
      <c r="G230" s="44"/>
      <c r="H230" s="44"/>
      <c r="I230" s="44"/>
      <c r="J230" s="44"/>
      <c r="K230" s="44"/>
      <c r="L230" s="44"/>
      <c r="M230" s="45"/>
    </row>
    <row r="231" spans="1:13" ht="27" x14ac:dyDescent="0.25">
      <c r="A231" s="47"/>
      <c r="B231" s="41"/>
      <c r="C231" s="46" t="s">
        <v>51</v>
      </c>
      <c r="D231" s="47" t="s">
        <v>44</v>
      </c>
      <c r="E231" s="47">
        <v>1</v>
      </c>
      <c r="F231" s="47">
        <v>13</v>
      </c>
      <c r="G231" s="44"/>
      <c r="H231" s="44"/>
      <c r="I231" s="45"/>
      <c r="J231" s="45"/>
      <c r="K231" s="45"/>
      <c r="L231" s="45"/>
      <c r="M231" s="45"/>
    </row>
    <row r="232" spans="1:13" x14ac:dyDescent="0.25">
      <c r="A232" s="146"/>
      <c r="B232" s="34"/>
      <c r="C232" s="49" t="s">
        <v>52</v>
      </c>
      <c r="D232" s="34" t="s">
        <v>50</v>
      </c>
      <c r="E232" s="34">
        <v>0.30599999999999999</v>
      </c>
      <c r="F232" s="50">
        <f>F228*E232</f>
        <v>3.9779999999999998</v>
      </c>
      <c r="G232" s="51"/>
      <c r="H232" s="51"/>
      <c r="I232" s="51"/>
      <c r="J232" s="51"/>
      <c r="K232" s="51"/>
      <c r="L232" s="51"/>
      <c r="M232" s="52"/>
    </row>
    <row r="233" spans="1:13" ht="27" x14ac:dyDescent="0.25">
      <c r="A233" s="403">
        <v>5</v>
      </c>
      <c r="B233" s="93" t="s">
        <v>70</v>
      </c>
      <c r="C233" s="94" t="s">
        <v>209</v>
      </c>
      <c r="D233" s="95" t="s">
        <v>65</v>
      </c>
      <c r="E233" s="56"/>
      <c r="F233" s="96">
        <v>6</v>
      </c>
      <c r="G233" s="56"/>
      <c r="H233" s="57"/>
      <c r="I233" s="58"/>
      <c r="J233" s="59"/>
      <c r="K233" s="60"/>
      <c r="L233" s="60"/>
      <c r="M233" s="61"/>
    </row>
    <row r="234" spans="1:13" x14ac:dyDescent="0.25">
      <c r="A234" s="109"/>
      <c r="B234" s="164"/>
      <c r="C234" s="310" t="s">
        <v>183</v>
      </c>
      <c r="D234" s="311" t="s">
        <v>46</v>
      </c>
      <c r="E234" s="47">
        <v>0.25800000000000001</v>
      </c>
      <c r="F234" s="89">
        <f>E234*F233</f>
        <v>1.548</v>
      </c>
      <c r="G234" s="91"/>
      <c r="H234" s="89"/>
      <c r="I234" s="92"/>
      <c r="J234" s="89"/>
      <c r="K234" s="92"/>
      <c r="L234" s="89"/>
      <c r="M234" s="89"/>
    </row>
    <row r="235" spans="1:13" x14ac:dyDescent="0.25">
      <c r="A235" s="115"/>
      <c r="B235" s="145"/>
      <c r="C235" s="310" t="s">
        <v>184</v>
      </c>
      <c r="D235" s="311" t="s">
        <v>122</v>
      </c>
      <c r="E235" s="146">
        <v>1.6000000000000001E-3</v>
      </c>
      <c r="F235" s="146">
        <f>E235*F233</f>
        <v>9.6000000000000009E-3</v>
      </c>
      <c r="G235" s="146"/>
      <c r="H235" s="147"/>
      <c r="I235" s="148"/>
      <c r="J235" s="147"/>
      <c r="K235" s="148"/>
      <c r="L235" s="147"/>
      <c r="M235" s="147"/>
    </row>
    <row r="236" spans="1:13" ht="54" x14ac:dyDescent="0.25">
      <c r="A236" s="101">
        <v>6</v>
      </c>
      <c r="B236" s="778" t="s">
        <v>72</v>
      </c>
      <c r="C236" s="102" t="s">
        <v>210</v>
      </c>
      <c r="D236" s="103" t="s">
        <v>65</v>
      </c>
      <c r="E236" s="103"/>
      <c r="F236" s="104">
        <v>6</v>
      </c>
      <c r="G236" s="105"/>
      <c r="H236" s="106"/>
      <c r="I236" s="107"/>
      <c r="J236" s="106"/>
      <c r="K236" s="107"/>
      <c r="L236" s="106"/>
      <c r="M236" s="108"/>
    </row>
    <row r="237" spans="1:13" x14ac:dyDescent="0.25">
      <c r="A237" s="109"/>
      <c r="B237" s="771"/>
      <c r="C237" s="310" t="s">
        <v>183</v>
      </c>
      <c r="D237" s="311" t="s">
        <v>46</v>
      </c>
      <c r="E237" s="43">
        <f>0.658*1.15</f>
        <v>0.75669999999999993</v>
      </c>
      <c r="F237" s="43">
        <f>E237*F236</f>
        <v>4.5401999999999996</v>
      </c>
      <c r="G237" s="86"/>
      <c r="H237" s="43"/>
      <c r="I237" s="110"/>
      <c r="J237" s="43"/>
      <c r="K237" s="110"/>
      <c r="L237" s="43"/>
      <c r="M237" s="75"/>
    </row>
    <row r="238" spans="1:13" x14ac:dyDescent="0.25">
      <c r="A238" s="109"/>
      <c r="B238" s="771"/>
      <c r="C238" s="310" t="s">
        <v>184</v>
      </c>
      <c r="D238" s="311" t="s">
        <v>122</v>
      </c>
      <c r="E238" s="111">
        <f>0.01*1.25</f>
        <v>1.2500000000000001E-2</v>
      </c>
      <c r="F238" s="43">
        <f>E238*F236</f>
        <v>7.5000000000000011E-2</v>
      </c>
      <c r="G238" s="86"/>
      <c r="H238" s="43"/>
      <c r="I238" s="110"/>
      <c r="J238" s="43"/>
      <c r="K238" s="110"/>
      <c r="L238" s="43"/>
      <c r="M238" s="75"/>
    </row>
    <row r="239" spans="1:13" x14ac:dyDescent="0.25">
      <c r="A239" s="109"/>
      <c r="B239" s="86"/>
      <c r="C239" s="112" t="s">
        <v>74</v>
      </c>
      <c r="D239" s="86" t="s">
        <v>75</v>
      </c>
      <c r="E239" s="86">
        <v>0.24</v>
      </c>
      <c r="F239" s="43">
        <f>E239*F236</f>
        <v>1.44</v>
      </c>
      <c r="G239" s="86"/>
      <c r="H239" s="43"/>
      <c r="I239" s="113"/>
      <c r="J239" s="75"/>
      <c r="K239" s="110"/>
      <c r="L239" s="43"/>
      <c r="M239" s="75"/>
    </row>
    <row r="240" spans="1:13" x14ac:dyDescent="0.25">
      <c r="A240" s="109"/>
      <c r="B240" s="86"/>
      <c r="C240" s="112" t="s">
        <v>76</v>
      </c>
      <c r="D240" s="114" t="s">
        <v>75</v>
      </c>
      <c r="E240" s="114">
        <f>0.183+0.12+0.001</f>
        <v>0.30399999999999999</v>
      </c>
      <c r="F240" s="43">
        <f>E240*F236</f>
        <v>1.8239999999999998</v>
      </c>
      <c r="G240" s="86"/>
      <c r="H240" s="43"/>
      <c r="I240" s="110"/>
      <c r="J240" s="75"/>
      <c r="K240" s="110"/>
      <c r="L240" s="43"/>
      <c r="M240" s="75"/>
    </row>
    <row r="241" spans="1:13" x14ac:dyDescent="0.25">
      <c r="A241" s="115"/>
      <c r="B241" s="50"/>
      <c r="C241" s="116" t="s">
        <v>77</v>
      </c>
      <c r="D241" s="50" t="s">
        <v>50</v>
      </c>
      <c r="E241" s="50">
        <v>1.6E-2</v>
      </c>
      <c r="F241" s="117">
        <f>E241*F236</f>
        <v>9.6000000000000002E-2</v>
      </c>
      <c r="G241" s="50"/>
      <c r="H241" s="118"/>
      <c r="I241" s="119"/>
      <c r="J241" s="118"/>
      <c r="K241" s="119"/>
      <c r="L241" s="118"/>
      <c r="M241" s="120"/>
    </row>
    <row r="242" spans="1:13" ht="15.75" x14ac:dyDescent="0.25">
      <c r="A242" s="682"/>
      <c r="B242" s="16"/>
      <c r="C242" s="178" t="s">
        <v>211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ht="27" x14ac:dyDescent="0.25">
      <c r="A243" s="132">
        <v>1</v>
      </c>
      <c r="B243" s="20" t="s">
        <v>42</v>
      </c>
      <c r="C243" s="21" t="s">
        <v>43</v>
      </c>
      <c r="D243" s="22" t="s">
        <v>44</v>
      </c>
      <c r="E243" s="23"/>
      <c r="F243" s="24">
        <v>10</v>
      </c>
      <c r="G243" s="25"/>
      <c r="H243" s="26"/>
      <c r="I243" s="27"/>
      <c r="J243" s="26"/>
      <c r="K243" s="28"/>
      <c r="L243" s="26"/>
      <c r="M243" s="26"/>
    </row>
    <row r="244" spans="1:13" x14ac:dyDescent="0.25">
      <c r="A244" s="160"/>
      <c r="B244" s="30"/>
      <c r="C244" s="31" t="s">
        <v>45</v>
      </c>
      <c r="D244" s="29" t="s">
        <v>46</v>
      </c>
      <c r="E244" s="29">
        <f>0.74*0.4*1.15</f>
        <v>0.34039999999999998</v>
      </c>
      <c r="F244" s="32">
        <f>E244*F243</f>
        <v>3.4039999999999999</v>
      </c>
      <c r="G244" s="33"/>
      <c r="H244" s="32"/>
      <c r="I244" s="34"/>
      <c r="J244" s="32"/>
      <c r="K244" s="33"/>
      <c r="L244" s="32"/>
      <c r="M244" s="32"/>
    </row>
    <row r="245" spans="1:13" ht="40.5" x14ac:dyDescent="0.25">
      <c r="A245" s="35">
        <v>2</v>
      </c>
      <c r="B245" s="35" t="s">
        <v>47</v>
      </c>
      <c r="C245" s="21" t="s">
        <v>48</v>
      </c>
      <c r="D245" s="36" t="s">
        <v>44</v>
      </c>
      <c r="E245" s="36"/>
      <c r="F245" s="37">
        <v>10</v>
      </c>
      <c r="G245" s="38"/>
      <c r="H245" s="38"/>
      <c r="I245" s="38"/>
      <c r="J245" s="38"/>
      <c r="K245" s="38"/>
      <c r="L245" s="38"/>
      <c r="M245" s="39"/>
    </row>
    <row r="246" spans="1:13" x14ac:dyDescent="0.25">
      <c r="A246" s="47"/>
      <c r="B246" s="41"/>
      <c r="C246" s="310" t="s">
        <v>183</v>
      </c>
      <c r="D246" s="311" t="s">
        <v>46</v>
      </c>
      <c r="E246" s="26">
        <f>1.65*1.15</f>
        <v>1.8974999999999997</v>
      </c>
      <c r="F246" s="43">
        <f>F245*E246</f>
        <v>18.974999999999998</v>
      </c>
      <c r="G246" s="44"/>
      <c r="H246" s="45"/>
      <c r="I246" s="45"/>
      <c r="J246" s="44"/>
      <c r="K246" s="44"/>
      <c r="L246" s="44"/>
      <c r="M246" s="45"/>
    </row>
    <row r="247" spans="1:13" x14ac:dyDescent="0.25">
      <c r="A247" s="47"/>
      <c r="B247" s="40"/>
      <c r="C247" s="310" t="s">
        <v>184</v>
      </c>
      <c r="D247" s="311" t="s">
        <v>122</v>
      </c>
      <c r="E247" s="40">
        <f>0.022*1.25</f>
        <v>2.7499999999999997E-2</v>
      </c>
      <c r="F247" s="43">
        <f>F245*E247</f>
        <v>0.27499999999999997</v>
      </c>
      <c r="G247" s="44"/>
      <c r="H247" s="44"/>
      <c r="I247" s="44"/>
      <c r="J247" s="44"/>
      <c r="K247" s="44"/>
      <c r="L247" s="44"/>
      <c r="M247" s="45"/>
    </row>
    <row r="248" spans="1:13" ht="27" x14ac:dyDescent="0.25">
      <c r="A248" s="47"/>
      <c r="B248" s="41"/>
      <c r="C248" s="46" t="s">
        <v>51</v>
      </c>
      <c r="D248" s="47" t="s">
        <v>44</v>
      </c>
      <c r="E248" s="47">
        <v>1</v>
      </c>
      <c r="F248" s="47">
        <v>10</v>
      </c>
      <c r="G248" s="44"/>
      <c r="H248" s="44"/>
      <c r="I248" s="45"/>
      <c r="J248" s="45"/>
      <c r="K248" s="45"/>
      <c r="L248" s="45"/>
      <c r="M248" s="45"/>
    </row>
    <row r="249" spans="1:13" x14ac:dyDescent="0.25">
      <c r="A249" s="146"/>
      <c r="B249" s="34"/>
      <c r="C249" s="49" t="s">
        <v>52</v>
      </c>
      <c r="D249" s="34" t="s">
        <v>50</v>
      </c>
      <c r="E249" s="34">
        <v>0.30599999999999999</v>
      </c>
      <c r="F249" s="50">
        <f>F245*E249</f>
        <v>3.06</v>
      </c>
      <c r="G249" s="51"/>
      <c r="H249" s="51"/>
      <c r="I249" s="51"/>
      <c r="J249" s="51"/>
      <c r="K249" s="51"/>
      <c r="L249" s="51"/>
      <c r="M249" s="52"/>
    </row>
    <row r="250" spans="1:13" ht="27" x14ac:dyDescent="0.25">
      <c r="A250" s="403">
        <v>3</v>
      </c>
      <c r="B250" s="373" t="s">
        <v>70</v>
      </c>
      <c r="C250" s="94" t="s">
        <v>209</v>
      </c>
      <c r="D250" s="274" t="s">
        <v>65</v>
      </c>
      <c r="E250" s="35"/>
      <c r="F250" s="123">
        <v>102</v>
      </c>
      <c r="G250" s="56"/>
      <c r="H250" s="57"/>
      <c r="I250" s="58"/>
      <c r="J250" s="59"/>
      <c r="K250" s="60"/>
      <c r="L250" s="60"/>
      <c r="M250" s="61"/>
    </row>
    <row r="251" spans="1:13" x14ac:dyDescent="0.25">
      <c r="A251" s="109"/>
      <c r="B251" s="164"/>
      <c r="C251" s="310" t="s">
        <v>183</v>
      </c>
      <c r="D251" s="311" t="s">
        <v>46</v>
      </c>
      <c r="E251" s="47">
        <v>0.25800000000000001</v>
      </c>
      <c r="F251" s="89">
        <f>E251*F250</f>
        <v>26.316000000000003</v>
      </c>
      <c r="G251" s="91"/>
      <c r="H251" s="89"/>
      <c r="I251" s="92"/>
      <c r="J251" s="89"/>
      <c r="K251" s="92"/>
      <c r="L251" s="89"/>
      <c r="M251" s="89"/>
    </row>
    <row r="252" spans="1:13" x14ac:dyDescent="0.25">
      <c r="A252" s="115"/>
      <c r="B252" s="145"/>
      <c r="C252" s="310" t="s">
        <v>184</v>
      </c>
      <c r="D252" s="311" t="s">
        <v>122</v>
      </c>
      <c r="E252" s="146">
        <v>1.6000000000000001E-3</v>
      </c>
      <c r="F252" s="146">
        <f>E252*F250</f>
        <v>0.16320000000000001</v>
      </c>
      <c r="G252" s="146"/>
      <c r="H252" s="147"/>
      <c r="I252" s="148"/>
      <c r="J252" s="147"/>
      <c r="K252" s="148"/>
      <c r="L252" s="147"/>
      <c r="M252" s="147"/>
    </row>
    <row r="253" spans="1:13" ht="54" x14ac:dyDescent="0.25">
      <c r="A253" s="101">
        <v>4</v>
      </c>
      <c r="B253" s="778" t="s">
        <v>72</v>
      </c>
      <c r="C253" s="102" t="s">
        <v>210</v>
      </c>
      <c r="D253" s="103" t="s">
        <v>65</v>
      </c>
      <c r="E253" s="103"/>
      <c r="F253" s="104">
        <v>102</v>
      </c>
      <c r="G253" s="105"/>
      <c r="H253" s="106"/>
      <c r="I253" s="107"/>
      <c r="J253" s="106"/>
      <c r="K253" s="107"/>
      <c r="L253" s="106"/>
      <c r="M253" s="108"/>
    </row>
    <row r="254" spans="1:13" x14ac:dyDescent="0.25">
      <c r="A254" s="109"/>
      <c r="B254" s="771"/>
      <c r="C254" s="310" t="s">
        <v>183</v>
      </c>
      <c r="D254" s="311" t="s">
        <v>46</v>
      </c>
      <c r="E254" s="43">
        <f>0.658*1.15</f>
        <v>0.75669999999999993</v>
      </c>
      <c r="F254" s="43">
        <f>E254*F253</f>
        <v>77.183399999999992</v>
      </c>
      <c r="G254" s="86"/>
      <c r="H254" s="43"/>
      <c r="I254" s="110"/>
      <c r="J254" s="43"/>
      <c r="K254" s="110"/>
      <c r="L254" s="43"/>
      <c r="M254" s="75"/>
    </row>
    <row r="255" spans="1:13" x14ac:dyDescent="0.25">
      <c r="A255" s="109"/>
      <c r="B255" s="771"/>
      <c r="C255" s="310" t="s">
        <v>184</v>
      </c>
      <c r="D255" s="311" t="s">
        <v>122</v>
      </c>
      <c r="E255" s="111">
        <f>0.01*1.25</f>
        <v>1.2500000000000001E-2</v>
      </c>
      <c r="F255" s="43">
        <f>E255*F253</f>
        <v>1.2750000000000001</v>
      </c>
      <c r="G255" s="86"/>
      <c r="H255" s="43"/>
      <c r="I255" s="110"/>
      <c r="J255" s="43"/>
      <c r="K255" s="110"/>
      <c r="L255" s="43"/>
      <c r="M255" s="75"/>
    </row>
    <row r="256" spans="1:13" x14ac:dyDescent="0.25">
      <c r="A256" s="109"/>
      <c r="B256" s="86"/>
      <c r="C256" s="112" t="s">
        <v>74</v>
      </c>
      <c r="D256" s="86" t="s">
        <v>75</v>
      </c>
      <c r="E256" s="86">
        <v>0.24</v>
      </c>
      <c r="F256" s="43">
        <f>E256*F253</f>
        <v>24.48</v>
      </c>
      <c r="G256" s="86"/>
      <c r="H256" s="43"/>
      <c r="I256" s="113"/>
      <c r="J256" s="75"/>
      <c r="K256" s="110"/>
      <c r="L256" s="43"/>
      <c r="M256" s="75"/>
    </row>
    <row r="257" spans="1:13" x14ac:dyDescent="0.25">
      <c r="A257" s="109"/>
      <c r="B257" s="86"/>
      <c r="C257" s="112" t="s">
        <v>76</v>
      </c>
      <c r="D257" s="114" t="s">
        <v>75</v>
      </c>
      <c r="E257" s="114">
        <f>0.183+0.12+0.001</f>
        <v>0.30399999999999999</v>
      </c>
      <c r="F257" s="43">
        <f>E257*F253</f>
        <v>31.007999999999999</v>
      </c>
      <c r="G257" s="86"/>
      <c r="H257" s="43"/>
      <c r="I257" s="110"/>
      <c r="J257" s="75"/>
      <c r="K257" s="110"/>
      <c r="L257" s="43"/>
      <c r="M257" s="75"/>
    </row>
    <row r="258" spans="1:13" x14ac:dyDescent="0.25">
      <c r="A258" s="115"/>
      <c r="B258" s="50"/>
      <c r="C258" s="116" t="s">
        <v>77</v>
      </c>
      <c r="D258" s="50" t="s">
        <v>50</v>
      </c>
      <c r="E258" s="50">
        <v>1.6E-2</v>
      </c>
      <c r="F258" s="117">
        <f>E258*F253</f>
        <v>1.6320000000000001</v>
      </c>
      <c r="G258" s="50"/>
      <c r="H258" s="118"/>
      <c r="I258" s="119"/>
      <c r="J258" s="118"/>
      <c r="K258" s="119"/>
      <c r="L258" s="118"/>
      <c r="M258" s="120"/>
    </row>
    <row r="259" spans="1:13" ht="27" x14ac:dyDescent="0.25">
      <c r="A259" s="684">
        <v>5</v>
      </c>
      <c r="B259" s="53" t="s">
        <v>53</v>
      </c>
      <c r="C259" s="54" t="s">
        <v>54</v>
      </c>
      <c r="D259" s="36" t="s">
        <v>55</v>
      </c>
      <c r="E259" s="35"/>
      <c r="F259" s="55">
        <f>1.8*2</f>
        <v>3.6</v>
      </c>
      <c r="G259" s="56"/>
      <c r="H259" s="57"/>
      <c r="I259" s="58"/>
      <c r="J259" s="59"/>
      <c r="K259" s="60"/>
      <c r="L259" s="60"/>
      <c r="M259" s="61"/>
    </row>
    <row r="260" spans="1:13" ht="15.75" x14ac:dyDescent="0.25">
      <c r="A260" s="143"/>
      <c r="B260" s="62"/>
      <c r="C260" s="310" t="s">
        <v>183</v>
      </c>
      <c r="D260" s="311" t="s">
        <v>46</v>
      </c>
      <c r="E260" s="65">
        <v>0.32800000000000001</v>
      </c>
      <c r="F260" s="66">
        <f>E260*F259</f>
        <v>1.1808000000000001</v>
      </c>
      <c r="G260" s="34"/>
      <c r="H260" s="32"/>
      <c r="I260" s="33"/>
      <c r="J260" s="32"/>
      <c r="K260" s="33"/>
      <c r="L260" s="32"/>
      <c r="M260" s="32"/>
    </row>
    <row r="261" spans="1:13" ht="54" x14ac:dyDescent="0.25">
      <c r="A261" s="403">
        <v>6</v>
      </c>
      <c r="B261" s="68" t="s">
        <v>57</v>
      </c>
      <c r="C261" s="69" t="s">
        <v>212</v>
      </c>
      <c r="D261" s="36" t="s">
        <v>58</v>
      </c>
      <c r="E261" s="55"/>
      <c r="F261" s="36">
        <f>2*1.8</f>
        <v>3.6</v>
      </c>
      <c r="G261" s="70"/>
      <c r="H261" s="71"/>
      <c r="I261" s="70"/>
      <c r="J261" s="71"/>
      <c r="K261" s="70"/>
      <c r="L261" s="71"/>
      <c r="M261" s="71"/>
    </row>
    <row r="262" spans="1:13" x14ac:dyDescent="0.25">
      <c r="A262" s="109"/>
      <c r="B262" s="73"/>
      <c r="C262" s="310" t="s">
        <v>183</v>
      </c>
      <c r="D262" s="311" t="s">
        <v>46</v>
      </c>
      <c r="E262" s="26">
        <f>1.12*1.15/1.4</f>
        <v>0.92</v>
      </c>
      <c r="F262" s="26">
        <f>F261*E262</f>
        <v>3.3120000000000003</v>
      </c>
      <c r="G262" s="75"/>
      <c r="H262" s="26"/>
      <c r="I262" s="76"/>
      <c r="J262" s="26"/>
      <c r="K262" s="76"/>
      <c r="L262" s="26"/>
      <c r="M262" s="77"/>
    </row>
    <row r="263" spans="1:13" ht="27" x14ac:dyDescent="0.25">
      <c r="A263" s="109"/>
      <c r="B263" s="73"/>
      <c r="C263" s="74" t="s">
        <v>61</v>
      </c>
      <c r="D263" s="40" t="s">
        <v>58</v>
      </c>
      <c r="E263" s="40">
        <v>1</v>
      </c>
      <c r="F263" s="26">
        <f>F261*E263</f>
        <v>3.6</v>
      </c>
      <c r="G263" s="40"/>
      <c r="H263" s="26"/>
      <c r="I263" s="77"/>
      <c r="J263" s="77"/>
      <c r="K263" s="76"/>
      <c r="L263" s="26"/>
      <c r="M263" s="77"/>
    </row>
    <row r="264" spans="1:13" x14ac:dyDescent="0.25">
      <c r="A264" s="115"/>
      <c r="B264" s="79"/>
      <c r="C264" s="80" t="s">
        <v>62</v>
      </c>
      <c r="D264" s="34" t="s">
        <v>50</v>
      </c>
      <c r="E264" s="81">
        <f>0.085/1.4</f>
        <v>6.0714285714285721E-2</v>
      </c>
      <c r="F264" s="32">
        <f>F261*E264</f>
        <v>0.21857142857142861</v>
      </c>
      <c r="G264" s="34"/>
      <c r="H264" s="32"/>
      <c r="I264" s="33"/>
      <c r="J264" s="32"/>
      <c r="K264" s="33"/>
      <c r="L264" s="32"/>
      <c r="M264" s="32"/>
    </row>
    <row r="265" spans="1:13" ht="27" x14ac:dyDescent="0.25">
      <c r="A265" s="403">
        <v>7</v>
      </c>
      <c r="B265" s="20" t="s">
        <v>63</v>
      </c>
      <c r="C265" s="82" t="s">
        <v>64</v>
      </c>
      <c r="D265" s="212" t="s">
        <v>65</v>
      </c>
      <c r="E265" s="212"/>
      <c r="F265" s="213">
        <v>54</v>
      </c>
      <c r="G265" s="56"/>
      <c r="H265" s="57"/>
      <c r="I265" s="58"/>
      <c r="J265" s="59"/>
      <c r="K265" s="60"/>
      <c r="L265" s="60"/>
      <c r="M265" s="61"/>
    </row>
    <row r="266" spans="1:13" x14ac:dyDescent="0.25">
      <c r="A266" s="109"/>
      <c r="B266" s="20"/>
      <c r="C266" s="310" t="s">
        <v>183</v>
      </c>
      <c r="D266" s="311" t="s">
        <v>46</v>
      </c>
      <c r="E266" s="40">
        <v>0.47199999999999998</v>
      </c>
      <c r="F266" s="26">
        <f>E266*F265</f>
        <v>25.488</v>
      </c>
      <c r="G266" s="77"/>
      <c r="H266" s="26"/>
      <c r="I266" s="76"/>
      <c r="J266" s="26"/>
      <c r="K266" s="76"/>
      <c r="L266" s="26"/>
      <c r="M266" s="26"/>
    </row>
    <row r="267" spans="1:13" x14ac:dyDescent="0.25">
      <c r="A267" s="109"/>
      <c r="B267" s="29"/>
      <c r="C267" s="310" t="s">
        <v>184</v>
      </c>
      <c r="D267" s="311" t="s">
        <v>122</v>
      </c>
      <c r="E267" s="34">
        <v>3.0099999999999998E-2</v>
      </c>
      <c r="F267" s="32">
        <f>E267*F265</f>
        <v>1.6254</v>
      </c>
      <c r="G267" s="83"/>
      <c r="H267" s="26"/>
      <c r="I267" s="76"/>
      <c r="J267" s="26"/>
      <c r="K267" s="76"/>
      <c r="L267" s="26"/>
      <c r="M267" s="26"/>
    </row>
    <row r="268" spans="1:13" x14ac:dyDescent="0.25">
      <c r="A268" s="403">
        <v>8</v>
      </c>
      <c r="B268" s="772" t="s">
        <v>66</v>
      </c>
      <c r="C268" s="84" t="s">
        <v>67</v>
      </c>
      <c r="D268" s="36" t="s">
        <v>65</v>
      </c>
      <c r="E268" s="55"/>
      <c r="F268" s="36">
        <v>54</v>
      </c>
      <c r="G268" s="70"/>
      <c r="H268" s="85"/>
      <c r="I268" s="70"/>
      <c r="J268" s="85"/>
      <c r="K268" s="70"/>
      <c r="L268" s="85"/>
      <c r="M268" s="85"/>
    </row>
    <row r="269" spans="1:13" x14ac:dyDescent="0.25">
      <c r="A269" s="109"/>
      <c r="B269" s="773"/>
      <c r="C269" s="310" t="s">
        <v>183</v>
      </c>
      <c r="D269" s="311" t="s">
        <v>46</v>
      </c>
      <c r="E269" s="26">
        <f>0.71*1.15</f>
        <v>0.81649999999999989</v>
      </c>
      <c r="F269" s="77">
        <f>E269*F268</f>
        <v>44.090999999999994</v>
      </c>
      <c r="G269" s="86"/>
      <c r="H269" s="26"/>
      <c r="I269" s="76"/>
      <c r="J269" s="26"/>
      <c r="K269" s="76"/>
      <c r="L269" s="26"/>
      <c r="M269" s="26"/>
    </row>
    <row r="270" spans="1:13" x14ac:dyDescent="0.25">
      <c r="A270" s="109"/>
      <c r="B270" s="773"/>
      <c r="C270" s="310" t="s">
        <v>184</v>
      </c>
      <c r="D270" s="311" t="s">
        <v>122</v>
      </c>
      <c r="E270" s="87">
        <f>0.0301*1.25</f>
        <v>3.7624999999999999E-2</v>
      </c>
      <c r="F270" s="26">
        <f>E270*F268</f>
        <v>2.0317499999999997</v>
      </c>
      <c r="G270" s="40"/>
      <c r="H270" s="26"/>
      <c r="I270" s="76"/>
      <c r="J270" s="26"/>
      <c r="K270" s="76"/>
      <c r="L270" s="26"/>
      <c r="M270" s="26"/>
    </row>
    <row r="271" spans="1:13" ht="27" x14ac:dyDescent="0.25">
      <c r="A271" s="109"/>
      <c r="B271" s="773"/>
      <c r="C271" s="88" t="s">
        <v>469</v>
      </c>
      <c r="D271" s="47" t="s">
        <v>81</v>
      </c>
      <c r="E271" s="47">
        <v>1.0149999999999999</v>
      </c>
      <c r="F271" s="89">
        <f>E271*F268</f>
        <v>54.809999999999995</v>
      </c>
      <c r="G271" s="47"/>
      <c r="H271" s="89"/>
      <c r="I271" s="90"/>
      <c r="J271" s="91"/>
      <c r="K271" s="92"/>
      <c r="L271" s="89"/>
      <c r="M271" s="89"/>
    </row>
    <row r="272" spans="1:13" x14ac:dyDescent="0.25">
      <c r="A272" s="109"/>
      <c r="B272" s="773"/>
      <c r="C272" s="80" t="s">
        <v>62</v>
      </c>
      <c r="D272" s="34" t="s">
        <v>50</v>
      </c>
      <c r="E272" s="34">
        <v>0.107</v>
      </c>
      <c r="F272" s="32">
        <f>E272*F268</f>
        <v>5.7779999999999996</v>
      </c>
      <c r="G272" s="34"/>
      <c r="H272" s="32"/>
      <c r="I272" s="33"/>
      <c r="J272" s="32"/>
      <c r="K272" s="33"/>
      <c r="L272" s="32"/>
      <c r="M272" s="32"/>
    </row>
    <row r="273" spans="1:13" ht="15.75" x14ac:dyDescent="0.25">
      <c r="A273" s="682"/>
      <c r="B273" s="16"/>
      <c r="C273" s="178" t="s">
        <v>213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27" x14ac:dyDescent="0.25">
      <c r="A274" s="132">
        <v>1</v>
      </c>
      <c r="B274" s="20" t="s">
        <v>42</v>
      </c>
      <c r="C274" s="374" t="s">
        <v>43</v>
      </c>
      <c r="D274" s="22" t="s">
        <v>44</v>
      </c>
      <c r="E274" s="23"/>
      <c r="F274" s="24">
        <v>3</v>
      </c>
      <c r="G274" s="25"/>
      <c r="H274" s="26"/>
      <c r="I274" s="27"/>
      <c r="J274" s="26"/>
      <c r="K274" s="28"/>
      <c r="L274" s="26"/>
      <c r="M274" s="26"/>
    </row>
    <row r="275" spans="1:13" x14ac:dyDescent="0.25">
      <c r="A275" s="160"/>
      <c r="B275" s="30"/>
      <c r="C275" s="31" t="s">
        <v>45</v>
      </c>
      <c r="D275" s="29" t="s">
        <v>46</v>
      </c>
      <c r="E275" s="29">
        <f>0.74*0.4*1.15</f>
        <v>0.34039999999999998</v>
      </c>
      <c r="F275" s="32">
        <f>E275*F274</f>
        <v>1.0211999999999999</v>
      </c>
      <c r="G275" s="33"/>
      <c r="H275" s="32"/>
      <c r="I275" s="34"/>
      <c r="J275" s="32"/>
      <c r="K275" s="33"/>
      <c r="L275" s="32"/>
      <c r="M275" s="32"/>
    </row>
    <row r="276" spans="1:13" ht="40.5" x14ac:dyDescent="0.25">
      <c r="A276" s="35">
        <v>2</v>
      </c>
      <c r="B276" s="35" t="s">
        <v>47</v>
      </c>
      <c r="C276" s="21" t="s">
        <v>48</v>
      </c>
      <c r="D276" s="36" t="s">
        <v>44</v>
      </c>
      <c r="E276" s="36"/>
      <c r="F276" s="104">
        <v>3</v>
      </c>
      <c r="G276" s="38"/>
      <c r="H276" s="38"/>
      <c r="I276" s="38"/>
      <c r="J276" s="38"/>
      <c r="K276" s="38"/>
      <c r="L276" s="38"/>
      <c r="M276" s="39"/>
    </row>
    <row r="277" spans="1:13" x14ac:dyDescent="0.25">
      <c r="A277" s="47"/>
      <c r="B277" s="41"/>
      <c r="C277" s="310" t="s">
        <v>183</v>
      </c>
      <c r="D277" s="311" t="s">
        <v>46</v>
      </c>
      <c r="E277" s="26">
        <f>1.65*1.15</f>
        <v>1.8974999999999997</v>
      </c>
      <c r="F277" s="43">
        <f>F276*E277</f>
        <v>5.692499999999999</v>
      </c>
      <c r="G277" s="44"/>
      <c r="H277" s="45"/>
      <c r="I277" s="45"/>
      <c r="J277" s="44"/>
      <c r="K277" s="44"/>
      <c r="L277" s="44"/>
      <c r="M277" s="45"/>
    </row>
    <row r="278" spans="1:13" x14ac:dyDescent="0.25">
      <c r="A278" s="47"/>
      <c r="B278" s="40"/>
      <c r="C278" s="310" t="s">
        <v>184</v>
      </c>
      <c r="D278" s="311" t="s">
        <v>122</v>
      </c>
      <c r="E278" s="40">
        <f>0.022*1.25</f>
        <v>2.7499999999999997E-2</v>
      </c>
      <c r="F278" s="43">
        <f>F276*E278</f>
        <v>8.249999999999999E-2</v>
      </c>
      <c r="G278" s="44"/>
      <c r="H278" s="44"/>
      <c r="I278" s="44"/>
      <c r="J278" s="44"/>
      <c r="K278" s="44"/>
      <c r="L278" s="44"/>
      <c r="M278" s="45"/>
    </row>
    <row r="279" spans="1:13" ht="27" x14ac:dyDescent="0.25">
      <c r="A279" s="47"/>
      <c r="B279" s="41"/>
      <c r="C279" s="46" t="s">
        <v>51</v>
      </c>
      <c r="D279" s="47" t="s">
        <v>44</v>
      </c>
      <c r="E279" s="47">
        <v>1</v>
      </c>
      <c r="F279" s="48">
        <v>3</v>
      </c>
      <c r="G279" s="44"/>
      <c r="H279" s="44"/>
      <c r="I279" s="45"/>
      <c r="J279" s="45"/>
      <c r="K279" s="45"/>
      <c r="L279" s="45"/>
      <c r="M279" s="45"/>
    </row>
    <row r="280" spans="1:13" x14ac:dyDescent="0.25">
      <c r="A280" s="146"/>
      <c r="B280" s="34"/>
      <c r="C280" s="49" t="s">
        <v>52</v>
      </c>
      <c r="D280" s="34" t="s">
        <v>50</v>
      </c>
      <c r="E280" s="34">
        <v>0.30599999999999999</v>
      </c>
      <c r="F280" s="50">
        <f>F276*E280</f>
        <v>0.91799999999999993</v>
      </c>
      <c r="G280" s="51"/>
      <c r="H280" s="51"/>
      <c r="I280" s="51"/>
      <c r="J280" s="51"/>
      <c r="K280" s="51"/>
      <c r="L280" s="51"/>
      <c r="M280" s="52"/>
    </row>
    <row r="281" spans="1:13" ht="27" x14ac:dyDescent="0.25">
      <c r="A281" s="684">
        <v>3</v>
      </c>
      <c r="B281" s="53" t="s">
        <v>53</v>
      </c>
      <c r="C281" s="54" t="s">
        <v>214</v>
      </c>
      <c r="D281" s="36" t="s">
        <v>55</v>
      </c>
      <c r="E281" s="35"/>
      <c r="F281" s="55">
        <v>1.75</v>
      </c>
      <c r="G281" s="56"/>
      <c r="H281" s="57"/>
      <c r="I281" s="58"/>
      <c r="J281" s="59"/>
      <c r="K281" s="60"/>
      <c r="L281" s="60"/>
      <c r="M281" s="61"/>
    </row>
    <row r="282" spans="1:13" ht="15.75" x14ac:dyDescent="0.25">
      <c r="A282" s="143"/>
      <c r="B282" s="62"/>
      <c r="C282" s="310" t="s">
        <v>183</v>
      </c>
      <c r="D282" s="311" t="s">
        <v>46</v>
      </c>
      <c r="E282" s="65">
        <v>0.32800000000000001</v>
      </c>
      <c r="F282" s="66">
        <f>E282*F281</f>
        <v>0.57400000000000007</v>
      </c>
      <c r="G282" s="34"/>
      <c r="H282" s="32"/>
      <c r="I282" s="33"/>
      <c r="J282" s="32"/>
      <c r="K282" s="33"/>
      <c r="L282" s="32"/>
      <c r="M282" s="32"/>
    </row>
    <row r="283" spans="1:13" ht="54" x14ac:dyDescent="0.25">
      <c r="A283" s="403">
        <v>4</v>
      </c>
      <c r="B283" s="68" t="s">
        <v>57</v>
      </c>
      <c r="C283" s="69" t="s">
        <v>215</v>
      </c>
      <c r="D283" s="36" t="s">
        <v>58</v>
      </c>
      <c r="E283" s="55"/>
      <c r="F283" s="36">
        <f>1.75</f>
        <v>1.75</v>
      </c>
      <c r="G283" s="70"/>
      <c r="H283" s="71"/>
      <c r="I283" s="70"/>
      <c r="J283" s="71"/>
      <c r="K283" s="70"/>
      <c r="L283" s="71"/>
      <c r="M283" s="71"/>
    </row>
    <row r="284" spans="1:13" x14ac:dyDescent="0.25">
      <c r="A284" s="109"/>
      <c r="B284" s="73"/>
      <c r="C284" s="310" t="s">
        <v>183</v>
      </c>
      <c r="D284" s="311" t="s">
        <v>46</v>
      </c>
      <c r="E284" s="26">
        <f>1.12*1.15/1.4</f>
        <v>0.92</v>
      </c>
      <c r="F284" s="26">
        <f>F283*E284</f>
        <v>1.61</v>
      </c>
      <c r="G284" s="75"/>
      <c r="H284" s="26"/>
      <c r="I284" s="76"/>
      <c r="J284" s="26"/>
      <c r="K284" s="76"/>
      <c r="L284" s="26"/>
      <c r="M284" s="77"/>
    </row>
    <row r="285" spans="1:13" ht="27" x14ac:dyDescent="0.25">
      <c r="A285" s="109"/>
      <c r="B285" s="73"/>
      <c r="C285" s="74" t="s">
        <v>216</v>
      </c>
      <c r="D285" s="40" t="s">
        <v>58</v>
      </c>
      <c r="E285" s="40">
        <v>1</v>
      </c>
      <c r="F285" s="26">
        <f>F283*E285</f>
        <v>1.75</v>
      </c>
      <c r="G285" s="40"/>
      <c r="H285" s="26"/>
      <c r="I285" s="77"/>
      <c r="J285" s="77"/>
      <c r="K285" s="76"/>
      <c r="L285" s="26"/>
      <c r="M285" s="77"/>
    </row>
    <row r="286" spans="1:13" x14ac:dyDescent="0.25">
      <c r="A286" s="115"/>
      <c r="B286" s="79"/>
      <c r="C286" s="80" t="s">
        <v>62</v>
      </c>
      <c r="D286" s="34" t="s">
        <v>50</v>
      </c>
      <c r="E286" s="81">
        <f>0.085/1.4</f>
        <v>6.0714285714285721E-2</v>
      </c>
      <c r="F286" s="32">
        <f>F283*E286</f>
        <v>0.10625000000000001</v>
      </c>
      <c r="G286" s="34"/>
      <c r="H286" s="32"/>
      <c r="I286" s="33"/>
      <c r="J286" s="32"/>
      <c r="K286" s="33"/>
      <c r="L286" s="32"/>
      <c r="M286" s="32"/>
    </row>
    <row r="287" spans="1:13" ht="27" x14ac:dyDescent="0.25">
      <c r="A287" s="403">
        <v>5</v>
      </c>
      <c r="B287" s="20" t="s">
        <v>63</v>
      </c>
      <c r="C287" s="82" t="s">
        <v>64</v>
      </c>
      <c r="D287" s="212" t="s">
        <v>65</v>
      </c>
      <c r="E287" s="212"/>
      <c r="F287" s="213">
        <v>11</v>
      </c>
      <c r="G287" s="56"/>
      <c r="H287" s="57"/>
      <c r="I287" s="58"/>
      <c r="J287" s="59"/>
      <c r="K287" s="60"/>
      <c r="L287" s="60"/>
      <c r="M287" s="61"/>
    </row>
    <row r="288" spans="1:13" x14ac:dyDescent="0.25">
      <c r="A288" s="109"/>
      <c r="B288" s="20"/>
      <c r="C288" s="310" t="s">
        <v>183</v>
      </c>
      <c r="D288" s="311" t="s">
        <v>46</v>
      </c>
      <c r="E288" s="40">
        <v>0.47199999999999998</v>
      </c>
      <c r="F288" s="26">
        <f>E288*F287</f>
        <v>5.1920000000000002</v>
      </c>
      <c r="G288" s="77"/>
      <c r="H288" s="26"/>
      <c r="I288" s="76"/>
      <c r="J288" s="26"/>
      <c r="K288" s="76"/>
      <c r="L288" s="26"/>
      <c r="M288" s="26"/>
    </row>
    <row r="289" spans="1:13" x14ac:dyDescent="0.25">
      <c r="A289" s="109"/>
      <c r="B289" s="29"/>
      <c r="C289" s="310" t="s">
        <v>184</v>
      </c>
      <c r="D289" s="311" t="s">
        <v>122</v>
      </c>
      <c r="E289" s="34">
        <v>3.0099999999999998E-2</v>
      </c>
      <c r="F289" s="32">
        <f>E289*F287</f>
        <v>0.33110000000000001</v>
      </c>
      <c r="G289" s="83"/>
      <c r="H289" s="26"/>
      <c r="I289" s="76"/>
      <c r="J289" s="26"/>
      <c r="K289" s="76"/>
      <c r="L289" s="26"/>
      <c r="M289" s="26"/>
    </row>
    <row r="290" spans="1:13" x14ac:dyDescent="0.25">
      <c r="A290" s="403">
        <v>6</v>
      </c>
      <c r="B290" s="772" t="s">
        <v>66</v>
      </c>
      <c r="C290" s="84" t="s">
        <v>67</v>
      </c>
      <c r="D290" s="36" t="s">
        <v>65</v>
      </c>
      <c r="E290" s="55"/>
      <c r="F290" s="36">
        <v>11</v>
      </c>
      <c r="G290" s="70"/>
      <c r="H290" s="85"/>
      <c r="I290" s="70"/>
      <c r="J290" s="85"/>
      <c r="K290" s="70"/>
      <c r="L290" s="85"/>
      <c r="M290" s="85"/>
    </row>
    <row r="291" spans="1:13" x14ac:dyDescent="0.25">
      <c r="A291" s="109"/>
      <c r="B291" s="773"/>
      <c r="C291" s="310" t="s">
        <v>183</v>
      </c>
      <c r="D291" s="311" t="s">
        <v>46</v>
      </c>
      <c r="E291" s="26">
        <f>0.71*1.15</f>
        <v>0.81649999999999989</v>
      </c>
      <c r="F291" s="77">
        <f>E291*F290</f>
        <v>8.9814999999999987</v>
      </c>
      <c r="G291" s="86"/>
      <c r="H291" s="26"/>
      <c r="I291" s="76"/>
      <c r="J291" s="26"/>
      <c r="K291" s="76"/>
      <c r="L291" s="26"/>
      <c r="M291" s="26"/>
    </row>
    <row r="292" spans="1:13" x14ac:dyDescent="0.25">
      <c r="A292" s="109"/>
      <c r="B292" s="773"/>
      <c r="C292" s="310" t="s">
        <v>184</v>
      </c>
      <c r="D292" s="311" t="s">
        <v>122</v>
      </c>
      <c r="E292" s="87">
        <f>0.0301*1.25</f>
        <v>3.7624999999999999E-2</v>
      </c>
      <c r="F292" s="26">
        <f>E292*F290</f>
        <v>0.41387499999999999</v>
      </c>
      <c r="G292" s="40"/>
      <c r="H292" s="26"/>
      <c r="I292" s="76"/>
      <c r="J292" s="26"/>
      <c r="K292" s="76"/>
      <c r="L292" s="26"/>
      <c r="M292" s="26"/>
    </row>
    <row r="293" spans="1:13" ht="27" x14ac:dyDescent="0.25">
      <c r="A293" s="109"/>
      <c r="B293" s="773"/>
      <c r="C293" s="88" t="s">
        <v>469</v>
      </c>
      <c r="D293" s="47" t="s">
        <v>81</v>
      </c>
      <c r="E293" s="47">
        <v>1.0149999999999999</v>
      </c>
      <c r="F293" s="89">
        <f>E293*F290</f>
        <v>11.164999999999999</v>
      </c>
      <c r="G293" s="47"/>
      <c r="H293" s="89"/>
      <c r="I293" s="90"/>
      <c r="J293" s="91"/>
      <c r="K293" s="92"/>
      <c r="L293" s="89"/>
      <c r="M293" s="89"/>
    </row>
    <row r="294" spans="1:13" x14ac:dyDescent="0.25">
      <c r="A294" s="109"/>
      <c r="B294" s="773"/>
      <c r="C294" s="80" t="s">
        <v>62</v>
      </c>
      <c r="D294" s="34" t="s">
        <v>50</v>
      </c>
      <c r="E294" s="34">
        <v>0.107</v>
      </c>
      <c r="F294" s="32">
        <f>E294*F290</f>
        <v>1.177</v>
      </c>
      <c r="G294" s="34"/>
      <c r="H294" s="32"/>
      <c r="I294" s="33"/>
      <c r="J294" s="32"/>
      <c r="K294" s="33"/>
      <c r="L294" s="32"/>
      <c r="M294" s="32"/>
    </row>
    <row r="295" spans="1:13" ht="47.25" x14ac:dyDescent="0.25">
      <c r="A295" s="682"/>
      <c r="B295" s="16"/>
      <c r="C295" s="375" t="s">
        <v>217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27" x14ac:dyDescent="0.25">
      <c r="A296" s="684">
        <v>1</v>
      </c>
      <c r="B296" s="53" t="s">
        <v>53</v>
      </c>
      <c r="C296" s="54" t="s">
        <v>214</v>
      </c>
      <c r="D296" s="36" t="s">
        <v>55</v>
      </c>
      <c r="E296" s="35"/>
      <c r="F296" s="55">
        <v>1.75</v>
      </c>
      <c r="G296" s="56"/>
      <c r="H296" s="57"/>
      <c r="I296" s="58"/>
      <c r="J296" s="59"/>
      <c r="K296" s="60"/>
      <c r="L296" s="60"/>
      <c r="M296" s="61"/>
    </row>
    <row r="297" spans="1:13" ht="15.75" x14ac:dyDescent="0.25">
      <c r="A297" s="143"/>
      <c r="B297" s="62"/>
      <c r="C297" s="63" t="s">
        <v>56</v>
      </c>
      <c r="D297" s="64" t="s">
        <v>49</v>
      </c>
      <c r="E297" s="65">
        <v>0.32800000000000001</v>
      </c>
      <c r="F297" s="66">
        <f>E297*F296</f>
        <v>0.57400000000000007</v>
      </c>
      <c r="G297" s="34"/>
      <c r="H297" s="32"/>
      <c r="I297" s="33"/>
      <c r="J297" s="32"/>
      <c r="K297" s="33"/>
      <c r="L297" s="32"/>
      <c r="M297" s="32"/>
    </row>
    <row r="298" spans="1:13" ht="54" x14ac:dyDescent="0.25">
      <c r="A298" s="403">
        <v>2</v>
      </c>
      <c r="B298" s="68" t="s">
        <v>57</v>
      </c>
      <c r="C298" s="69" t="s">
        <v>215</v>
      </c>
      <c r="D298" s="36" t="s">
        <v>58</v>
      </c>
      <c r="E298" s="55"/>
      <c r="F298" s="36">
        <f>1.75</f>
        <v>1.75</v>
      </c>
      <c r="G298" s="70"/>
      <c r="H298" s="71"/>
      <c r="I298" s="70"/>
      <c r="J298" s="71"/>
      <c r="K298" s="70"/>
      <c r="L298" s="71"/>
      <c r="M298" s="71"/>
    </row>
    <row r="299" spans="1:13" x14ac:dyDescent="0.25">
      <c r="A299" s="109"/>
      <c r="B299" s="73"/>
      <c r="C299" s="310" t="s">
        <v>183</v>
      </c>
      <c r="D299" s="311" t="s">
        <v>46</v>
      </c>
      <c r="E299" s="26">
        <f>1.12*1.15/1.4</f>
        <v>0.92</v>
      </c>
      <c r="F299" s="26">
        <f>F298*E299</f>
        <v>1.61</v>
      </c>
      <c r="G299" s="75"/>
      <c r="H299" s="26"/>
      <c r="I299" s="76"/>
      <c r="J299" s="26"/>
      <c r="K299" s="76"/>
      <c r="L299" s="26"/>
      <c r="M299" s="77"/>
    </row>
    <row r="300" spans="1:13" ht="27" x14ac:dyDescent="0.25">
      <c r="A300" s="109"/>
      <c r="B300" s="73"/>
      <c r="C300" s="74" t="s">
        <v>216</v>
      </c>
      <c r="D300" s="40" t="s">
        <v>58</v>
      </c>
      <c r="E300" s="40">
        <v>1</v>
      </c>
      <c r="F300" s="26">
        <f>F298*E300</f>
        <v>1.75</v>
      </c>
      <c r="G300" s="40"/>
      <c r="H300" s="26"/>
      <c r="I300" s="77"/>
      <c r="J300" s="77"/>
      <c r="K300" s="76"/>
      <c r="L300" s="26"/>
      <c r="M300" s="77"/>
    </row>
    <row r="301" spans="1:13" x14ac:dyDescent="0.25">
      <c r="A301" s="115"/>
      <c r="B301" s="79"/>
      <c r="C301" s="80" t="s">
        <v>62</v>
      </c>
      <c r="D301" s="34" t="s">
        <v>50</v>
      </c>
      <c r="E301" s="81">
        <f>0.085/1.4</f>
        <v>6.0714285714285721E-2</v>
      </c>
      <c r="F301" s="32">
        <f>F298*E301</f>
        <v>0.10625000000000001</v>
      </c>
      <c r="G301" s="34"/>
      <c r="H301" s="32"/>
      <c r="I301" s="33"/>
      <c r="J301" s="32"/>
      <c r="K301" s="33"/>
      <c r="L301" s="32"/>
      <c r="M301" s="32"/>
    </row>
    <row r="302" spans="1:13" ht="27" x14ac:dyDescent="0.25">
      <c r="A302" s="403">
        <v>3</v>
      </c>
      <c r="B302" s="20" t="s">
        <v>63</v>
      </c>
      <c r="C302" s="82" t="s">
        <v>64</v>
      </c>
      <c r="D302" s="212" t="s">
        <v>65</v>
      </c>
      <c r="E302" s="212"/>
      <c r="F302" s="213">
        <v>14</v>
      </c>
      <c r="G302" s="56"/>
      <c r="H302" s="57"/>
      <c r="I302" s="58"/>
      <c r="J302" s="59"/>
      <c r="K302" s="60"/>
      <c r="L302" s="60"/>
      <c r="M302" s="61"/>
    </row>
    <row r="303" spans="1:13" x14ac:dyDescent="0.25">
      <c r="A303" s="109"/>
      <c r="B303" s="20"/>
      <c r="C303" s="310" t="s">
        <v>183</v>
      </c>
      <c r="D303" s="311" t="s">
        <v>46</v>
      </c>
      <c r="E303" s="40">
        <v>0.47199999999999998</v>
      </c>
      <c r="F303" s="26">
        <f>E303*F302</f>
        <v>6.6079999999999997</v>
      </c>
      <c r="G303" s="77"/>
      <c r="H303" s="26"/>
      <c r="I303" s="76"/>
      <c r="J303" s="26"/>
      <c r="K303" s="76"/>
      <c r="L303" s="26"/>
      <c r="M303" s="26"/>
    </row>
    <row r="304" spans="1:13" x14ac:dyDescent="0.25">
      <c r="A304" s="109"/>
      <c r="B304" s="29"/>
      <c r="C304" s="310" t="s">
        <v>184</v>
      </c>
      <c r="D304" s="311" t="s">
        <v>122</v>
      </c>
      <c r="E304" s="34">
        <v>3.0099999999999998E-2</v>
      </c>
      <c r="F304" s="32">
        <f>E304*F302</f>
        <v>0.4214</v>
      </c>
      <c r="G304" s="83"/>
      <c r="H304" s="26"/>
      <c r="I304" s="76"/>
      <c r="J304" s="26"/>
      <c r="K304" s="76"/>
      <c r="L304" s="26"/>
      <c r="M304" s="26"/>
    </row>
    <row r="305" spans="1:13" x14ac:dyDescent="0.25">
      <c r="A305" s="403">
        <v>4</v>
      </c>
      <c r="B305" s="376" t="s">
        <v>66</v>
      </c>
      <c r="C305" s="84" t="s">
        <v>67</v>
      </c>
      <c r="D305" s="36" t="s">
        <v>65</v>
      </c>
      <c r="E305" s="55"/>
      <c r="F305" s="36">
        <v>14</v>
      </c>
      <c r="G305" s="70"/>
      <c r="H305" s="85"/>
      <c r="I305" s="70"/>
      <c r="J305" s="85"/>
      <c r="K305" s="70"/>
      <c r="L305" s="85"/>
      <c r="M305" s="85"/>
    </row>
    <row r="306" spans="1:13" x14ac:dyDescent="0.25">
      <c r="A306" s="109"/>
      <c r="B306" s="377"/>
      <c r="C306" s="310" t="s">
        <v>183</v>
      </c>
      <c r="D306" s="311" t="s">
        <v>46</v>
      </c>
      <c r="E306" s="26">
        <f>0.71*1.15</f>
        <v>0.81649999999999989</v>
      </c>
      <c r="F306" s="77">
        <f>E306*F305</f>
        <v>11.430999999999999</v>
      </c>
      <c r="G306" s="86"/>
      <c r="H306" s="26"/>
      <c r="I306" s="76"/>
      <c r="J306" s="26"/>
      <c r="K306" s="76"/>
      <c r="L306" s="26"/>
      <c r="M306" s="26"/>
    </row>
    <row r="307" spans="1:13" x14ac:dyDescent="0.25">
      <c r="A307" s="109"/>
      <c r="B307" s="377"/>
      <c r="C307" s="310" t="s">
        <v>184</v>
      </c>
      <c r="D307" s="311" t="s">
        <v>122</v>
      </c>
      <c r="E307" s="87">
        <f>0.0301*1.25</f>
        <v>3.7624999999999999E-2</v>
      </c>
      <c r="F307" s="26">
        <f>E307*F305</f>
        <v>0.52674999999999994</v>
      </c>
      <c r="G307" s="40"/>
      <c r="H307" s="26"/>
      <c r="I307" s="76"/>
      <c r="J307" s="26"/>
      <c r="K307" s="76"/>
      <c r="L307" s="26"/>
      <c r="M307" s="26"/>
    </row>
    <row r="308" spans="1:13" ht="27" x14ac:dyDescent="0.25">
      <c r="A308" s="109"/>
      <c r="B308" s="377"/>
      <c r="C308" s="88" t="s">
        <v>69</v>
      </c>
      <c r="D308" s="47" t="s">
        <v>65</v>
      </c>
      <c r="E308" s="47">
        <v>1.0149999999999999</v>
      </c>
      <c r="F308" s="89">
        <f>E308*F305</f>
        <v>14.209999999999999</v>
      </c>
      <c r="G308" s="47"/>
      <c r="H308" s="89"/>
      <c r="I308" s="90"/>
      <c r="J308" s="91"/>
      <c r="K308" s="92"/>
      <c r="L308" s="89"/>
      <c r="M308" s="89"/>
    </row>
    <row r="309" spans="1:13" x14ac:dyDescent="0.25">
      <c r="A309" s="109"/>
      <c r="B309" s="378"/>
      <c r="C309" s="80" t="s">
        <v>62</v>
      </c>
      <c r="D309" s="34" t="s">
        <v>50</v>
      </c>
      <c r="E309" s="34">
        <v>0.107</v>
      </c>
      <c r="F309" s="32">
        <f>E309*F305</f>
        <v>1.498</v>
      </c>
      <c r="G309" s="34"/>
      <c r="H309" s="32"/>
      <c r="I309" s="33"/>
      <c r="J309" s="32"/>
      <c r="K309" s="33"/>
      <c r="L309" s="32"/>
      <c r="M309" s="32"/>
    </row>
    <row r="310" spans="1:13" ht="27" x14ac:dyDescent="0.25">
      <c r="A310" s="403">
        <v>5</v>
      </c>
      <c r="B310" s="283" t="s">
        <v>218</v>
      </c>
      <c r="C310" s="84" t="s">
        <v>219</v>
      </c>
      <c r="D310" s="36" t="s">
        <v>65</v>
      </c>
      <c r="E310" s="35"/>
      <c r="F310" s="123">
        <f>2*3</f>
        <v>6</v>
      </c>
      <c r="G310" s="179"/>
      <c r="H310" s="57"/>
      <c r="I310" s="180"/>
      <c r="J310" s="57"/>
      <c r="K310" s="180"/>
      <c r="L310" s="57"/>
      <c r="M310" s="57"/>
    </row>
    <row r="311" spans="1:13" x14ac:dyDescent="0.25">
      <c r="A311" s="109"/>
      <c r="B311" s="20"/>
      <c r="C311" s="310" t="s">
        <v>183</v>
      </c>
      <c r="D311" s="311" t="s">
        <v>46</v>
      </c>
      <c r="E311" s="77">
        <v>1</v>
      </c>
      <c r="F311" s="26">
        <f>F310*E311</f>
        <v>6</v>
      </c>
      <c r="G311" s="40"/>
      <c r="H311" s="77"/>
      <c r="I311" s="76"/>
      <c r="J311" s="26"/>
      <c r="K311" s="76"/>
      <c r="L311" s="26"/>
      <c r="M311" s="77"/>
    </row>
    <row r="312" spans="1:13" ht="27" x14ac:dyDescent="0.25">
      <c r="A312" s="109"/>
      <c r="B312" s="20"/>
      <c r="C312" s="74" t="s">
        <v>220</v>
      </c>
      <c r="D312" s="40" t="s">
        <v>65</v>
      </c>
      <c r="E312" s="40">
        <v>1</v>
      </c>
      <c r="F312" s="77">
        <f>F310*E312</f>
        <v>6</v>
      </c>
      <c r="G312" s="40"/>
      <c r="H312" s="26"/>
      <c r="I312" s="77"/>
      <c r="J312" s="26"/>
      <c r="K312" s="76"/>
      <c r="L312" s="26"/>
      <c r="M312" s="77"/>
    </row>
    <row r="313" spans="1:13" x14ac:dyDescent="0.25">
      <c r="A313" s="115"/>
      <c r="B313" s="29"/>
      <c r="C313" s="80" t="s">
        <v>77</v>
      </c>
      <c r="D313" s="34" t="s">
        <v>50</v>
      </c>
      <c r="E313" s="34">
        <v>0.02</v>
      </c>
      <c r="F313" s="128">
        <f>F310*E313</f>
        <v>0.12</v>
      </c>
      <c r="G313" s="34"/>
      <c r="H313" s="32"/>
      <c r="I313" s="33"/>
      <c r="J313" s="32"/>
      <c r="K313" s="33"/>
      <c r="L313" s="32"/>
      <c r="M313" s="128"/>
    </row>
    <row r="314" spans="1:13" ht="15.75" x14ac:dyDescent="0.25">
      <c r="A314" s="682"/>
      <c r="B314" s="16"/>
      <c r="C314" s="178" t="s">
        <v>221</v>
      </c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27" x14ac:dyDescent="0.25">
      <c r="A315" s="132">
        <v>1</v>
      </c>
      <c r="B315" s="20" t="s">
        <v>42</v>
      </c>
      <c r="C315" s="374" t="s">
        <v>43</v>
      </c>
      <c r="D315" s="22" t="s">
        <v>44</v>
      </c>
      <c r="E315" s="23"/>
      <c r="F315" s="24">
        <v>8</v>
      </c>
      <c r="G315" s="25"/>
      <c r="H315" s="26"/>
      <c r="I315" s="27"/>
      <c r="J315" s="26"/>
      <c r="K315" s="28"/>
      <c r="L315" s="26"/>
      <c r="M315" s="26"/>
    </row>
    <row r="316" spans="1:13" x14ac:dyDescent="0.25">
      <c r="A316" s="160"/>
      <c r="B316" s="30"/>
      <c r="C316" s="31" t="s">
        <v>45</v>
      </c>
      <c r="D316" s="29" t="s">
        <v>46</v>
      </c>
      <c r="E316" s="29">
        <f>0.74*0.4*1.15</f>
        <v>0.34039999999999998</v>
      </c>
      <c r="F316" s="32">
        <f>E316*F315</f>
        <v>2.7231999999999998</v>
      </c>
      <c r="G316" s="33"/>
      <c r="H316" s="32"/>
      <c r="I316" s="34"/>
      <c r="J316" s="32"/>
      <c r="K316" s="33"/>
      <c r="L316" s="32"/>
      <c r="M316" s="32"/>
    </row>
    <row r="317" spans="1:13" ht="40.5" x14ac:dyDescent="0.25">
      <c r="A317" s="35">
        <v>2</v>
      </c>
      <c r="B317" s="35" t="s">
        <v>47</v>
      </c>
      <c r="C317" s="21" t="s">
        <v>48</v>
      </c>
      <c r="D317" s="36" t="s">
        <v>44</v>
      </c>
      <c r="E317" s="36"/>
      <c r="F317" s="104">
        <v>8</v>
      </c>
      <c r="G317" s="38"/>
      <c r="H317" s="38"/>
      <c r="I317" s="38"/>
      <c r="J317" s="38"/>
      <c r="K317" s="38"/>
      <c r="L317" s="38"/>
      <c r="M317" s="39"/>
    </row>
    <row r="318" spans="1:13" x14ac:dyDescent="0.25">
      <c r="A318" s="47"/>
      <c r="B318" s="41"/>
      <c r="C318" s="310" t="s">
        <v>183</v>
      </c>
      <c r="D318" s="311" t="s">
        <v>46</v>
      </c>
      <c r="E318" s="26">
        <f>1.65*1.15</f>
        <v>1.8974999999999997</v>
      </c>
      <c r="F318" s="43">
        <f>F317*E318</f>
        <v>15.179999999999998</v>
      </c>
      <c r="G318" s="44"/>
      <c r="H318" s="45"/>
      <c r="I318" s="45"/>
      <c r="J318" s="44"/>
      <c r="K318" s="44"/>
      <c r="L318" s="44"/>
      <c r="M318" s="45"/>
    </row>
    <row r="319" spans="1:13" x14ac:dyDescent="0.25">
      <c r="A319" s="47"/>
      <c r="B319" s="40"/>
      <c r="C319" s="310" t="s">
        <v>184</v>
      </c>
      <c r="D319" s="311" t="s">
        <v>122</v>
      </c>
      <c r="E319" s="40">
        <f>0.022*1.25</f>
        <v>2.7499999999999997E-2</v>
      </c>
      <c r="F319" s="43">
        <f>F317*E319</f>
        <v>0.21999999999999997</v>
      </c>
      <c r="G319" s="44"/>
      <c r="H319" s="44"/>
      <c r="I319" s="44"/>
      <c r="J319" s="44"/>
      <c r="K319" s="44"/>
      <c r="L319" s="44"/>
      <c r="M319" s="45"/>
    </row>
    <row r="320" spans="1:13" ht="27" x14ac:dyDescent="0.25">
      <c r="A320" s="47"/>
      <c r="B320" s="41"/>
      <c r="C320" s="46" t="s">
        <v>51</v>
      </c>
      <c r="D320" s="47" t="s">
        <v>44</v>
      </c>
      <c r="E320" s="47">
        <v>1</v>
      </c>
      <c r="F320" s="48">
        <v>8</v>
      </c>
      <c r="G320" s="44"/>
      <c r="H320" s="44"/>
      <c r="I320" s="45"/>
      <c r="J320" s="45"/>
      <c r="K320" s="45"/>
      <c r="L320" s="45"/>
      <c r="M320" s="45"/>
    </row>
    <row r="321" spans="1:13" x14ac:dyDescent="0.25">
      <c r="A321" s="146"/>
      <c r="B321" s="34"/>
      <c r="C321" s="49" t="s">
        <v>52</v>
      </c>
      <c r="D321" s="34" t="s">
        <v>50</v>
      </c>
      <c r="E321" s="34">
        <v>0.30599999999999999</v>
      </c>
      <c r="F321" s="50">
        <f>F317*E321</f>
        <v>2.448</v>
      </c>
      <c r="G321" s="51"/>
      <c r="H321" s="51"/>
      <c r="I321" s="51"/>
      <c r="J321" s="51"/>
      <c r="K321" s="51"/>
      <c r="L321" s="51"/>
      <c r="M321" s="52"/>
    </row>
    <row r="322" spans="1:13" ht="27" x14ac:dyDescent="0.25">
      <c r="A322" s="684">
        <v>3</v>
      </c>
      <c r="B322" s="53" t="s">
        <v>53</v>
      </c>
      <c r="C322" s="54" t="s">
        <v>214</v>
      </c>
      <c r="D322" s="36" t="s">
        <v>55</v>
      </c>
      <c r="E322" s="35"/>
      <c r="F322" s="55">
        <v>1.7</v>
      </c>
      <c r="G322" s="56"/>
      <c r="H322" s="57"/>
      <c r="I322" s="58"/>
      <c r="J322" s="59"/>
      <c r="K322" s="60"/>
      <c r="L322" s="60"/>
      <c r="M322" s="61"/>
    </row>
    <row r="323" spans="1:13" ht="15.75" x14ac:dyDescent="0.25">
      <c r="A323" s="143"/>
      <c r="B323" s="62"/>
      <c r="C323" s="310" t="s">
        <v>183</v>
      </c>
      <c r="D323" s="311" t="s">
        <v>46</v>
      </c>
      <c r="E323" s="65">
        <v>0.32800000000000001</v>
      </c>
      <c r="F323" s="66">
        <f>E323*F322</f>
        <v>0.55759999999999998</v>
      </c>
      <c r="G323" s="34"/>
      <c r="H323" s="32"/>
      <c r="I323" s="33"/>
      <c r="J323" s="32"/>
      <c r="K323" s="33"/>
      <c r="L323" s="32"/>
      <c r="M323" s="32"/>
    </row>
    <row r="324" spans="1:13" ht="40.5" x14ac:dyDescent="0.25">
      <c r="A324" s="403">
        <v>4</v>
      </c>
      <c r="B324" s="68" t="s">
        <v>57</v>
      </c>
      <c r="C324" s="69" t="s">
        <v>222</v>
      </c>
      <c r="D324" s="36" t="s">
        <v>58</v>
      </c>
      <c r="E324" s="55"/>
      <c r="F324" s="36">
        <f>1.7</f>
        <v>1.7</v>
      </c>
      <c r="G324" s="70"/>
      <c r="H324" s="71"/>
      <c r="I324" s="70"/>
      <c r="J324" s="71"/>
      <c r="K324" s="70"/>
      <c r="L324" s="71"/>
      <c r="M324" s="71"/>
    </row>
    <row r="325" spans="1:13" x14ac:dyDescent="0.25">
      <c r="A325" s="109"/>
      <c r="B325" s="73"/>
      <c r="C325" s="310" t="s">
        <v>183</v>
      </c>
      <c r="D325" s="311" t="s">
        <v>46</v>
      </c>
      <c r="E325" s="26">
        <f>1.12*1.15/1.4</f>
        <v>0.92</v>
      </c>
      <c r="F325" s="26">
        <f>F324*E325</f>
        <v>1.5640000000000001</v>
      </c>
      <c r="G325" s="75"/>
      <c r="H325" s="26"/>
      <c r="I325" s="76"/>
      <c r="J325" s="26"/>
      <c r="K325" s="76"/>
      <c r="L325" s="26"/>
      <c r="M325" s="77"/>
    </row>
    <row r="326" spans="1:13" ht="27" x14ac:dyDescent="0.25">
      <c r="A326" s="109"/>
      <c r="B326" s="73"/>
      <c r="C326" s="74" t="s">
        <v>216</v>
      </c>
      <c r="D326" s="40" t="s">
        <v>58</v>
      </c>
      <c r="E326" s="40">
        <v>1</v>
      </c>
      <c r="F326" s="26">
        <f>F324*E326</f>
        <v>1.7</v>
      </c>
      <c r="G326" s="40"/>
      <c r="H326" s="26"/>
      <c r="I326" s="77"/>
      <c r="J326" s="77"/>
      <c r="K326" s="76"/>
      <c r="L326" s="26"/>
      <c r="M326" s="77"/>
    </row>
    <row r="327" spans="1:13" x14ac:dyDescent="0.25">
      <c r="A327" s="115"/>
      <c r="B327" s="79"/>
      <c r="C327" s="80" t="s">
        <v>62</v>
      </c>
      <c r="D327" s="34" t="s">
        <v>50</v>
      </c>
      <c r="E327" s="81">
        <f>0.085/1.4</f>
        <v>6.0714285714285721E-2</v>
      </c>
      <c r="F327" s="32">
        <f>F324*E327</f>
        <v>0.10321428571428572</v>
      </c>
      <c r="G327" s="34"/>
      <c r="H327" s="32"/>
      <c r="I327" s="33"/>
      <c r="J327" s="32"/>
      <c r="K327" s="33"/>
      <c r="L327" s="32"/>
      <c r="M327" s="32"/>
    </row>
    <row r="328" spans="1:13" ht="27" x14ac:dyDescent="0.25">
      <c r="A328" s="403">
        <v>5</v>
      </c>
      <c r="B328" s="20" t="s">
        <v>63</v>
      </c>
      <c r="C328" s="82" t="s">
        <v>64</v>
      </c>
      <c r="D328" s="212" t="s">
        <v>65</v>
      </c>
      <c r="E328" s="212"/>
      <c r="F328" s="213">
        <v>43</v>
      </c>
      <c r="G328" s="56"/>
      <c r="H328" s="57"/>
      <c r="I328" s="58"/>
      <c r="J328" s="59"/>
      <c r="K328" s="60"/>
      <c r="L328" s="60"/>
      <c r="M328" s="61"/>
    </row>
    <row r="329" spans="1:13" x14ac:dyDescent="0.25">
      <c r="A329" s="109"/>
      <c r="B329" s="20"/>
      <c r="C329" s="310" t="s">
        <v>183</v>
      </c>
      <c r="D329" s="311" t="s">
        <v>46</v>
      </c>
      <c r="E329" s="40">
        <v>0.47199999999999998</v>
      </c>
      <c r="F329" s="26">
        <f>E329*F328</f>
        <v>20.295999999999999</v>
      </c>
      <c r="G329" s="77"/>
      <c r="H329" s="26"/>
      <c r="I329" s="76"/>
      <c r="J329" s="26"/>
      <c r="K329" s="76"/>
      <c r="L329" s="26"/>
      <c r="M329" s="26"/>
    </row>
    <row r="330" spans="1:13" x14ac:dyDescent="0.25">
      <c r="A330" s="109"/>
      <c r="B330" s="29"/>
      <c r="C330" s="310" t="s">
        <v>184</v>
      </c>
      <c r="D330" s="311" t="s">
        <v>122</v>
      </c>
      <c r="E330" s="34">
        <v>3.0099999999999998E-2</v>
      </c>
      <c r="F330" s="32">
        <f>E330*F328</f>
        <v>1.2943</v>
      </c>
      <c r="G330" s="83"/>
      <c r="H330" s="26"/>
      <c r="I330" s="76"/>
      <c r="J330" s="26"/>
      <c r="K330" s="76"/>
      <c r="L330" s="26"/>
      <c r="M330" s="26"/>
    </row>
    <row r="331" spans="1:13" x14ac:dyDescent="0.25">
      <c r="A331" s="403">
        <v>6</v>
      </c>
      <c r="B331" s="376" t="s">
        <v>66</v>
      </c>
      <c r="C331" s="84" t="s">
        <v>67</v>
      </c>
      <c r="D331" s="36" t="s">
        <v>65</v>
      </c>
      <c r="E331" s="55"/>
      <c r="F331" s="36">
        <v>43</v>
      </c>
      <c r="G331" s="70"/>
      <c r="H331" s="85"/>
      <c r="I331" s="70"/>
      <c r="J331" s="85"/>
      <c r="K331" s="70"/>
      <c r="L331" s="85"/>
      <c r="M331" s="85"/>
    </row>
    <row r="332" spans="1:13" x14ac:dyDescent="0.25">
      <c r="A332" s="109"/>
      <c r="B332" s="377"/>
      <c r="C332" s="310" t="s">
        <v>183</v>
      </c>
      <c r="D332" s="311" t="s">
        <v>46</v>
      </c>
      <c r="E332" s="26">
        <f>0.71*1.15</f>
        <v>0.81649999999999989</v>
      </c>
      <c r="F332" s="77">
        <f>E332*F331</f>
        <v>35.109499999999997</v>
      </c>
      <c r="G332" s="86"/>
      <c r="H332" s="26"/>
      <c r="I332" s="76"/>
      <c r="J332" s="26"/>
      <c r="K332" s="76"/>
      <c r="L332" s="26"/>
      <c r="M332" s="26"/>
    </row>
    <row r="333" spans="1:13" x14ac:dyDescent="0.25">
      <c r="A333" s="109"/>
      <c r="B333" s="377"/>
      <c r="C333" s="310" t="s">
        <v>184</v>
      </c>
      <c r="D333" s="311" t="s">
        <v>122</v>
      </c>
      <c r="E333" s="87">
        <f>0.0301*1.25</f>
        <v>3.7624999999999999E-2</v>
      </c>
      <c r="F333" s="26">
        <f>E333*F331</f>
        <v>1.617875</v>
      </c>
      <c r="G333" s="40"/>
      <c r="H333" s="26"/>
      <c r="I333" s="76"/>
      <c r="J333" s="26"/>
      <c r="K333" s="76"/>
      <c r="L333" s="26"/>
      <c r="M333" s="26"/>
    </row>
    <row r="334" spans="1:13" ht="27" x14ac:dyDescent="0.25">
      <c r="A334" s="109"/>
      <c r="B334" s="377"/>
      <c r="C334" s="88" t="s">
        <v>469</v>
      </c>
      <c r="D334" s="47" t="s">
        <v>81</v>
      </c>
      <c r="E334" s="47">
        <v>1.0149999999999999</v>
      </c>
      <c r="F334" s="89">
        <f>E334*F331</f>
        <v>43.644999999999996</v>
      </c>
      <c r="G334" s="47"/>
      <c r="H334" s="89"/>
      <c r="I334" s="90"/>
      <c r="J334" s="91"/>
      <c r="K334" s="92"/>
      <c r="L334" s="89"/>
      <c r="M334" s="89"/>
    </row>
    <row r="335" spans="1:13" x14ac:dyDescent="0.25">
      <c r="A335" s="109"/>
      <c r="B335" s="378"/>
      <c r="C335" s="80" t="s">
        <v>62</v>
      </c>
      <c r="D335" s="34" t="s">
        <v>50</v>
      </c>
      <c r="E335" s="34">
        <v>0.107</v>
      </c>
      <c r="F335" s="32">
        <f>E335*F331</f>
        <v>4.601</v>
      </c>
      <c r="G335" s="34"/>
      <c r="H335" s="32"/>
      <c r="I335" s="33"/>
      <c r="J335" s="32"/>
      <c r="K335" s="33"/>
      <c r="L335" s="32"/>
      <c r="M335" s="32"/>
    </row>
    <row r="336" spans="1:13" ht="15.75" x14ac:dyDescent="0.25">
      <c r="A336" s="682"/>
      <c r="B336" s="16"/>
      <c r="C336" s="178" t="s">
        <v>223</v>
      </c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27" x14ac:dyDescent="0.25">
      <c r="A337" s="132">
        <v>1</v>
      </c>
      <c r="B337" s="20" t="s">
        <v>42</v>
      </c>
      <c r="C337" s="374" t="s">
        <v>43</v>
      </c>
      <c r="D337" s="22" t="s">
        <v>44</v>
      </c>
      <c r="E337" s="23"/>
      <c r="F337" s="24">
        <v>12</v>
      </c>
      <c r="G337" s="25"/>
      <c r="H337" s="26"/>
      <c r="I337" s="27"/>
      <c r="J337" s="26"/>
      <c r="K337" s="28"/>
      <c r="L337" s="26"/>
      <c r="M337" s="26"/>
    </row>
    <row r="338" spans="1:13" x14ac:dyDescent="0.25">
      <c r="A338" s="160"/>
      <c r="B338" s="30"/>
      <c r="C338" s="31" t="s">
        <v>45</v>
      </c>
      <c r="D338" s="29" t="s">
        <v>46</v>
      </c>
      <c r="E338" s="29">
        <f>0.74*0.4*1.15</f>
        <v>0.34039999999999998</v>
      </c>
      <c r="F338" s="32">
        <f>E338*F337</f>
        <v>4.0847999999999995</v>
      </c>
      <c r="G338" s="33"/>
      <c r="H338" s="32"/>
      <c r="I338" s="34"/>
      <c r="J338" s="32"/>
      <c r="K338" s="33"/>
      <c r="L338" s="32"/>
      <c r="M338" s="32"/>
    </row>
    <row r="339" spans="1:13" ht="40.5" x14ac:dyDescent="0.25">
      <c r="A339" s="35">
        <v>2</v>
      </c>
      <c r="B339" s="35" t="s">
        <v>47</v>
      </c>
      <c r="C339" s="21" t="s">
        <v>48</v>
      </c>
      <c r="D339" s="36" t="s">
        <v>44</v>
      </c>
      <c r="E339" s="36"/>
      <c r="F339" s="104">
        <v>12</v>
      </c>
      <c r="G339" s="38"/>
      <c r="H339" s="38"/>
      <c r="I339" s="38"/>
      <c r="J339" s="38"/>
      <c r="K339" s="38"/>
      <c r="L339" s="38"/>
      <c r="M339" s="39"/>
    </row>
    <row r="340" spans="1:13" x14ac:dyDescent="0.25">
      <c r="A340" s="47"/>
      <c r="B340" s="41"/>
      <c r="C340" s="310" t="s">
        <v>183</v>
      </c>
      <c r="D340" s="311" t="s">
        <v>46</v>
      </c>
      <c r="E340" s="26">
        <f>1.65*1.15</f>
        <v>1.8974999999999997</v>
      </c>
      <c r="F340" s="43">
        <f>F339*E340</f>
        <v>22.769999999999996</v>
      </c>
      <c r="G340" s="44"/>
      <c r="H340" s="45"/>
      <c r="I340" s="45"/>
      <c r="J340" s="44"/>
      <c r="K340" s="44"/>
      <c r="L340" s="44"/>
      <c r="M340" s="45"/>
    </row>
    <row r="341" spans="1:13" x14ac:dyDescent="0.25">
      <c r="A341" s="47"/>
      <c r="B341" s="40"/>
      <c r="C341" s="310" t="s">
        <v>184</v>
      </c>
      <c r="D341" s="311" t="s">
        <v>122</v>
      </c>
      <c r="E341" s="40">
        <f>0.022*1.25</f>
        <v>2.7499999999999997E-2</v>
      </c>
      <c r="F341" s="43">
        <f>F339*E341</f>
        <v>0.32999999999999996</v>
      </c>
      <c r="G341" s="44"/>
      <c r="H341" s="44"/>
      <c r="I341" s="44"/>
      <c r="J341" s="44"/>
      <c r="K341" s="44"/>
      <c r="L341" s="44"/>
      <c r="M341" s="45"/>
    </row>
    <row r="342" spans="1:13" ht="27" x14ac:dyDescent="0.25">
      <c r="A342" s="47"/>
      <c r="B342" s="41"/>
      <c r="C342" s="46" t="s">
        <v>51</v>
      </c>
      <c r="D342" s="47" t="s">
        <v>44</v>
      </c>
      <c r="E342" s="47">
        <v>1</v>
      </c>
      <c r="F342" s="48">
        <v>12</v>
      </c>
      <c r="G342" s="44"/>
      <c r="H342" s="44"/>
      <c r="I342" s="45"/>
      <c r="J342" s="45"/>
      <c r="K342" s="45"/>
      <c r="L342" s="45"/>
      <c r="M342" s="45"/>
    </row>
    <row r="343" spans="1:13" x14ac:dyDescent="0.25">
      <c r="A343" s="146"/>
      <c r="B343" s="34"/>
      <c r="C343" s="49" t="s">
        <v>52</v>
      </c>
      <c r="D343" s="34" t="s">
        <v>50</v>
      </c>
      <c r="E343" s="34">
        <v>0.30599999999999999</v>
      </c>
      <c r="F343" s="50">
        <f>F339*E343</f>
        <v>3.6719999999999997</v>
      </c>
      <c r="G343" s="51"/>
      <c r="H343" s="51"/>
      <c r="I343" s="51"/>
      <c r="J343" s="51"/>
      <c r="K343" s="51"/>
      <c r="L343" s="51"/>
      <c r="M343" s="52"/>
    </row>
    <row r="344" spans="1:13" ht="27" x14ac:dyDescent="0.25">
      <c r="A344" s="403">
        <v>3</v>
      </c>
      <c r="B344" s="20" t="s">
        <v>63</v>
      </c>
      <c r="C344" s="82" t="s">
        <v>64</v>
      </c>
      <c r="D344" s="212" t="s">
        <v>65</v>
      </c>
      <c r="E344" s="212"/>
      <c r="F344" s="213">
        <v>108</v>
      </c>
      <c r="G344" s="56"/>
      <c r="H344" s="57"/>
      <c r="I344" s="58"/>
      <c r="J344" s="59"/>
      <c r="K344" s="60"/>
      <c r="L344" s="60"/>
      <c r="M344" s="61"/>
    </row>
    <row r="345" spans="1:13" x14ac:dyDescent="0.25">
      <c r="A345" s="109"/>
      <c r="B345" s="20"/>
      <c r="C345" s="310" t="s">
        <v>183</v>
      </c>
      <c r="D345" s="311" t="s">
        <v>46</v>
      </c>
      <c r="E345" s="40">
        <v>0.47199999999999998</v>
      </c>
      <c r="F345" s="26">
        <f>E345*F344</f>
        <v>50.975999999999999</v>
      </c>
      <c r="G345" s="77"/>
      <c r="H345" s="26"/>
      <c r="I345" s="76"/>
      <c r="J345" s="26"/>
      <c r="K345" s="76"/>
      <c r="L345" s="26"/>
      <c r="M345" s="26"/>
    </row>
    <row r="346" spans="1:13" x14ac:dyDescent="0.25">
      <c r="A346" s="109"/>
      <c r="B346" s="29"/>
      <c r="C346" s="310" t="s">
        <v>184</v>
      </c>
      <c r="D346" s="311" t="s">
        <v>122</v>
      </c>
      <c r="E346" s="34">
        <v>3.0099999999999998E-2</v>
      </c>
      <c r="F346" s="32">
        <f>E346*F344</f>
        <v>3.2507999999999999</v>
      </c>
      <c r="G346" s="83"/>
      <c r="H346" s="26"/>
      <c r="I346" s="76"/>
      <c r="J346" s="26"/>
      <c r="K346" s="76"/>
      <c r="L346" s="26"/>
      <c r="M346" s="26"/>
    </row>
    <row r="347" spans="1:13" x14ac:dyDescent="0.25">
      <c r="A347" s="403">
        <v>4</v>
      </c>
      <c r="B347" s="376" t="s">
        <v>66</v>
      </c>
      <c r="C347" s="84" t="s">
        <v>67</v>
      </c>
      <c r="D347" s="36" t="s">
        <v>65</v>
      </c>
      <c r="E347" s="55"/>
      <c r="F347" s="36">
        <v>108</v>
      </c>
      <c r="G347" s="70"/>
      <c r="H347" s="85"/>
      <c r="I347" s="70"/>
      <c r="J347" s="85"/>
      <c r="K347" s="70"/>
      <c r="L347" s="85"/>
      <c r="M347" s="85"/>
    </row>
    <row r="348" spans="1:13" x14ac:dyDescent="0.25">
      <c r="A348" s="109"/>
      <c r="B348" s="377"/>
      <c r="C348" s="310" t="s">
        <v>183</v>
      </c>
      <c r="D348" s="311" t="s">
        <v>46</v>
      </c>
      <c r="E348" s="26">
        <f>0.71*1.15</f>
        <v>0.81649999999999989</v>
      </c>
      <c r="F348" s="77">
        <f>E348*F347</f>
        <v>88.181999999999988</v>
      </c>
      <c r="G348" s="86"/>
      <c r="H348" s="26"/>
      <c r="I348" s="76"/>
      <c r="J348" s="26"/>
      <c r="K348" s="76"/>
      <c r="L348" s="26"/>
      <c r="M348" s="26"/>
    </row>
    <row r="349" spans="1:13" x14ac:dyDescent="0.25">
      <c r="A349" s="109"/>
      <c r="B349" s="377"/>
      <c r="C349" s="310" t="s">
        <v>184</v>
      </c>
      <c r="D349" s="311" t="s">
        <v>122</v>
      </c>
      <c r="E349" s="87">
        <f>0.0301*1.25</f>
        <v>3.7624999999999999E-2</v>
      </c>
      <c r="F349" s="26">
        <f>E349*F347</f>
        <v>4.0634999999999994</v>
      </c>
      <c r="G349" s="40"/>
      <c r="H349" s="26"/>
      <c r="I349" s="76"/>
      <c r="J349" s="26"/>
      <c r="K349" s="76"/>
      <c r="L349" s="26"/>
      <c r="M349" s="26"/>
    </row>
    <row r="350" spans="1:13" ht="27" x14ac:dyDescent="0.25">
      <c r="A350" s="109"/>
      <c r="B350" s="377"/>
      <c r="C350" s="88" t="s">
        <v>469</v>
      </c>
      <c r="D350" s="47" t="s">
        <v>81</v>
      </c>
      <c r="E350" s="47">
        <v>1.0149999999999999</v>
      </c>
      <c r="F350" s="89">
        <f>E350*F347</f>
        <v>109.61999999999999</v>
      </c>
      <c r="G350" s="47"/>
      <c r="H350" s="89"/>
      <c r="I350" s="90"/>
      <c r="J350" s="91"/>
      <c r="K350" s="92"/>
      <c r="L350" s="89"/>
      <c r="M350" s="89"/>
    </row>
    <row r="351" spans="1:13" x14ac:dyDescent="0.25">
      <c r="A351" s="109"/>
      <c r="B351" s="378"/>
      <c r="C351" s="80" t="s">
        <v>62</v>
      </c>
      <c r="D351" s="34" t="s">
        <v>50</v>
      </c>
      <c r="E351" s="34">
        <v>0.107</v>
      </c>
      <c r="F351" s="32">
        <f>E351*F347</f>
        <v>11.555999999999999</v>
      </c>
      <c r="G351" s="34"/>
      <c r="H351" s="32"/>
      <c r="I351" s="33"/>
      <c r="J351" s="32"/>
      <c r="K351" s="33"/>
      <c r="L351" s="32"/>
      <c r="M351" s="32"/>
    </row>
    <row r="352" spans="1:13" ht="27" x14ac:dyDescent="0.25">
      <c r="A352" s="403">
        <v>5</v>
      </c>
      <c r="B352" s="376" t="s">
        <v>224</v>
      </c>
      <c r="C352" s="82" t="s">
        <v>225</v>
      </c>
      <c r="D352" s="23" t="s">
        <v>226</v>
      </c>
      <c r="E352" s="23"/>
      <c r="F352" s="24">
        <v>2</v>
      </c>
      <c r="G352" s="56"/>
      <c r="H352" s="57"/>
      <c r="I352" s="58"/>
      <c r="J352" s="59"/>
      <c r="K352" s="60"/>
      <c r="L352" s="60"/>
      <c r="M352" s="61"/>
    </row>
    <row r="353" spans="1:13" x14ac:dyDescent="0.25">
      <c r="A353" s="109"/>
      <c r="B353" s="20"/>
      <c r="C353" s="310" t="s">
        <v>183</v>
      </c>
      <c r="D353" s="311" t="s">
        <v>46</v>
      </c>
      <c r="E353" s="26">
        <f>4.46*0.4*1.15</f>
        <v>2.0516000000000001</v>
      </c>
      <c r="F353" s="26">
        <f>E353*F352</f>
        <v>4.1032000000000002</v>
      </c>
      <c r="G353" s="77"/>
      <c r="H353" s="26"/>
      <c r="I353" s="76"/>
      <c r="J353" s="26"/>
      <c r="K353" s="76"/>
      <c r="L353" s="26"/>
      <c r="M353" s="26"/>
    </row>
    <row r="354" spans="1:13" x14ac:dyDescent="0.25">
      <c r="A354" s="115"/>
      <c r="B354" s="29"/>
      <c r="C354" s="310" t="s">
        <v>184</v>
      </c>
      <c r="D354" s="311" t="s">
        <v>122</v>
      </c>
      <c r="E354" s="34">
        <f>0.633*0.4*1.25</f>
        <v>0.31650000000000006</v>
      </c>
      <c r="F354" s="32">
        <f>E354*F352</f>
        <v>0.63300000000000012</v>
      </c>
      <c r="G354" s="65"/>
      <c r="H354" s="32"/>
      <c r="I354" s="33"/>
      <c r="J354" s="32"/>
      <c r="K354" s="33"/>
      <c r="L354" s="32"/>
      <c r="M354" s="32"/>
    </row>
    <row r="355" spans="1:13" ht="40.5" x14ac:dyDescent="0.25">
      <c r="A355" s="403">
        <v>6</v>
      </c>
      <c r="B355" s="376" t="s">
        <v>224</v>
      </c>
      <c r="C355" s="84" t="s">
        <v>227</v>
      </c>
      <c r="D355" s="36" t="s">
        <v>65</v>
      </c>
      <c r="E355" s="55"/>
      <c r="F355" s="36">
        <v>2</v>
      </c>
      <c r="G355" s="70"/>
      <c r="H355" s="85"/>
      <c r="I355" s="70"/>
      <c r="J355" s="85"/>
      <c r="K355" s="70"/>
      <c r="L355" s="85"/>
      <c r="M355" s="85"/>
    </row>
    <row r="356" spans="1:13" x14ac:dyDescent="0.25">
      <c r="A356" s="109"/>
      <c r="B356" s="377"/>
      <c r="C356" s="310" t="s">
        <v>183</v>
      </c>
      <c r="D356" s="311" t="s">
        <v>46</v>
      </c>
      <c r="E356" s="26">
        <f>4.46*1.15</f>
        <v>5.1289999999999996</v>
      </c>
      <c r="F356" s="77">
        <f>E356*F355</f>
        <v>10.257999999999999</v>
      </c>
      <c r="G356" s="86"/>
      <c r="H356" s="26"/>
      <c r="I356" s="76"/>
      <c r="J356" s="26"/>
      <c r="K356" s="76"/>
      <c r="L356" s="26"/>
      <c r="M356" s="26"/>
    </row>
    <row r="357" spans="1:13" x14ac:dyDescent="0.25">
      <c r="A357" s="109"/>
      <c r="B357" s="377"/>
      <c r="C357" s="310" t="s">
        <v>184</v>
      </c>
      <c r="D357" s="311" t="s">
        <v>122</v>
      </c>
      <c r="E357" s="269">
        <f>0.633*1.25</f>
        <v>0.79125000000000001</v>
      </c>
      <c r="F357" s="26">
        <f>E357*F355</f>
        <v>1.5825</v>
      </c>
      <c r="G357" s="40"/>
      <c r="H357" s="26"/>
      <c r="I357" s="76"/>
      <c r="J357" s="26"/>
      <c r="K357" s="76"/>
      <c r="L357" s="26"/>
      <c r="M357" s="26"/>
    </row>
    <row r="358" spans="1:13" x14ac:dyDescent="0.25">
      <c r="A358" s="109"/>
      <c r="B358" s="378"/>
      <c r="C358" s="80" t="s">
        <v>62</v>
      </c>
      <c r="D358" s="34" t="s">
        <v>50</v>
      </c>
      <c r="E358" s="34">
        <v>2.8000000000000001E-2</v>
      </c>
      <c r="F358" s="32">
        <f>E358*F355</f>
        <v>5.6000000000000001E-2</v>
      </c>
      <c r="G358" s="34"/>
      <c r="H358" s="32"/>
      <c r="I358" s="33"/>
      <c r="J358" s="32"/>
      <c r="K358" s="33"/>
      <c r="L358" s="32"/>
      <c r="M358" s="32"/>
    </row>
    <row r="359" spans="1:13" ht="27" x14ac:dyDescent="0.25">
      <c r="A359" s="121">
        <v>7</v>
      </c>
      <c r="B359" s="122" t="s">
        <v>228</v>
      </c>
      <c r="C359" s="82" t="s">
        <v>229</v>
      </c>
      <c r="D359" s="36" t="s">
        <v>65</v>
      </c>
      <c r="E359" s="55"/>
      <c r="F359" s="123">
        <v>4.0999999999999996</v>
      </c>
      <c r="G359" s="35"/>
      <c r="H359" s="124"/>
      <c r="I359" s="125"/>
      <c r="J359" s="124"/>
      <c r="K359" s="126"/>
      <c r="L359" s="126"/>
      <c r="M359" s="126"/>
    </row>
    <row r="360" spans="1:13" x14ac:dyDescent="0.25">
      <c r="A360" s="132"/>
      <c r="B360" s="73"/>
      <c r="C360" s="310" t="s">
        <v>183</v>
      </c>
      <c r="D360" s="311" t="s">
        <v>46</v>
      </c>
      <c r="E360" s="26">
        <f>0.714*1.15</f>
        <v>0.82109999999999994</v>
      </c>
      <c r="F360" s="26">
        <f>E360*F359</f>
        <v>3.3665099999999994</v>
      </c>
      <c r="G360" s="127"/>
      <c r="H360" s="26"/>
      <c r="I360" s="76"/>
      <c r="J360" s="26"/>
      <c r="K360" s="76"/>
      <c r="L360" s="26"/>
      <c r="M360" s="26"/>
    </row>
    <row r="361" spans="1:13" x14ac:dyDescent="0.25">
      <c r="A361" s="132"/>
      <c r="B361" s="73"/>
      <c r="C361" s="310" t="s">
        <v>184</v>
      </c>
      <c r="D361" s="311" t="s">
        <v>122</v>
      </c>
      <c r="E361" s="26">
        <f>0.0183*1.25</f>
        <v>2.2875E-2</v>
      </c>
      <c r="F361" s="26">
        <f>E361*F359</f>
        <v>9.3787499999999996E-2</v>
      </c>
      <c r="G361" s="40"/>
      <c r="H361" s="26"/>
      <c r="I361" s="76"/>
      <c r="J361" s="26"/>
      <c r="K361" s="76"/>
      <c r="L361" s="26"/>
      <c r="M361" s="26"/>
    </row>
    <row r="362" spans="1:13" ht="27" x14ac:dyDescent="0.25">
      <c r="A362" s="132"/>
      <c r="B362" s="73"/>
      <c r="C362" s="74" t="s">
        <v>80</v>
      </c>
      <c r="D362" s="47" t="s">
        <v>81</v>
      </c>
      <c r="E362" s="47">
        <v>1.05</v>
      </c>
      <c r="F362" s="89">
        <f>E362*F359</f>
        <v>4.3049999999999997</v>
      </c>
      <c r="G362" s="47"/>
      <c r="H362" s="89"/>
      <c r="I362" s="92"/>
      <c r="J362" s="89"/>
      <c r="K362" s="92"/>
      <c r="L362" s="89"/>
      <c r="M362" s="89"/>
    </row>
    <row r="363" spans="1:13" x14ac:dyDescent="0.25">
      <c r="A363" s="160"/>
      <c r="B363" s="79"/>
      <c r="C363" s="80" t="s">
        <v>186</v>
      </c>
      <c r="D363" s="34" t="s">
        <v>122</v>
      </c>
      <c r="E363" s="34">
        <v>2.7E-2</v>
      </c>
      <c r="F363" s="32">
        <f>E363*F359</f>
        <v>0.11069999999999999</v>
      </c>
      <c r="G363" s="34"/>
      <c r="H363" s="32"/>
      <c r="I363" s="33"/>
      <c r="J363" s="32"/>
      <c r="K363" s="33"/>
      <c r="L363" s="32"/>
      <c r="M363" s="128"/>
    </row>
    <row r="364" spans="1:13" ht="54" x14ac:dyDescent="0.25">
      <c r="A364" s="121">
        <v>8</v>
      </c>
      <c r="B364" s="122" t="s">
        <v>78</v>
      </c>
      <c r="C364" s="82" t="s">
        <v>79</v>
      </c>
      <c r="D364" s="36" t="s">
        <v>65</v>
      </c>
      <c r="E364" s="55"/>
      <c r="F364" s="123">
        <v>5.9</v>
      </c>
      <c r="G364" s="35"/>
      <c r="H364" s="124"/>
      <c r="I364" s="125"/>
      <c r="J364" s="124"/>
      <c r="K364" s="126"/>
      <c r="L364" s="126"/>
      <c r="M364" s="126"/>
    </row>
    <row r="365" spans="1:13" x14ac:dyDescent="0.25">
      <c r="A365" s="132"/>
      <c r="B365" s="73"/>
      <c r="C365" s="310" t="s">
        <v>183</v>
      </c>
      <c r="D365" s="311" t="s">
        <v>46</v>
      </c>
      <c r="E365" s="26">
        <f>1.8*1.15</f>
        <v>2.0699999999999998</v>
      </c>
      <c r="F365" s="26">
        <f>E365*F364</f>
        <v>12.212999999999999</v>
      </c>
      <c r="G365" s="127"/>
      <c r="H365" s="26"/>
      <c r="I365" s="76"/>
      <c r="J365" s="26"/>
      <c r="K365" s="76"/>
      <c r="L365" s="26"/>
      <c r="M365" s="26"/>
    </row>
    <row r="366" spans="1:13" x14ac:dyDescent="0.25">
      <c r="A366" s="132"/>
      <c r="B366" s="73"/>
      <c r="C366" s="310" t="s">
        <v>184</v>
      </c>
      <c r="D366" s="311" t="s">
        <v>122</v>
      </c>
      <c r="E366" s="26">
        <f>0.244*1.25</f>
        <v>0.30499999999999999</v>
      </c>
      <c r="F366" s="26">
        <f>E366*F364</f>
        <v>1.7995000000000001</v>
      </c>
      <c r="G366" s="40"/>
      <c r="H366" s="26"/>
      <c r="I366" s="76"/>
      <c r="J366" s="26"/>
      <c r="K366" s="76"/>
      <c r="L366" s="26"/>
      <c r="M366" s="26"/>
    </row>
    <row r="367" spans="1:13" ht="27" x14ac:dyDescent="0.25">
      <c r="A367" s="132"/>
      <c r="B367" s="73"/>
      <c r="C367" s="74" t="s">
        <v>80</v>
      </c>
      <c r="D367" s="47" t="s">
        <v>81</v>
      </c>
      <c r="E367" s="47">
        <v>1.05</v>
      </c>
      <c r="F367" s="89">
        <f>E367*F364</f>
        <v>6.1950000000000003</v>
      </c>
      <c r="G367" s="47"/>
      <c r="H367" s="89"/>
      <c r="I367" s="92"/>
      <c r="J367" s="89"/>
      <c r="K367" s="92"/>
      <c r="L367" s="89"/>
      <c r="M367" s="89"/>
    </row>
    <row r="368" spans="1:13" x14ac:dyDescent="0.25">
      <c r="A368" s="132"/>
      <c r="B368" s="73"/>
      <c r="C368" s="74" t="s">
        <v>82</v>
      </c>
      <c r="D368" s="47" t="s">
        <v>83</v>
      </c>
      <c r="E368" s="47">
        <v>0.01</v>
      </c>
      <c r="F368" s="89">
        <f>E368*F364</f>
        <v>5.9000000000000004E-2</v>
      </c>
      <c r="G368" s="47"/>
      <c r="H368" s="89"/>
      <c r="I368" s="92"/>
      <c r="J368" s="89"/>
      <c r="K368" s="92"/>
      <c r="L368" s="89"/>
      <c r="M368" s="89"/>
    </row>
    <row r="369" spans="1:13" x14ac:dyDescent="0.25">
      <c r="A369" s="160"/>
      <c r="B369" s="79"/>
      <c r="C369" s="80" t="s">
        <v>84</v>
      </c>
      <c r="D369" s="34" t="s">
        <v>85</v>
      </c>
      <c r="E369" s="34">
        <v>0.128</v>
      </c>
      <c r="F369" s="32">
        <f>E369*F364</f>
        <v>0.75520000000000009</v>
      </c>
      <c r="G369" s="34"/>
      <c r="H369" s="32"/>
      <c r="I369" s="33"/>
      <c r="J369" s="32"/>
      <c r="K369" s="33"/>
      <c r="L369" s="32"/>
      <c r="M369" s="128"/>
    </row>
    <row r="370" spans="1:13" ht="27" x14ac:dyDescent="0.25">
      <c r="A370" s="132">
        <v>9</v>
      </c>
      <c r="B370" s="129" t="s">
        <v>86</v>
      </c>
      <c r="C370" s="130" t="s">
        <v>87</v>
      </c>
      <c r="D370" s="131" t="s">
        <v>44</v>
      </c>
      <c r="E370" s="132"/>
      <c r="F370" s="24">
        <v>6</v>
      </c>
      <c r="G370" s="26"/>
      <c r="H370" s="26"/>
      <c r="I370" s="26"/>
      <c r="J370" s="26"/>
      <c r="K370" s="26"/>
      <c r="L370" s="26"/>
      <c r="M370" s="26"/>
    </row>
    <row r="371" spans="1:13" x14ac:dyDescent="0.25">
      <c r="A371" s="132"/>
      <c r="B371" s="133"/>
      <c r="C371" s="310" t="s">
        <v>183</v>
      </c>
      <c r="D371" s="311" t="s">
        <v>46</v>
      </c>
      <c r="E371" s="47">
        <f>1.34*1.15</f>
        <v>1.5409999999999999</v>
      </c>
      <c r="F371" s="47">
        <f>E371*F370</f>
        <v>9.2459999999999987</v>
      </c>
      <c r="G371" s="76"/>
      <c r="H371" s="26"/>
      <c r="I371" s="136"/>
      <c r="J371" s="137"/>
      <c r="K371" s="76"/>
      <c r="L371" s="26"/>
      <c r="M371" s="26"/>
    </row>
    <row r="372" spans="1:13" x14ac:dyDescent="0.25">
      <c r="A372" s="132"/>
      <c r="B372" s="138"/>
      <c r="C372" s="310" t="s">
        <v>184</v>
      </c>
      <c r="D372" s="311" t="s">
        <v>122</v>
      </c>
      <c r="E372" s="132">
        <v>0.05</v>
      </c>
      <c r="F372" s="47">
        <f>E372*F370</f>
        <v>0.30000000000000004</v>
      </c>
      <c r="G372" s="76"/>
      <c r="H372" s="26"/>
      <c r="I372" s="139"/>
      <c r="J372" s="26"/>
      <c r="K372" s="76"/>
      <c r="L372" s="26"/>
      <c r="M372" s="26"/>
    </row>
    <row r="373" spans="1:13" x14ac:dyDescent="0.25">
      <c r="A373" s="685"/>
      <c r="B373" s="140"/>
      <c r="C373" s="141" t="s">
        <v>89</v>
      </c>
      <c r="D373" s="135" t="s">
        <v>44</v>
      </c>
      <c r="E373" s="20">
        <v>1</v>
      </c>
      <c r="F373" s="40">
        <f>E373*F370</f>
        <v>6</v>
      </c>
      <c r="G373" s="40"/>
      <c r="H373" s="26"/>
      <c r="I373" s="40"/>
      <c r="J373" s="26"/>
      <c r="K373" s="76"/>
      <c r="L373" s="26"/>
      <c r="M373" s="26"/>
    </row>
    <row r="374" spans="1:13" x14ac:dyDescent="0.25">
      <c r="A374" s="115"/>
      <c r="B374" s="29"/>
      <c r="C374" s="80" t="s">
        <v>77</v>
      </c>
      <c r="D374" s="34" t="s">
        <v>50</v>
      </c>
      <c r="E374" s="34">
        <v>0.16</v>
      </c>
      <c r="F374" s="32">
        <f>E374*F370</f>
        <v>0.96</v>
      </c>
      <c r="G374" s="34"/>
      <c r="H374" s="32"/>
      <c r="I374" s="33"/>
      <c r="J374" s="32"/>
      <c r="K374" s="33"/>
      <c r="L374" s="32"/>
      <c r="M374" s="32"/>
    </row>
    <row r="375" spans="1:13" ht="27" x14ac:dyDescent="0.25">
      <c r="A375" s="403">
        <v>10</v>
      </c>
      <c r="B375" s="373" t="s">
        <v>70</v>
      </c>
      <c r="C375" s="94" t="s">
        <v>230</v>
      </c>
      <c r="D375" s="95" t="s">
        <v>65</v>
      </c>
      <c r="E375" s="56"/>
      <c r="F375" s="96">
        <v>35</v>
      </c>
      <c r="G375" s="56"/>
      <c r="H375" s="57"/>
      <c r="I375" s="58"/>
      <c r="J375" s="59"/>
      <c r="K375" s="60"/>
      <c r="L375" s="60"/>
      <c r="M375" s="61"/>
    </row>
    <row r="376" spans="1:13" x14ac:dyDescent="0.25">
      <c r="A376" s="109"/>
      <c r="B376" s="164"/>
      <c r="C376" s="310" t="s">
        <v>183</v>
      </c>
      <c r="D376" s="311" t="s">
        <v>46</v>
      </c>
      <c r="E376" s="47">
        <v>0.25800000000000001</v>
      </c>
      <c r="F376" s="89">
        <f>E376*F375</f>
        <v>9.0300000000000011</v>
      </c>
      <c r="G376" s="91"/>
      <c r="H376" s="89"/>
      <c r="I376" s="92"/>
      <c r="J376" s="89"/>
      <c r="K376" s="92"/>
      <c r="L376" s="89"/>
      <c r="M376" s="89"/>
    </row>
    <row r="377" spans="1:13" x14ac:dyDescent="0.25">
      <c r="A377" s="115"/>
      <c r="B377" s="145"/>
      <c r="C377" s="310" t="s">
        <v>184</v>
      </c>
      <c r="D377" s="311" t="s">
        <v>122</v>
      </c>
      <c r="E377" s="146">
        <v>1.6000000000000001E-3</v>
      </c>
      <c r="F377" s="146">
        <f>E377*F375</f>
        <v>5.6000000000000001E-2</v>
      </c>
      <c r="G377" s="146"/>
      <c r="H377" s="147"/>
      <c r="I377" s="148"/>
      <c r="J377" s="147"/>
      <c r="K377" s="148"/>
      <c r="L377" s="147"/>
      <c r="M377" s="147"/>
    </row>
    <row r="378" spans="1:13" ht="40.5" x14ac:dyDescent="0.25">
      <c r="A378" s="693">
        <v>11</v>
      </c>
      <c r="B378" s="53" t="s">
        <v>231</v>
      </c>
      <c r="C378" s="379" t="s">
        <v>232</v>
      </c>
      <c r="D378" s="274" t="s">
        <v>65</v>
      </c>
      <c r="E378" s="36"/>
      <c r="F378" s="123">
        <v>35</v>
      </c>
      <c r="G378" s="70"/>
      <c r="H378" s="71"/>
      <c r="I378" s="70"/>
      <c r="J378" s="71"/>
      <c r="K378" s="70"/>
      <c r="L378" s="71"/>
      <c r="M378" s="71"/>
    </row>
    <row r="379" spans="1:13" x14ac:dyDescent="0.25">
      <c r="A379" s="689"/>
      <c r="B379" s="97"/>
      <c r="C379" s="270" t="s">
        <v>59</v>
      </c>
      <c r="D379" s="97" t="s">
        <v>49</v>
      </c>
      <c r="E379" s="83">
        <f>1.01*1.15</f>
        <v>1.1615</v>
      </c>
      <c r="F379" s="99">
        <f>E379*F378</f>
        <v>40.652499999999996</v>
      </c>
      <c r="G379" s="83"/>
      <c r="H379" s="26"/>
      <c r="I379" s="76"/>
      <c r="J379" s="77"/>
      <c r="K379" s="76"/>
      <c r="L379" s="26"/>
      <c r="M379" s="26"/>
    </row>
    <row r="380" spans="1:13" x14ac:dyDescent="0.25">
      <c r="A380" s="689"/>
      <c r="B380" s="97"/>
      <c r="C380" s="270" t="s">
        <v>233</v>
      </c>
      <c r="D380" s="40" t="s">
        <v>132</v>
      </c>
      <c r="E380" s="279">
        <f>0.041*1.25</f>
        <v>5.1250000000000004E-2</v>
      </c>
      <c r="F380" s="286">
        <f>E380*F378</f>
        <v>1.7937500000000002</v>
      </c>
      <c r="G380" s="40"/>
      <c r="H380" s="26"/>
      <c r="I380" s="76"/>
      <c r="J380" s="77"/>
      <c r="K380" s="76"/>
      <c r="L380" s="26"/>
      <c r="M380" s="26"/>
    </row>
    <row r="381" spans="1:13" x14ac:dyDescent="0.25">
      <c r="A381" s="689"/>
      <c r="B381" s="97"/>
      <c r="C381" s="270" t="s">
        <v>162</v>
      </c>
      <c r="D381" s="97" t="s">
        <v>50</v>
      </c>
      <c r="E381" s="83">
        <v>0.03</v>
      </c>
      <c r="F381" s="286">
        <f>E381*F378</f>
        <v>1.05</v>
      </c>
      <c r="G381" s="40"/>
      <c r="H381" s="26"/>
      <c r="I381" s="76"/>
      <c r="J381" s="77"/>
      <c r="K381" s="76"/>
      <c r="L381" s="26"/>
      <c r="M381" s="26"/>
    </row>
    <row r="382" spans="1:13" x14ac:dyDescent="0.25">
      <c r="A382" s="689"/>
      <c r="B382" s="271"/>
      <c r="C382" s="268" t="s">
        <v>234</v>
      </c>
      <c r="D382" s="97" t="s">
        <v>170</v>
      </c>
      <c r="E382" s="83">
        <v>2.3800000000000002E-2</v>
      </c>
      <c r="F382" s="286">
        <f>E382*F378</f>
        <v>0.83300000000000007</v>
      </c>
      <c r="G382" s="40"/>
      <c r="H382" s="26"/>
      <c r="I382" s="76"/>
      <c r="J382" s="77"/>
      <c r="K382" s="76"/>
      <c r="L382" s="26"/>
      <c r="M382" s="26"/>
    </row>
    <row r="383" spans="1:13" x14ac:dyDescent="0.25">
      <c r="A383" s="689"/>
      <c r="B383" s="271"/>
      <c r="C383" s="268" t="s">
        <v>235</v>
      </c>
      <c r="D383" s="97" t="s">
        <v>65</v>
      </c>
      <c r="E383" s="83">
        <v>5.2999999999999999E-2</v>
      </c>
      <c r="F383" s="286">
        <f>E383*F378</f>
        <v>1.855</v>
      </c>
      <c r="G383" s="40"/>
      <c r="H383" s="26"/>
      <c r="I383" s="110"/>
      <c r="J383" s="77"/>
      <c r="K383" s="76"/>
      <c r="L383" s="26"/>
      <c r="M383" s="26"/>
    </row>
    <row r="384" spans="1:13" x14ac:dyDescent="0.25">
      <c r="A384" s="690"/>
      <c r="B384" s="273"/>
      <c r="C384" s="63" t="s">
        <v>62</v>
      </c>
      <c r="D384" s="64" t="s">
        <v>50</v>
      </c>
      <c r="E384" s="65">
        <v>0.03</v>
      </c>
      <c r="F384" s="380">
        <f>E384*F378</f>
        <v>1.05</v>
      </c>
      <c r="G384" s="34"/>
      <c r="H384" s="32"/>
      <c r="I384" s="33"/>
      <c r="J384" s="128"/>
      <c r="K384" s="33"/>
      <c r="L384" s="32"/>
      <c r="M384" s="32"/>
    </row>
    <row r="385" spans="1:13" ht="27" x14ac:dyDescent="0.25">
      <c r="A385" s="403">
        <v>12</v>
      </c>
      <c r="B385" s="373" t="s">
        <v>70</v>
      </c>
      <c r="C385" s="94" t="s">
        <v>236</v>
      </c>
      <c r="D385" s="95" t="s">
        <v>65</v>
      </c>
      <c r="E385" s="56"/>
      <c r="F385" s="96">
        <v>140</v>
      </c>
      <c r="G385" s="56"/>
      <c r="H385" s="57"/>
      <c r="I385" s="58"/>
      <c r="J385" s="59"/>
      <c r="K385" s="60"/>
      <c r="L385" s="60"/>
      <c r="M385" s="61"/>
    </row>
    <row r="386" spans="1:13" x14ac:dyDescent="0.25">
      <c r="A386" s="109"/>
      <c r="B386" s="164"/>
      <c r="C386" s="310" t="s">
        <v>183</v>
      </c>
      <c r="D386" s="311" t="s">
        <v>46</v>
      </c>
      <c r="E386" s="47">
        <v>0.25800000000000001</v>
      </c>
      <c r="F386" s="89">
        <f>E386*F385</f>
        <v>36.120000000000005</v>
      </c>
      <c r="G386" s="91"/>
      <c r="H386" s="89"/>
      <c r="I386" s="92"/>
      <c r="J386" s="89"/>
      <c r="K386" s="92"/>
      <c r="L386" s="89"/>
      <c r="M386" s="89"/>
    </row>
    <row r="387" spans="1:13" x14ac:dyDescent="0.25">
      <c r="A387" s="115"/>
      <c r="B387" s="145"/>
      <c r="C387" s="310" t="s">
        <v>184</v>
      </c>
      <c r="D387" s="311" t="s">
        <v>122</v>
      </c>
      <c r="E387" s="146">
        <v>1.6000000000000001E-3</v>
      </c>
      <c r="F387" s="146">
        <f>E387*F385</f>
        <v>0.224</v>
      </c>
      <c r="G387" s="146"/>
      <c r="H387" s="147"/>
      <c r="I387" s="148"/>
      <c r="J387" s="147"/>
      <c r="K387" s="148"/>
      <c r="L387" s="147"/>
      <c r="M387" s="147"/>
    </row>
    <row r="388" spans="1:13" ht="54" x14ac:dyDescent="0.25">
      <c r="A388" s="101">
        <v>13</v>
      </c>
      <c r="B388" s="778" t="s">
        <v>72</v>
      </c>
      <c r="C388" s="102" t="s">
        <v>210</v>
      </c>
      <c r="D388" s="103" t="s">
        <v>65</v>
      </c>
      <c r="E388" s="103"/>
      <c r="F388" s="104">
        <v>175</v>
      </c>
      <c r="G388" s="105"/>
      <c r="H388" s="106"/>
      <c r="I388" s="107"/>
      <c r="J388" s="106"/>
      <c r="K388" s="107"/>
      <c r="L388" s="106"/>
      <c r="M388" s="108"/>
    </row>
    <row r="389" spans="1:13" x14ac:dyDescent="0.25">
      <c r="A389" s="109"/>
      <c r="B389" s="771"/>
      <c r="C389" s="310" t="s">
        <v>183</v>
      </c>
      <c r="D389" s="311" t="s">
        <v>46</v>
      </c>
      <c r="E389" s="43">
        <f>0.658*1.15</f>
        <v>0.75669999999999993</v>
      </c>
      <c r="F389" s="43">
        <f>E389*F388</f>
        <v>132.42249999999999</v>
      </c>
      <c r="G389" s="86"/>
      <c r="H389" s="43"/>
      <c r="I389" s="110"/>
      <c r="J389" s="43"/>
      <c r="K389" s="110"/>
      <c r="L389" s="43"/>
      <c r="M389" s="75"/>
    </row>
    <row r="390" spans="1:13" x14ac:dyDescent="0.25">
      <c r="A390" s="109"/>
      <c r="B390" s="771"/>
      <c r="C390" s="310" t="s">
        <v>184</v>
      </c>
      <c r="D390" s="311" t="s">
        <v>122</v>
      </c>
      <c r="E390" s="111">
        <f>0.01*1.25</f>
        <v>1.2500000000000001E-2</v>
      </c>
      <c r="F390" s="43">
        <f>E390*F388</f>
        <v>2.1875</v>
      </c>
      <c r="G390" s="86"/>
      <c r="H390" s="43"/>
      <c r="I390" s="110"/>
      <c r="J390" s="43"/>
      <c r="K390" s="110"/>
      <c r="L390" s="43"/>
      <c r="M390" s="75"/>
    </row>
    <row r="391" spans="1:13" x14ac:dyDescent="0.25">
      <c r="A391" s="109"/>
      <c r="B391" s="86"/>
      <c r="C391" s="112" t="s">
        <v>74</v>
      </c>
      <c r="D391" s="86" t="s">
        <v>75</v>
      </c>
      <c r="E391" s="86">
        <v>0.24</v>
      </c>
      <c r="F391" s="43">
        <f>E391*F388</f>
        <v>42</v>
      </c>
      <c r="G391" s="86"/>
      <c r="H391" s="43"/>
      <c r="I391" s="113"/>
      <c r="J391" s="75"/>
      <c r="K391" s="110"/>
      <c r="L391" s="43"/>
      <c r="M391" s="75"/>
    </row>
    <row r="392" spans="1:13" x14ac:dyDescent="0.25">
      <c r="A392" s="109"/>
      <c r="B392" s="86"/>
      <c r="C392" s="112" t="s">
        <v>76</v>
      </c>
      <c r="D392" s="114" t="s">
        <v>75</v>
      </c>
      <c r="E392" s="114">
        <f>0.183+0.12+0.001</f>
        <v>0.30399999999999999</v>
      </c>
      <c r="F392" s="43">
        <f>E392*F388</f>
        <v>53.199999999999996</v>
      </c>
      <c r="G392" s="86"/>
      <c r="H392" s="43"/>
      <c r="I392" s="110"/>
      <c r="J392" s="75"/>
      <c r="K392" s="110"/>
      <c r="L392" s="43"/>
      <c r="M392" s="75"/>
    </row>
    <row r="393" spans="1:13" x14ac:dyDescent="0.25">
      <c r="A393" s="115"/>
      <c r="B393" s="50"/>
      <c r="C393" s="116" t="s">
        <v>77</v>
      </c>
      <c r="D393" s="50" t="s">
        <v>50</v>
      </c>
      <c r="E393" s="50">
        <v>1.6E-2</v>
      </c>
      <c r="F393" s="117">
        <f>E393*F388</f>
        <v>2.8000000000000003</v>
      </c>
      <c r="G393" s="50"/>
      <c r="H393" s="118"/>
      <c r="I393" s="119"/>
      <c r="J393" s="118"/>
      <c r="K393" s="119"/>
      <c r="L393" s="118"/>
      <c r="M393" s="120"/>
    </row>
    <row r="394" spans="1:13" ht="27" x14ac:dyDescent="0.25">
      <c r="A394" s="403">
        <v>14</v>
      </c>
      <c r="B394" s="373" t="s">
        <v>70</v>
      </c>
      <c r="C394" s="94" t="s">
        <v>237</v>
      </c>
      <c r="D394" s="274" t="s">
        <v>65</v>
      </c>
      <c r="E394" s="35"/>
      <c r="F394" s="123">
        <v>51</v>
      </c>
      <c r="G394" s="56"/>
      <c r="H394" s="57"/>
      <c r="I394" s="58"/>
      <c r="J394" s="59"/>
      <c r="K394" s="60"/>
      <c r="L394" s="60"/>
      <c r="M394" s="61"/>
    </row>
    <row r="395" spans="1:13" x14ac:dyDescent="0.25">
      <c r="A395" s="109"/>
      <c r="B395" s="164"/>
      <c r="C395" s="310" t="s">
        <v>183</v>
      </c>
      <c r="D395" s="311" t="s">
        <v>46</v>
      </c>
      <c r="E395" s="47">
        <v>0.25800000000000001</v>
      </c>
      <c r="F395" s="89">
        <f>E395*F394</f>
        <v>13.158000000000001</v>
      </c>
      <c r="G395" s="91"/>
      <c r="H395" s="89"/>
      <c r="I395" s="92"/>
      <c r="J395" s="89"/>
      <c r="K395" s="92"/>
      <c r="L395" s="89"/>
      <c r="M395" s="89"/>
    </row>
    <row r="396" spans="1:13" x14ac:dyDescent="0.25">
      <c r="A396" s="115"/>
      <c r="B396" s="145"/>
      <c r="C396" s="310" t="s">
        <v>184</v>
      </c>
      <c r="D396" s="311" t="s">
        <v>122</v>
      </c>
      <c r="E396" s="146">
        <v>1.6000000000000001E-3</v>
      </c>
      <c r="F396" s="146">
        <f>E396*F394</f>
        <v>8.1600000000000006E-2</v>
      </c>
      <c r="G396" s="146"/>
      <c r="H396" s="147"/>
      <c r="I396" s="148"/>
      <c r="J396" s="147"/>
      <c r="K396" s="148"/>
      <c r="L396" s="147"/>
      <c r="M396" s="147"/>
    </row>
    <row r="397" spans="1:13" ht="54" x14ac:dyDescent="0.25">
      <c r="A397" s="101">
        <v>15</v>
      </c>
      <c r="B397" s="778" t="s">
        <v>137</v>
      </c>
      <c r="C397" s="102" t="s">
        <v>138</v>
      </c>
      <c r="D397" s="103" t="s">
        <v>65</v>
      </c>
      <c r="E397" s="103"/>
      <c r="F397" s="104">
        <v>51</v>
      </c>
      <c r="G397" s="105"/>
      <c r="H397" s="106"/>
      <c r="I397" s="107"/>
      <c r="J397" s="106"/>
      <c r="K397" s="107"/>
      <c r="L397" s="106"/>
      <c r="M397" s="108"/>
    </row>
    <row r="398" spans="1:13" x14ac:dyDescent="0.25">
      <c r="A398" s="109"/>
      <c r="B398" s="771"/>
      <c r="C398" s="310" t="s">
        <v>183</v>
      </c>
      <c r="D398" s="311" t="s">
        <v>46</v>
      </c>
      <c r="E398" s="43">
        <f>0.856*1.15</f>
        <v>0.98439999999999994</v>
      </c>
      <c r="F398" s="43">
        <f>E398*F397</f>
        <v>50.2044</v>
      </c>
      <c r="G398" s="86"/>
      <c r="H398" s="43"/>
      <c r="I398" s="110"/>
      <c r="J398" s="43"/>
      <c r="K398" s="110"/>
      <c r="L398" s="43"/>
      <c r="M398" s="75"/>
    </row>
    <row r="399" spans="1:13" x14ac:dyDescent="0.25">
      <c r="A399" s="109"/>
      <c r="B399" s="771"/>
      <c r="C399" s="310" t="s">
        <v>184</v>
      </c>
      <c r="D399" s="311" t="s">
        <v>122</v>
      </c>
      <c r="E399" s="111">
        <f>0.012*1.25</f>
        <v>1.4999999999999999E-2</v>
      </c>
      <c r="F399" s="43">
        <f>E399*F397</f>
        <v>0.76500000000000001</v>
      </c>
      <c r="G399" s="86"/>
      <c r="H399" s="43"/>
      <c r="I399" s="110"/>
      <c r="J399" s="43"/>
      <c r="K399" s="110"/>
      <c r="L399" s="43"/>
      <c r="M399" s="75"/>
    </row>
    <row r="400" spans="1:13" x14ac:dyDescent="0.25">
      <c r="A400" s="109"/>
      <c r="B400" s="86"/>
      <c r="C400" s="112" t="s">
        <v>139</v>
      </c>
      <c r="D400" s="86" t="s">
        <v>75</v>
      </c>
      <c r="E400" s="86">
        <v>0.24</v>
      </c>
      <c r="F400" s="43">
        <f>E400*F397</f>
        <v>12.24</v>
      </c>
      <c r="G400" s="86"/>
      <c r="H400" s="43"/>
      <c r="I400" s="113"/>
      <c r="J400" s="75"/>
      <c r="K400" s="110"/>
      <c r="L400" s="43"/>
      <c r="M400" s="75"/>
    </row>
    <row r="401" spans="1:13" x14ac:dyDescent="0.25">
      <c r="A401" s="109"/>
      <c r="B401" s="86"/>
      <c r="C401" s="112" t="s">
        <v>76</v>
      </c>
      <c r="D401" s="114" t="s">
        <v>75</v>
      </c>
      <c r="E401" s="114">
        <f>0.314</f>
        <v>0.314</v>
      </c>
      <c r="F401" s="43">
        <f>E401*F397</f>
        <v>16.013999999999999</v>
      </c>
      <c r="G401" s="86"/>
      <c r="H401" s="43"/>
      <c r="I401" s="110"/>
      <c r="J401" s="75"/>
      <c r="K401" s="110"/>
      <c r="L401" s="43"/>
      <c r="M401" s="75"/>
    </row>
    <row r="402" spans="1:13" x14ac:dyDescent="0.25">
      <c r="A402" s="115"/>
      <c r="B402" s="50"/>
      <c r="C402" s="116" t="s">
        <v>77</v>
      </c>
      <c r="D402" s="50" t="s">
        <v>50</v>
      </c>
      <c r="E402" s="50">
        <v>1.6E-2</v>
      </c>
      <c r="F402" s="117">
        <f>E402*F397</f>
        <v>0.81600000000000006</v>
      </c>
      <c r="G402" s="50"/>
      <c r="H402" s="118"/>
      <c r="I402" s="119"/>
      <c r="J402" s="118"/>
      <c r="K402" s="119"/>
      <c r="L402" s="118"/>
      <c r="M402" s="120"/>
    </row>
    <row r="403" spans="1:13" ht="27" x14ac:dyDescent="0.25">
      <c r="A403" s="684">
        <v>16</v>
      </c>
      <c r="B403" s="53" t="s">
        <v>90</v>
      </c>
      <c r="C403" s="142" t="s">
        <v>91</v>
      </c>
      <c r="D403" s="36" t="s">
        <v>65</v>
      </c>
      <c r="E403" s="35"/>
      <c r="F403" s="55">
        <v>1</v>
      </c>
      <c r="G403" s="56"/>
      <c r="H403" s="57"/>
      <c r="I403" s="58"/>
      <c r="J403" s="59"/>
      <c r="K403" s="60"/>
      <c r="L403" s="60"/>
      <c r="M403" s="61"/>
    </row>
    <row r="404" spans="1:13" ht="15.75" x14ac:dyDescent="0.25">
      <c r="A404" s="143"/>
      <c r="B404" s="144"/>
      <c r="C404" s="310" t="s">
        <v>183</v>
      </c>
      <c r="D404" s="311" t="s">
        <v>46</v>
      </c>
      <c r="E404" s="146">
        <v>2.09</v>
      </c>
      <c r="F404" s="147">
        <f>E404*F403</f>
        <v>2.09</v>
      </c>
      <c r="G404" s="146"/>
      <c r="H404" s="147"/>
      <c r="I404" s="148"/>
      <c r="J404" s="147"/>
      <c r="K404" s="148"/>
      <c r="L404" s="147"/>
      <c r="M404" s="147"/>
    </row>
    <row r="405" spans="1:13" ht="27" x14ac:dyDescent="0.25">
      <c r="A405" s="121">
        <v>17</v>
      </c>
      <c r="B405" s="121" t="s">
        <v>92</v>
      </c>
      <c r="C405" s="94" t="s">
        <v>238</v>
      </c>
      <c r="D405" s="149" t="s">
        <v>94</v>
      </c>
      <c r="E405" s="150"/>
      <c r="F405" s="151">
        <v>1</v>
      </c>
      <c r="G405" s="152"/>
      <c r="H405" s="152"/>
      <c r="I405" s="152"/>
      <c r="J405" s="153"/>
      <c r="K405" s="154"/>
      <c r="L405" s="153"/>
      <c r="M405" s="124"/>
    </row>
    <row r="406" spans="1:13" x14ac:dyDescent="0.25">
      <c r="A406" s="132"/>
      <c r="B406" s="133"/>
      <c r="C406" s="310" t="s">
        <v>183</v>
      </c>
      <c r="D406" s="311" t="s">
        <v>46</v>
      </c>
      <c r="E406" s="47">
        <f>8.14*1.15</f>
        <v>9.3610000000000007</v>
      </c>
      <c r="F406" s="47">
        <f>F405*E406</f>
        <v>9.3610000000000007</v>
      </c>
      <c r="G406" s="76"/>
      <c r="H406" s="26"/>
      <c r="I406" s="76"/>
      <c r="J406" s="26"/>
      <c r="K406" s="76"/>
      <c r="L406" s="26"/>
      <c r="M406" s="26"/>
    </row>
    <row r="407" spans="1:13" x14ac:dyDescent="0.25">
      <c r="A407" s="132"/>
      <c r="B407" s="138"/>
      <c r="C407" s="310" t="s">
        <v>184</v>
      </c>
      <c r="D407" s="311" t="s">
        <v>122</v>
      </c>
      <c r="E407" s="132">
        <f>1.09*1.25</f>
        <v>1.3625</v>
      </c>
      <c r="F407" s="47">
        <f>F405*E407</f>
        <v>1.3625</v>
      </c>
      <c r="G407" s="139"/>
      <c r="H407" s="26"/>
      <c r="I407" s="76"/>
      <c r="J407" s="26"/>
      <c r="K407" s="76"/>
      <c r="L407" s="26"/>
      <c r="M407" s="26"/>
    </row>
    <row r="408" spans="1:13" x14ac:dyDescent="0.25">
      <c r="A408" s="132"/>
      <c r="B408" s="138"/>
      <c r="C408" s="141" t="s">
        <v>239</v>
      </c>
      <c r="D408" s="135" t="s">
        <v>94</v>
      </c>
      <c r="E408" s="132">
        <v>1</v>
      </c>
      <c r="F408" s="47">
        <f>F405*E408</f>
        <v>1</v>
      </c>
      <c r="G408" s="155"/>
      <c r="H408" s="77"/>
      <c r="I408" s="155"/>
      <c r="J408" s="157"/>
      <c r="K408" s="76"/>
      <c r="L408" s="26"/>
      <c r="M408" s="157"/>
    </row>
    <row r="409" spans="1:13" x14ac:dyDescent="0.25">
      <c r="A409" s="160"/>
      <c r="B409" s="158"/>
      <c r="C409" s="31" t="s">
        <v>52</v>
      </c>
      <c r="D409" s="159" t="s">
        <v>50</v>
      </c>
      <c r="E409" s="160">
        <v>3.7</v>
      </c>
      <c r="F409" s="146">
        <f>F405*E409</f>
        <v>3.7</v>
      </c>
      <c r="G409" s="34"/>
      <c r="H409" s="32"/>
      <c r="I409" s="34"/>
      <c r="J409" s="128"/>
      <c r="K409" s="33"/>
      <c r="L409" s="32"/>
      <c r="M409" s="32"/>
    </row>
    <row r="410" spans="1:13" ht="27" x14ac:dyDescent="0.25">
      <c r="A410" s="684">
        <v>18</v>
      </c>
      <c r="B410" s="53" t="s">
        <v>53</v>
      </c>
      <c r="C410" s="54" t="s">
        <v>54</v>
      </c>
      <c r="D410" s="36" t="s">
        <v>55</v>
      </c>
      <c r="E410" s="35"/>
      <c r="F410" s="55">
        <f>3.3*2</f>
        <v>6.6</v>
      </c>
      <c r="G410" s="56"/>
      <c r="H410" s="57"/>
      <c r="I410" s="58"/>
      <c r="J410" s="59"/>
      <c r="K410" s="60"/>
      <c r="L410" s="60"/>
      <c r="M410" s="61"/>
    </row>
    <row r="411" spans="1:13" ht="15.75" x14ac:dyDescent="0.25">
      <c r="A411" s="143"/>
      <c r="B411" s="62"/>
      <c r="C411" s="63" t="s">
        <v>56</v>
      </c>
      <c r="D411" s="64" t="s">
        <v>49</v>
      </c>
      <c r="E411" s="65">
        <v>0.32800000000000001</v>
      </c>
      <c r="F411" s="66">
        <f>E411*F410</f>
        <v>2.1648000000000001</v>
      </c>
      <c r="G411" s="34"/>
      <c r="H411" s="32"/>
      <c r="I411" s="33"/>
      <c r="J411" s="32"/>
      <c r="K411" s="33"/>
      <c r="L411" s="32"/>
      <c r="M411" s="32"/>
    </row>
    <row r="412" spans="1:13" ht="54" x14ac:dyDescent="0.25">
      <c r="A412" s="403">
        <v>19</v>
      </c>
      <c r="B412" s="68" t="s">
        <v>57</v>
      </c>
      <c r="C412" s="21" t="s">
        <v>240</v>
      </c>
      <c r="D412" s="36" t="s">
        <v>58</v>
      </c>
      <c r="E412" s="55"/>
      <c r="F412" s="36">
        <f>2*3.3</f>
        <v>6.6</v>
      </c>
      <c r="G412" s="70"/>
      <c r="H412" s="71"/>
      <c r="I412" s="70"/>
      <c r="J412" s="71"/>
      <c r="K412" s="70"/>
      <c r="L412" s="71"/>
      <c r="M412" s="71"/>
    </row>
    <row r="413" spans="1:13" x14ac:dyDescent="0.25">
      <c r="A413" s="109"/>
      <c r="B413" s="73"/>
      <c r="C413" s="310" t="s">
        <v>183</v>
      </c>
      <c r="D413" s="311" t="s">
        <v>46</v>
      </c>
      <c r="E413" s="26">
        <f>1.12*1.15/1.4</f>
        <v>0.92</v>
      </c>
      <c r="F413" s="26">
        <f>F412*E413</f>
        <v>6.0720000000000001</v>
      </c>
      <c r="G413" s="75"/>
      <c r="H413" s="26"/>
      <c r="I413" s="76"/>
      <c r="J413" s="26"/>
      <c r="K413" s="76"/>
      <c r="L413" s="26"/>
      <c r="M413" s="77"/>
    </row>
    <row r="414" spans="1:13" ht="27" x14ac:dyDescent="0.25">
      <c r="A414" s="109"/>
      <c r="B414" s="73"/>
      <c r="C414" s="74" t="s">
        <v>241</v>
      </c>
      <c r="D414" s="40" t="s">
        <v>58</v>
      </c>
      <c r="E414" s="40">
        <v>1</v>
      </c>
      <c r="F414" s="26">
        <f>F412*E414</f>
        <v>6.6</v>
      </c>
      <c r="G414" s="40"/>
      <c r="H414" s="26"/>
      <c r="I414" s="77"/>
      <c r="J414" s="77"/>
      <c r="K414" s="76"/>
      <c r="L414" s="26"/>
      <c r="M414" s="77"/>
    </row>
    <row r="415" spans="1:13" x14ac:dyDescent="0.25">
      <c r="A415" s="115"/>
      <c r="B415" s="79"/>
      <c r="C415" s="80" t="s">
        <v>62</v>
      </c>
      <c r="D415" s="34" t="s">
        <v>50</v>
      </c>
      <c r="E415" s="81">
        <f>0.085/1.4</f>
        <v>6.0714285714285721E-2</v>
      </c>
      <c r="F415" s="32">
        <f>F412*E415</f>
        <v>0.40071428571428575</v>
      </c>
      <c r="G415" s="34"/>
      <c r="H415" s="32"/>
      <c r="I415" s="33"/>
      <c r="J415" s="32"/>
      <c r="K415" s="33"/>
      <c r="L415" s="32"/>
      <c r="M415" s="32"/>
    </row>
    <row r="416" spans="1:13" ht="15.75" x14ac:dyDescent="0.25">
      <c r="A416" s="682"/>
      <c r="B416" s="16"/>
      <c r="C416" s="703" t="s">
        <v>242</v>
      </c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27" x14ac:dyDescent="0.25">
      <c r="A417" s="684">
        <v>1</v>
      </c>
      <c r="B417" s="53" t="s">
        <v>53</v>
      </c>
      <c r="C417" s="54" t="s">
        <v>54</v>
      </c>
      <c r="D417" s="36" t="s">
        <v>55</v>
      </c>
      <c r="E417" s="35"/>
      <c r="F417" s="55">
        <v>1.8</v>
      </c>
      <c r="G417" s="56"/>
      <c r="H417" s="57"/>
      <c r="I417" s="58"/>
      <c r="J417" s="59"/>
      <c r="K417" s="60"/>
      <c r="L417" s="60"/>
      <c r="M417" s="61"/>
    </row>
    <row r="418" spans="1:13" ht="15.75" x14ac:dyDescent="0.25">
      <c r="A418" s="143"/>
      <c r="B418" s="62"/>
      <c r="C418" s="63" t="s">
        <v>56</v>
      </c>
      <c r="D418" s="64" t="s">
        <v>49</v>
      </c>
      <c r="E418" s="65">
        <v>0.32800000000000001</v>
      </c>
      <c r="F418" s="66">
        <f>E418*F417</f>
        <v>0.59040000000000004</v>
      </c>
      <c r="G418" s="34"/>
      <c r="H418" s="32"/>
      <c r="I418" s="33"/>
      <c r="J418" s="32"/>
      <c r="K418" s="33"/>
      <c r="L418" s="32"/>
      <c r="M418" s="32"/>
    </row>
    <row r="419" spans="1:13" ht="54" x14ac:dyDescent="0.25">
      <c r="A419" s="403">
        <v>2</v>
      </c>
      <c r="B419" s="68" t="s">
        <v>57</v>
      </c>
      <c r="C419" s="21" t="s">
        <v>243</v>
      </c>
      <c r="D419" s="36" t="s">
        <v>58</v>
      </c>
      <c r="E419" s="55"/>
      <c r="F419" s="36">
        <v>1.8</v>
      </c>
      <c r="G419" s="70"/>
      <c r="H419" s="71"/>
      <c r="I419" s="70"/>
      <c r="J419" s="71"/>
      <c r="K419" s="70"/>
      <c r="L419" s="71"/>
      <c r="M419" s="71"/>
    </row>
    <row r="420" spans="1:13" x14ac:dyDescent="0.25">
      <c r="A420" s="109"/>
      <c r="B420" s="73"/>
      <c r="C420" s="310" t="s">
        <v>183</v>
      </c>
      <c r="D420" s="311" t="s">
        <v>46</v>
      </c>
      <c r="E420" s="26">
        <f>1.12*1.15/1.4</f>
        <v>0.92</v>
      </c>
      <c r="F420" s="26">
        <f>F419*E420</f>
        <v>1.6560000000000001</v>
      </c>
      <c r="G420" s="75"/>
      <c r="H420" s="26"/>
      <c r="I420" s="76"/>
      <c r="J420" s="26"/>
      <c r="K420" s="76"/>
      <c r="L420" s="26"/>
      <c r="M420" s="77"/>
    </row>
    <row r="421" spans="1:13" ht="27" x14ac:dyDescent="0.25">
      <c r="A421" s="109"/>
      <c r="B421" s="73"/>
      <c r="C421" s="74" t="s">
        <v>241</v>
      </c>
      <c r="D421" s="40" t="s">
        <v>58</v>
      </c>
      <c r="E421" s="40">
        <v>1</v>
      </c>
      <c r="F421" s="26">
        <f>F419*E421</f>
        <v>1.8</v>
      </c>
      <c r="G421" s="40"/>
      <c r="H421" s="26"/>
      <c r="I421" s="77"/>
      <c r="J421" s="77"/>
      <c r="K421" s="76"/>
      <c r="L421" s="26"/>
      <c r="M421" s="77"/>
    </row>
    <row r="422" spans="1:13" x14ac:dyDescent="0.25">
      <c r="A422" s="115"/>
      <c r="B422" s="79"/>
      <c r="C422" s="80" t="s">
        <v>62</v>
      </c>
      <c r="D422" s="34" t="s">
        <v>50</v>
      </c>
      <c r="E422" s="81">
        <f>0.085/1.4</f>
        <v>6.0714285714285721E-2</v>
      </c>
      <c r="F422" s="32">
        <f>F419*E422</f>
        <v>0.10928571428571431</v>
      </c>
      <c r="G422" s="34"/>
      <c r="H422" s="32"/>
      <c r="I422" s="33"/>
      <c r="J422" s="32"/>
      <c r="K422" s="33"/>
      <c r="L422" s="32"/>
      <c r="M422" s="32"/>
    </row>
    <row r="423" spans="1:13" ht="27" x14ac:dyDescent="0.25">
      <c r="A423" s="132">
        <v>3</v>
      </c>
      <c r="B423" s="20" t="s">
        <v>42</v>
      </c>
      <c r="C423" s="374" t="s">
        <v>43</v>
      </c>
      <c r="D423" s="22" t="s">
        <v>44</v>
      </c>
      <c r="E423" s="23"/>
      <c r="F423" s="24">
        <v>3</v>
      </c>
      <c r="G423" s="25"/>
      <c r="H423" s="26"/>
      <c r="I423" s="27"/>
      <c r="J423" s="26"/>
      <c r="K423" s="28"/>
      <c r="L423" s="26"/>
      <c r="M423" s="26"/>
    </row>
    <row r="424" spans="1:13" x14ac:dyDescent="0.25">
      <c r="A424" s="160"/>
      <c r="B424" s="30"/>
      <c r="C424" s="31" t="s">
        <v>45</v>
      </c>
      <c r="D424" s="29" t="s">
        <v>46</v>
      </c>
      <c r="E424" s="29">
        <f>0.74*0.4*1.15</f>
        <v>0.34039999999999998</v>
      </c>
      <c r="F424" s="32">
        <f>E424*F423</f>
        <v>1.0211999999999999</v>
      </c>
      <c r="G424" s="33"/>
      <c r="H424" s="32"/>
      <c r="I424" s="34"/>
      <c r="J424" s="32"/>
      <c r="K424" s="33"/>
      <c r="L424" s="32"/>
      <c r="M424" s="32"/>
    </row>
    <row r="425" spans="1:13" ht="40.5" x14ac:dyDescent="0.25">
      <c r="A425" s="35">
        <v>4</v>
      </c>
      <c r="B425" s="36" t="s">
        <v>47</v>
      </c>
      <c r="C425" s="21" t="s">
        <v>48</v>
      </c>
      <c r="D425" s="36" t="s">
        <v>44</v>
      </c>
      <c r="E425" s="36"/>
      <c r="F425" s="104">
        <v>3</v>
      </c>
      <c r="G425" s="38"/>
      <c r="H425" s="38"/>
      <c r="I425" s="38"/>
      <c r="J425" s="38"/>
      <c r="K425" s="38"/>
      <c r="L425" s="38"/>
      <c r="M425" s="39"/>
    </row>
    <row r="426" spans="1:13" x14ac:dyDescent="0.25">
      <c r="A426" s="47"/>
      <c r="B426" s="41"/>
      <c r="C426" s="310" t="s">
        <v>183</v>
      </c>
      <c r="D426" s="311" t="s">
        <v>46</v>
      </c>
      <c r="E426" s="26">
        <f>1.65*1.15</f>
        <v>1.8974999999999997</v>
      </c>
      <c r="F426" s="43">
        <f>F425*E426</f>
        <v>5.692499999999999</v>
      </c>
      <c r="G426" s="44"/>
      <c r="H426" s="45"/>
      <c r="I426" s="45"/>
      <c r="J426" s="44"/>
      <c r="K426" s="44"/>
      <c r="L426" s="44"/>
      <c r="M426" s="45"/>
    </row>
    <row r="427" spans="1:13" x14ac:dyDescent="0.25">
      <c r="A427" s="47"/>
      <c r="B427" s="40"/>
      <c r="C427" s="310" t="s">
        <v>184</v>
      </c>
      <c r="D427" s="311" t="s">
        <v>122</v>
      </c>
      <c r="E427" s="40">
        <f>0.022*1.25</f>
        <v>2.7499999999999997E-2</v>
      </c>
      <c r="F427" s="43">
        <f>F425*E427</f>
        <v>8.249999999999999E-2</v>
      </c>
      <c r="G427" s="44"/>
      <c r="H427" s="44"/>
      <c r="I427" s="44"/>
      <c r="J427" s="44"/>
      <c r="K427" s="44"/>
      <c r="L427" s="44"/>
      <c r="M427" s="45"/>
    </row>
    <row r="428" spans="1:13" ht="27" x14ac:dyDescent="0.25">
      <c r="A428" s="47"/>
      <c r="B428" s="41"/>
      <c r="C428" s="46" t="s">
        <v>51</v>
      </c>
      <c r="D428" s="47" t="s">
        <v>44</v>
      </c>
      <c r="E428" s="47">
        <v>1</v>
      </c>
      <c r="F428" s="48">
        <v>3</v>
      </c>
      <c r="G428" s="44"/>
      <c r="H428" s="44"/>
      <c r="I428" s="45"/>
      <c r="J428" s="45"/>
      <c r="K428" s="45"/>
      <c r="L428" s="45"/>
      <c r="M428" s="45"/>
    </row>
    <row r="429" spans="1:13" x14ac:dyDescent="0.25">
      <c r="A429" s="146"/>
      <c r="B429" s="34"/>
      <c r="C429" s="49" t="s">
        <v>52</v>
      </c>
      <c r="D429" s="34" t="s">
        <v>50</v>
      </c>
      <c r="E429" s="34">
        <v>0.30599999999999999</v>
      </c>
      <c r="F429" s="50">
        <f>F425*E429</f>
        <v>0.91799999999999993</v>
      </c>
      <c r="G429" s="51"/>
      <c r="H429" s="51"/>
      <c r="I429" s="51"/>
      <c r="J429" s="51"/>
      <c r="K429" s="51"/>
      <c r="L429" s="51"/>
      <c r="M429" s="52"/>
    </row>
    <row r="430" spans="1:13" ht="15.75" x14ac:dyDescent="0.25">
      <c r="A430" s="682"/>
      <c r="B430" s="16"/>
      <c r="C430" s="178" t="s">
        <v>244</v>
      </c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40.5" x14ac:dyDescent="0.25">
      <c r="A431" s="403">
        <v>1</v>
      </c>
      <c r="B431" s="121" t="s">
        <v>245</v>
      </c>
      <c r="C431" s="69" t="s">
        <v>246</v>
      </c>
      <c r="D431" s="36" t="s">
        <v>65</v>
      </c>
      <c r="E431" s="381"/>
      <c r="F431" s="382">
        <v>6.3250000000000002</v>
      </c>
      <c r="G431" s="179"/>
      <c r="H431" s="57"/>
      <c r="I431" s="180"/>
      <c r="J431" s="57"/>
      <c r="K431" s="180"/>
      <c r="L431" s="57"/>
      <c r="M431" s="181"/>
    </row>
    <row r="432" spans="1:13" x14ac:dyDescent="0.25">
      <c r="A432" s="109"/>
      <c r="B432" s="20"/>
      <c r="C432" s="310" t="s">
        <v>183</v>
      </c>
      <c r="D432" s="311" t="s">
        <v>46</v>
      </c>
      <c r="E432" s="40">
        <v>0.88700000000000001</v>
      </c>
      <c r="F432" s="26">
        <f>E432*F431</f>
        <v>5.6102750000000006</v>
      </c>
      <c r="G432" s="40"/>
      <c r="H432" s="26"/>
      <c r="I432" s="76"/>
      <c r="J432" s="26"/>
      <c r="K432" s="76"/>
      <c r="L432" s="26"/>
      <c r="M432" s="26"/>
    </row>
    <row r="433" spans="1:13" x14ac:dyDescent="0.25">
      <c r="A433" s="115"/>
      <c r="B433" s="29"/>
      <c r="C433" s="310" t="s">
        <v>184</v>
      </c>
      <c r="D433" s="311" t="s">
        <v>122</v>
      </c>
      <c r="E433" s="40">
        <v>9.8400000000000001E-2</v>
      </c>
      <c r="F433" s="32">
        <f>E433*F431</f>
        <v>0.62238000000000004</v>
      </c>
      <c r="G433" s="34"/>
      <c r="H433" s="32"/>
      <c r="I433" s="33"/>
      <c r="J433" s="32"/>
      <c r="K433" s="33"/>
      <c r="L433" s="32"/>
      <c r="M433" s="32"/>
    </row>
    <row r="434" spans="1:13" ht="45" x14ac:dyDescent="0.25">
      <c r="A434" s="109">
        <v>2</v>
      </c>
      <c r="B434" s="68" t="s">
        <v>247</v>
      </c>
      <c r="C434" s="384" t="s">
        <v>248</v>
      </c>
      <c r="D434" s="36" t="s">
        <v>65</v>
      </c>
      <c r="E434" s="55"/>
      <c r="F434" s="382">
        <v>6.3250000000000002</v>
      </c>
      <c r="G434" s="70"/>
      <c r="H434" s="71"/>
      <c r="I434" s="70"/>
      <c r="J434" s="71"/>
      <c r="K434" s="70"/>
      <c r="L434" s="71"/>
      <c r="M434" s="71"/>
    </row>
    <row r="435" spans="1:13" x14ac:dyDescent="0.25">
      <c r="A435" s="109"/>
      <c r="B435" s="73"/>
      <c r="C435" s="310" t="s">
        <v>183</v>
      </c>
      <c r="D435" s="311" t="s">
        <v>46</v>
      </c>
      <c r="E435" s="26">
        <f>1.16*1.15</f>
        <v>1.3339999999999999</v>
      </c>
      <c r="F435" s="26">
        <f>F434*E435</f>
        <v>8.4375499999999999</v>
      </c>
      <c r="G435" s="86"/>
      <c r="H435" s="26"/>
      <c r="I435" s="76"/>
      <c r="J435" s="26"/>
      <c r="K435" s="76"/>
      <c r="L435" s="26"/>
      <c r="M435" s="26"/>
    </row>
    <row r="436" spans="1:13" x14ac:dyDescent="0.25">
      <c r="A436" s="109"/>
      <c r="B436" s="73"/>
      <c r="C436" s="310" t="s">
        <v>184</v>
      </c>
      <c r="D436" s="311" t="s">
        <v>122</v>
      </c>
      <c r="E436" s="40">
        <v>0.44</v>
      </c>
      <c r="F436" s="26">
        <f>F434*E436</f>
        <v>2.7829999999999999</v>
      </c>
      <c r="G436" s="40"/>
      <c r="H436" s="26"/>
      <c r="I436" s="76"/>
      <c r="J436" s="26"/>
      <c r="K436" s="76"/>
      <c r="L436" s="26"/>
      <c r="M436" s="26"/>
    </row>
    <row r="437" spans="1:13" x14ac:dyDescent="0.25">
      <c r="A437" s="109"/>
      <c r="B437" s="73"/>
      <c r="C437" s="74" t="s">
        <v>249</v>
      </c>
      <c r="D437" s="40" t="s">
        <v>65</v>
      </c>
      <c r="E437" s="40">
        <v>1</v>
      </c>
      <c r="F437" s="26">
        <f>E437*F434</f>
        <v>6.3250000000000002</v>
      </c>
      <c r="G437" s="40"/>
      <c r="H437" s="26"/>
      <c r="I437" s="76"/>
      <c r="J437" s="77"/>
      <c r="K437" s="76"/>
      <c r="L437" s="26"/>
      <c r="M437" s="157"/>
    </row>
    <row r="438" spans="1:13" ht="27" x14ac:dyDescent="0.25">
      <c r="A438" s="109"/>
      <c r="B438" s="73"/>
      <c r="C438" s="74" t="s">
        <v>250</v>
      </c>
      <c r="D438" s="40" t="s">
        <v>170</v>
      </c>
      <c r="E438" s="40">
        <v>8.0000000000000004E-4</v>
      </c>
      <c r="F438" s="269">
        <f>F434*E438</f>
        <v>5.0600000000000003E-3</v>
      </c>
      <c r="G438" s="40"/>
      <c r="H438" s="26"/>
      <c r="I438" s="385"/>
      <c r="J438" s="26"/>
      <c r="K438" s="76"/>
      <c r="L438" s="26"/>
      <c r="M438" s="77"/>
    </row>
    <row r="439" spans="1:13" x14ac:dyDescent="0.25">
      <c r="A439" s="115"/>
      <c r="B439" s="79"/>
      <c r="C439" s="80" t="s">
        <v>62</v>
      </c>
      <c r="D439" s="34" t="s">
        <v>50</v>
      </c>
      <c r="E439" s="34">
        <v>0.27600000000000002</v>
      </c>
      <c r="F439" s="32">
        <f>F434*E439</f>
        <v>1.7457000000000003</v>
      </c>
      <c r="G439" s="34"/>
      <c r="H439" s="32"/>
      <c r="I439" s="33"/>
      <c r="J439" s="32"/>
      <c r="K439" s="33"/>
      <c r="L439" s="32"/>
      <c r="M439" s="32"/>
    </row>
    <row r="440" spans="1:13" ht="27" x14ac:dyDescent="0.25">
      <c r="A440" s="132">
        <v>3</v>
      </c>
      <c r="B440" s="20" t="s">
        <v>42</v>
      </c>
      <c r="C440" s="374" t="s">
        <v>43</v>
      </c>
      <c r="D440" s="22" t="s">
        <v>44</v>
      </c>
      <c r="E440" s="23"/>
      <c r="F440" s="24">
        <v>3</v>
      </c>
      <c r="G440" s="25"/>
      <c r="H440" s="26"/>
      <c r="I440" s="27"/>
      <c r="J440" s="26"/>
      <c r="K440" s="28"/>
      <c r="L440" s="26"/>
      <c r="M440" s="26"/>
    </row>
    <row r="441" spans="1:13" x14ac:dyDescent="0.25">
      <c r="A441" s="160"/>
      <c r="B441" s="30"/>
      <c r="C441" s="31" t="s">
        <v>45</v>
      </c>
      <c r="D441" s="29" t="s">
        <v>46</v>
      </c>
      <c r="E441" s="29">
        <f>0.74*0.4*1.15</f>
        <v>0.34039999999999998</v>
      </c>
      <c r="F441" s="32">
        <f>E441*F440</f>
        <v>1.0211999999999999</v>
      </c>
      <c r="G441" s="33"/>
      <c r="H441" s="32"/>
      <c r="I441" s="34"/>
      <c r="J441" s="32"/>
      <c r="K441" s="33"/>
      <c r="L441" s="32"/>
      <c r="M441" s="32"/>
    </row>
    <row r="442" spans="1:13" ht="40.5" x14ac:dyDescent="0.25">
      <c r="A442" s="35">
        <v>4</v>
      </c>
      <c r="B442" s="35" t="s">
        <v>47</v>
      </c>
      <c r="C442" s="21" t="s">
        <v>48</v>
      </c>
      <c r="D442" s="36" t="s">
        <v>44</v>
      </c>
      <c r="E442" s="36"/>
      <c r="F442" s="104">
        <v>3</v>
      </c>
      <c r="G442" s="38"/>
      <c r="H442" s="38"/>
      <c r="I442" s="38"/>
      <c r="J442" s="38"/>
      <c r="K442" s="38"/>
      <c r="L442" s="38"/>
      <c r="M442" s="39"/>
    </row>
    <row r="443" spans="1:13" x14ac:dyDescent="0.25">
      <c r="A443" s="47"/>
      <c r="B443" s="41"/>
      <c r="C443" s="310" t="s">
        <v>183</v>
      </c>
      <c r="D443" s="311" t="s">
        <v>46</v>
      </c>
      <c r="E443" s="26">
        <f>1.65*1.15</f>
        <v>1.8974999999999997</v>
      </c>
      <c r="F443" s="43">
        <f>F442*E443</f>
        <v>5.692499999999999</v>
      </c>
      <c r="G443" s="44"/>
      <c r="H443" s="45"/>
      <c r="I443" s="45"/>
      <c r="J443" s="44"/>
      <c r="K443" s="44"/>
      <c r="L443" s="44"/>
      <c r="M443" s="45"/>
    </row>
    <row r="444" spans="1:13" x14ac:dyDescent="0.25">
      <c r="A444" s="47"/>
      <c r="B444" s="40"/>
      <c r="C444" s="310" t="s">
        <v>184</v>
      </c>
      <c r="D444" s="311" t="s">
        <v>122</v>
      </c>
      <c r="E444" s="40">
        <f>0.022*1.25</f>
        <v>2.7499999999999997E-2</v>
      </c>
      <c r="F444" s="43">
        <f>F442*E444</f>
        <v>8.249999999999999E-2</v>
      </c>
      <c r="G444" s="44"/>
      <c r="H444" s="44"/>
      <c r="I444" s="44"/>
      <c r="J444" s="44"/>
      <c r="K444" s="44"/>
      <c r="L444" s="44"/>
      <c r="M444" s="45"/>
    </row>
    <row r="445" spans="1:13" ht="27" x14ac:dyDescent="0.25">
      <c r="A445" s="47"/>
      <c r="B445" s="41"/>
      <c r="C445" s="46" t="s">
        <v>51</v>
      </c>
      <c r="D445" s="47" t="s">
        <v>44</v>
      </c>
      <c r="E445" s="47">
        <v>1</v>
      </c>
      <c r="F445" s="91">
        <v>3</v>
      </c>
      <c r="G445" s="44"/>
      <c r="H445" s="44"/>
      <c r="I445" s="45"/>
      <c r="J445" s="45"/>
      <c r="K445" s="45"/>
      <c r="L445" s="45"/>
      <c r="M445" s="45"/>
    </row>
    <row r="446" spans="1:13" x14ac:dyDescent="0.25">
      <c r="A446" s="146"/>
      <c r="B446" s="34"/>
      <c r="C446" s="49" t="s">
        <v>52</v>
      </c>
      <c r="D446" s="34" t="s">
        <v>50</v>
      </c>
      <c r="E446" s="34">
        <v>0.30599999999999999</v>
      </c>
      <c r="F446" s="50">
        <f>F442*E446</f>
        <v>0.91799999999999993</v>
      </c>
      <c r="G446" s="51"/>
      <c r="H446" s="51"/>
      <c r="I446" s="51"/>
      <c r="J446" s="51"/>
      <c r="K446" s="51"/>
      <c r="L446" s="51"/>
      <c r="M446" s="52"/>
    </row>
    <row r="447" spans="1:13" ht="27" x14ac:dyDescent="0.25">
      <c r="A447" s="684">
        <v>5</v>
      </c>
      <c r="B447" s="53" t="s">
        <v>53</v>
      </c>
      <c r="C447" s="54" t="s">
        <v>251</v>
      </c>
      <c r="D447" s="36" t="s">
        <v>55</v>
      </c>
      <c r="E447" s="35"/>
      <c r="F447" s="55">
        <f>1.8*2+1.5</f>
        <v>5.0999999999999996</v>
      </c>
      <c r="G447" s="56"/>
      <c r="H447" s="57"/>
      <c r="I447" s="58"/>
      <c r="J447" s="59"/>
      <c r="K447" s="60"/>
      <c r="L447" s="60"/>
      <c r="M447" s="61"/>
    </row>
    <row r="448" spans="1:13" ht="15.75" x14ac:dyDescent="0.25">
      <c r="A448" s="143"/>
      <c r="B448" s="62"/>
      <c r="C448" s="310" t="s">
        <v>183</v>
      </c>
      <c r="D448" s="311" t="s">
        <v>46</v>
      </c>
      <c r="E448" s="65">
        <v>0.32800000000000001</v>
      </c>
      <c r="F448" s="66">
        <f>E448*F447</f>
        <v>1.6728000000000001</v>
      </c>
      <c r="G448" s="34"/>
      <c r="H448" s="32"/>
      <c r="I448" s="33"/>
      <c r="J448" s="32"/>
      <c r="K448" s="33"/>
      <c r="L448" s="32"/>
      <c r="M448" s="32"/>
    </row>
    <row r="449" spans="1:13" ht="67.5" x14ac:dyDescent="0.25">
      <c r="A449" s="403">
        <v>6</v>
      </c>
      <c r="B449" s="68" t="s">
        <v>57</v>
      </c>
      <c r="C449" s="21" t="s">
        <v>252</v>
      </c>
      <c r="D449" s="36" t="s">
        <v>58</v>
      </c>
      <c r="E449" s="55"/>
      <c r="F449" s="123">
        <f>F451+F452</f>
        <v>5.0999999999999996</v>
      </c>
      <c r="G449" s="70"/>
      <c r="H449" s="71"/>
      <c r="I449" s="70"/>
      <c r="J449" s="71"/>
      <c r="K449" s="70"/>
      <c r="L449" s="71"/>
      <c r="M449" s="71"/>
    </row>
    <row r="450" spans="1:13" x14ac:dyDescent="0.25">
      <c r="A450" s="109"/>
      <c r="B450" s="73"/>
      <c r="C450" s="310" t="s">
        <v>183</v>
      </c>
      <c r="D450" s="311" t="s">
        <v>46</v>
      </c>
      <c r="E450" s="26">
        <f>1.12*1.15/1.4</f>
        <v>0.92</v>
      </c>
      <c r="F450" s="26">
        <f>F449*E450</f>
        <v>4.6920000000000002</v>
      </c>
      <c r="G450" s="75"/>
      <c r="H450" s="26"/>
      <c r="I450" s="76"/>
      <c r="J450" s="26"/>
      <c r="K450" s="76"/>
      <c r="L450" s="26"/>
      <c r="M450" s="77"/>
    </row>
    <row r="451" spans="1:13" ht="40.5" x14ac:dyDescent="0.25">
      <c r="A451" s="132"/>
      <c r="B451" s="386"/>
      <c r="C451" s="46" t="s">
        <v>253</v>
      </c>
      <c r="D451" s="132" t="s">
        <v>58</v>
      </c>
      <c r="E451" s="132"/>
      <c r="F451" s="91">
        <f>2*1.8</f>
        <v>3.6</v>
      </c>
      <c r="G451" s="92"/>
      <c r="H451" s="26"/>
      <c r="I451" s="47"/>
      <c r="J451" s="26"/>
      <c r="K451" s="92"/>
      <c r="L451" s="26"/>
      <c r="M451" s="77"/>
    </row>
    <row r="452" spans="1:13" ht="40.5" x14ac:dyDescent="0.25">
      <c r="A452" s="132"/>
      <c r="B452" s="386"/>
      <c r="C452" s="46" t="s">
        <v>254</v>
      </c>
      <c r="D452" s="132" t="s">
        <v>58</v>
      </c>
      <c r="E452" s="132"/>
      <c r="F452" s="91">
        <v>1.5</v>
      </c>
      <c r="G452" s="92"/>
      <c r="H452" s="26"/>
      <c r="I452" s="47"/>
      <c r="J452" s="26"/>
      <c r="K452" s="92"/>
      <c r="L452" s="26"/>
      <c r="M452" s="77"/>
    </row>
    <row r="453" spans="1:13" x14ac:dyDescent="0.25">
      <c r="A453" s="115"/>
      <c r="B453" s="79"/>
      <c r="C453" s="80" t="s">
        <v>62</v>
      </c>
      <c r="D453" s="34" t="s">
        <v>50</v>
      </c>
      <c r="E453" s="81">
        <f>0.085/1.4</f>
        <v>6.0714285714285721E-2</v>
      </c>
      <c r="F453" s="32">
        <f>F449*E453</f>
        <v>0.30964285714285716</v>
      </c>
      <c r="G453" s="34"/>
      <c r="H453" s="32"/>
      <c r="I453" s="33"/>
      <c r="J453" s="32"/>
      <c r="K453" s="33"/>
      <c r="L453" s="32"/>
      <c r="M453" s="32"/>
    </row>
    <row r="454" spans="1:13" ht="27" x14ac:dyDescent="0.25">
      <c r="A454" s="403">
        <v>7</v>
      </c>
      <c r="B454" s="20" t="s">
        <v>63</v>
      </c>
      <c r="C454" s="82" t="s">
        <v>64</v>
      </c>
      <c r="D454" s="212" t="s">
        <v>65</v>
      </c>
      <c r="E454" s="212"/>
      <c r="F454" s="213">
        <v>45</v>
      </c>
      <c r="G454" s="56"/>
      <c r="H454" s="57"/>
      <c r="I454" s="58"/>
      <c r="J454" s="59"/>
      <c r="K454" s="60"/>
      <c r="L454" s="60"/>
      <c r="M454" s="61"/>
    </row>
    <row r="455" spans="1:13" x14ac:dyDescent="0.25">
      <c r="A455" s="109"/>
      <c r="B455" s="20"/>
      <c r="C455" s="310" t="s">
        <v>183</v>
      </c>
      <c r="D455" s="311" t="s">
        <v>46</v>
      </c>
      <c r="E455" s="40">
        <v>0.47199999999999998</v>
      </c>
      <c r="F455" s="26">
        <f>E455*F454</f>
        <v>21.24</v>
      </c>
      <c r="G455" s="77"/>
      <c r="H455" s="26"/>
      <c r="I455" s="76"/>
      <c r="J455" s="26"/>
      <c r="K455" s="76"/>
      <c r="L455" s="26"/>
      <c r="M455" s="26"/>
    </row>
    <row r="456" spans="1:13" x14ac:dyDescent="0.25">
      <c r="A456" s="109"/>
      <c r="B456" s="29"/>
      <c r="C456" s="310" t="s">
        <v>184</v>
      </c>
      <c r="D456" s="311" t="s">
        <v>122</v>
      </c>
      <c r="E456" s="34">
        <v>3.0099999999999998E-2</v>
      </c>
      <c r="F456" s="32">
        <f>E456*F454</f>
        <v>1.3544999999999998</v>
      </c>
      <c r="G456" s="83"/>
      <c r="H456" s="26"/>
      <c r="I456" s="76"/>
      <c r="J456" s="26"/>
      <c r="K456" s="76"/>
      <c r="L456" s="26"/>
      <c r="M456" s="26"/>
    </row>
    <row r="457" spans="1:13" x14ac:dyDescent="0.25">
      <c r="A457" s="403">
        <v>8</v>
      </c>
      <c r="B457" s="376" t="s">
        <v>66</v>
      </c>
      <c r="C457" s="84" t="s">
        <v>67</v>
      </c>
      <c r="D457" s="36" t="s">
        <v>65</v>
      </c>
      <c r="E457" s="55"/>
      <c r="F457" s="36">
        <v>45</v>
      </c>
      <c r="G457" s="70"/>
      <c r="H457" s="85"/>
      <c r="I457" s="70"/>
      <c r="J457" s="85"/>
      <c r="K457" s="70"/>
      <c r="L457" s="85"/>
      <c r="M457" s="85"/>
    </row>
    <row r="458" spans="1:13" x14ac:dyDescent="0.25">
      <c r="A458" s="109"/>
      <c r="B458" s="377"/>
      <c r="C458" s="310" t="s">
        <v>183</v>
      </c>
      <c r="D458" s="311" t="s">
        <v>46</v>
      </c>
      <c r="E458" s="26">
        <f>0.71*1.15</f>
        <v>0.81649999999999989</v>
      </c>
      <c r="F458" s="77">
        <f>E458*F457</f>
        <v>36.742499999999993</v>
      </c>
      <c r="G458" s="86"/>
      <c r="H458" s="26"/>
      <c r="I458" s="76"/>
      <c r="J458" s="26"/>
      <c r="K458" s="76"/>
      <c r="L458" s="26"/>
      <c r="M458" s="26"/>
    </row>
    <row r="459" spans="1:13" x14ac:dyDescent="0.25">
      <c r="A459" s="109"/>
      <c r="B459" s="377"/>
      <c r="C459" s="310" t="s">
        <v>184</v>
      </c>
      <c r="D459" s="311" t="s">
        <v>122</v>
      </c>
      <c r="E459" s="87">
        <f>0.0301*1.25</f>
        <v>3.7624999999999999E-2</v>
      </c>
      <c r="F459" s="26">
        <f>E459*F457</f>
        <v>1.693125</v>
      </c>
      <c r="G459" s="40"/>
      <c r="H459" s="26"/>
      <c r="I459" s="76"/>
      <c r="J459" s="26"/>
      <c r="K459" s="76"/>
      <c r="L459" s="26"/>
      <c r="M459" s="26"/>
    </row>
    <row r="460" spans="1:13" ht="27" x14ac:dyDescent="0.25">
      <c r="A460" s="109"/>
      <c r="B460" s="377"/>
      <c r="C460" s="88" t="s">
        <v>469</v>
      </c>
      <c r="D460" s="47" t="s">
        <v>81</v>
      </c>
      <c r="E460" s="47">
        <v>1.0149999999999999</v>
      </c>
      <c r="F460" s="89">
        <f>E460*F457</f>
        <v>45.674999999999997</v>
      </c>
      <c r="G460" s="47"/>
      <c r="H460" s="89"/>
      <c r="I460" s="90"/>
      <c r="J460" s="91"/>
      <c r="K460" s="92"/>
      <c r="L460" s="89"/>
      <c r="M460" s="89"/>
    </row>
    <row r="461" spans="1:13" x14ac:dyDescent="0.25">
      <c r="A461" s="109"/>
      <c r="B461" s="378"/>
      <c r="C461" s="80" t="s">
        <v>62</v>
      </c>
      <c r="D461" s="34" t="s">
        <v>50</v>
      </c>
      <c r="E461" s="34">
        <v>0.107</v>
      </c>
      <c r="F461" s="32">
        <f>E461*F457</f>
        <v>4.8149999999999995</v>
      </c>
      <c r="G461" s="34"/>
      <c r="H461" s="32"/>
      <c r="I461" s="33"/>
      <c r="J461" s="32"/>
      <c r="K461" s="33"/>
      <c r="L461" s="32"/>
      <c r="M461" s="32"/>
    </row>
    <row r="462" spans="1:13" ht="27" x14ac:dyDescent="0.25">
      <c r="A462" s="403">
        <v>9</v>
      </c>
      <c r="B462" s="373" t="s">
        <v>70</v>
      </c>
      <c r="C462" s="94" t="s">
        <v>255</v>
      </c>
      <c r="D462" s="274" t="s">
        <v>65</v>
      </c>
      <c r="E462" s="35"/>
      <c r="F462" s="123">
        <v>89</v>
      </c>
      <c r="G462" s="56"/>
      <c r="H462" s="57"/>
      <c r="I462" s="58"/>
      <c r="J462" s="59"/>
      <c r="K462" s="60"/>
      <c r="L462" s="60"/>
      <c r="M462" s="61"/>
    </row>
    <row r="463" spans="1:13" x14ac:dyDescent="0.25">
      <c r="A463" s="109"/>
      <c r="B463" s="164"/>
      <c r="C463" s="310" t="s">
        <v>183</v>
      </c>
      <c r="D463" s="311" t="s">
        <v>46</v>
      </c>
      <c r="E463" s="47">
        <v>0.25800000000000001</v>
      </c>
      <c r="F463" s="89">
        <f>E463*F462</f>
        <v>22.962</v>
      </c>
      <c r="G463" s="91"/>
      <c r="H463" s="89"/>
      <c r="I463" s="92"/>
      <c r="J463" s="89"/>
      <c r="K463" s="92"/>
      <c r="L463" s="89"/>
      <c r="M463" s="89"/>
    </row>
    <row r="464" spans="1:13" x14ac:dyDescent="0.25">
      <c r="A464" s="115"/>
      <c r="B464" s="145"/>
      <c r="C464" s="310" t="s">
        <v>184</v>
      </c>
      <c r="D464" s="311" t="s">
        <v>122</v>
      </c>
      <c r="E464" s="146">
        <v>1.6000000000000001E-3</v>
      </c>
      <c r="F464" s="146">
        <f>E464*F462</f>
        <v>0.1424</v>
      </c>
      <c r="G464" s="146"/>
      <c r="H464" s="147"/>
      <c r="I464" s="148"/>
      <c r="J464" s="147"/>
      <c r="K464" s="148"/>
      <c r="L464" s="147"/>
      <c r="M464" s="147"/>
    </row>
    <row r="465" spans="1:13" ht="54" x14ac:dyDescent="0.25">
      <c r="A465" s="101">
        <v>10</v>
      </c>
      <c r="B465" s="778" t="s">
        <v>72</v>
      </c>
      <c r="C465" s="102" t="s">
        <v>210</v>
      </c>
      <c r="D465" s="103" t="s">
        <v>65</v>
      </c>
      <c r="E465" s="103"/>
      <c r="F465" s="104">
        <v>89</v>
      </c>
      <c r="G465" s="105"/>
      <c r="H465" s="106"/>
      <c r="I465" s="107"/>
      <c r="J465" s="106"/>
      <c r="K465" s="107"/>
      <c r="L465" s="106"/>
      <c r="M465" s="108"/>
    </row>
    <row r="466" spans="1:13" x14ac:dyDescent="0.25">
      <c r="A466" s="109"/>
      <c r="B466" s="771"/>
      <c r="C466" s="310" t="s">
        <v>183</v>
      </c>
      <c r="D466" s="311" t="s">
        <v>46</v>
      </c>
      <c r="E466" s="43">
        <f>0.658*1.15</f>
        <v>0.75669999999999993</v>
      </c>
      <c r="F466" s="43">
        <f>E466*F465</f>
        <v>67.346299999999999</v>
      </c>
      <c r="G466" s="86"/>
      <c r="H466" s="43"/>
      <c r="I466" s="110"/>
      <c r="J466" s="43"/>
      <c r="K466" s="110"/>
      <c r="L466" s="43"/>
      <c r="M466" s="75"/>
    </row>
    <row r="467" spans="1:13" x14ac:dyDescent="0.25">
      <c r="A467" s="109"/>
      <c r="B467" s="771"/>
      <c r="C467" s="310" t="s">
        <v>184</v>
      </c>
      <c r="D467" s="311" t="s">
        <v>122</v>
      </c>
      <c r="E467" s="111">
        <f>0.01*1.25</f>
        <v>1.2500000000000001E-2</v>
      </c>
      <c r="F467" s="43">
        <f>E467*F465</f>
        <v>1.1125</v>
      </c>
      <c r="G467" s="86"/>
      <c r="H467" s="43"/>
      <c r="I467" s="110"/>
      <c r="J467" s="43"/>
      <c r="K467" s="110"/>
      <c r="L467" s="43"/>
      <c r="M467" s="75"/>
    </row>
    <row r="468" spans="1:13" x14ac:dyDescent="0.25">
      <c r="A468" s="109"/>
      <c r="B468" s="86"/>
      <c r="C468" s="112" t="s">
        <v>74</v>
      </c>
      <c r="D468" s="86" t="s">
        <v>75</v>
      </c>
      <c r="E468" s="86">
        <v>0.24</v>
      </c>
      <c r="F468" s="43">
        <f>E468*F465</f>
        <v>21.36</v>
      </c>
      <c r="G468" s="86"/>
      <c r="H468" s="43"/>
      <c r="I468" s="113"/>
      <c r="J468" s="75"/>
      <c r="K468" s="110"/>
      <c r="L468" s="43"/>
      <c r="M468" s="75"/>
    </row>
    <row r="469" spans="1:13" x14ac:dyDescent="0.25">
      <c r="A469" s="109"/>
      <c r="B469" s="86"/>
      <c r="C469" s="112" t="s">
        <v>76</v>
      </c>
      <c r="D469" s="114" t="s">
        <v>75</v>
      </c>
      <c r="E469" s="114">
        <f>0.183+0.12+0.001</f>
        <v>0.30399999999999999</v>
      </c>
      <c r="F469" s="43">
        <f>E469*F465</f>
        <v>27.056000000000001</v>
      </c>
      <c r="G469" s="86"/>
      <c r="H469" s="43"/>
      <c r="I469" s="110"/>
      <c r="J469" s="75"/>
      <c r="K469" s="110"/>
      <c r="L469" s="43"/>
      <c r="M469" s="75"/>
    </row>
    <row r="470" spans="1:13" x14ac:dyDescent="0.25">
      <c r="A470" s="115"/>
      <c r="B470" s="50"/>
      <c r="C470" s="116" t="s">
        <v>77</v>
      </c>
      <c r="D470" s="50" t="s">
        <v>50</v>
      </c>
      <c r="E470" s="50">
        <v>1.6E-2</v>
      </c>
      <c r="F470" s="117">
        <f>E470*F465</f>
        <v>1.4239999999999999</v>
      </c>
      <c r="G470" s="50"/>
      <c r="H470" s="118"/>
      <c r="I470" s="119"/>
      <c r="J470" s="118"/>
      <c r="K470" s="119"/>
      <c r="L470" s="118"/>
      <c r="M470" s="120"/>
    </row>
    <row r="471" spans="1:13" ht="27" x14ac:dyDescent="0.25">
      <c r="A471" s="403">
        <v>11</v>
      </c>
      <c r="B471" s="373" t="s">
        <v>70</v>
      </c>
      <c r="C471" s="94" t="s">
        <v>255</v>
      </c>
      <c r="D471" s="274" t="s">
        <v>65</v>
      </c>
      <c r="E471" s="35"/>
      <c r="F471" s="123">
        <v>45</v>
      </c>
      <c r="G471" s="56"/>
      <c r="H471" s="57"/>
      <c r="I471" s="58"/>
      <c r="J471" s="59"/>
      <c r="K471" s="60"/>
      <c r="L471" s="60"/>
      <c r="M471" s="61"/>
    </row>
    <row r="472" spans="1:13" x14ac:dyDescent="0.25">
      <c r="A472" s="109"/>
      <c r="B472" s="164"/>
      <c r="C472" s="310" t="s">
        <v>183</v>
      </c>
      <c r="D472" s="311" t="s">
        <v>46</v>
      </c>
      <c r="E472" s="47">
        <v>0.25800000000000001</v>
      </c>
      <c r="F472" s="89">
        <f>E472*F471</f>
        <v>11.61</v>
      </c>
      <c r="G472" s="91"/>
      <c r="H472" s="89"/>
      <c r="I472" s="92"/>
      <c r="J472" s="89"/>
      <c r="K472" s="92"/>
      <c r="L472" s="89"/>
      <c r="M472" s="89"/>
    </row>
    <row r="473" spans="1:13" x14ac:dyDescent="0.25">
      <c r="A473" s="115"/>
      <c r="B473" s="145"/>
      <c r="C473" s="310" t="s">
        <v>184</v>
      </c>
      <c r="D473" s="311" t="s">
        <v>122</v>
      </c>
      <c r="E473" s="146">
        <v>1.6000000000000001E-3</v>
      </c>
      <c r="F473" s="146">
        <f>E473*F471</f>
        <v>7.2000000000000008E-2</v>
      </c>
      <c r="G473" s="146"/>
      <c r="H473" s="147"/>
      <c r="I473" s="148"/>
      <c r="J473" s="147"/>
      <c r="K473" s="148"/>
      <c r="L473" s="147"/>
      <c r="M473" s="147"/>
    </row>
    <row r="474" spans="1:13" ht="54" x14ac:dyDescent="0.25">
      <c r="A474" s="101">
        <v>12</v>
      </c>
      <c r="B474" s="778" t="s">
        <v>137</v>
      </c>
      <c r="C474" s="102" t="s">
        <v>138</v>
      </c>
      <c r="D474" s="103" t="s">
        <v>65</v>
      </c>
      <c r="E474" s="103"/>
      <c r="F474" s="104">
        <v>45</v>
      </c>
      <c r="G474" s="105"/>
      <c r="H474" s="106"/>
      <c r="I474" s="107"/>
      <c r="J474" s="106"/>
      <c r="K474" s="107"/>
      <c r="L474" s="106"/>
      <c r="M474" s="108"/>
    </row>
    <row r="475" spans="1:13" x14ac:dyDescent="0.25">
      <c r="A475" s="109"/>
      <c r="B475" s="771"/>
      <c r="C475" s="310" t="s">
        <v>183</v>
      </c>
      <c r="D475" s="311" t="s">
        <v>46</v>
      </c>
      <c r="E475" s="43">
        <f>0.856*1.15</f>
        <v>0.98439999999999994</v>
      </c>
      <c r="F475" s="43">
        <f>E475*F474</f>
        <v>44.297999999999995</v>
      </c>
      <c r="G475" s="86"/>
      <c r="H475" s="43"/>
      <c r="I475" s="110"/>
      <c r="J475" s="43"/>
      <c r="K475" s="110"/>
      <c r="L475" s="43"/>
      <c r="M475" s="75"/>
    </row>
    <row r="476" spans="1:13" x14ac:dyDescent="0.25">
      <c r="A476" s="109"/>
      <c r="B476" s="771"/>
      <c r="C476" s="310" t="s">
        <v>184</v>
      </c>
      <c r="D476" s="311" t="s">
        <v>122</v>
      </c>
      <c r="E476" s="111">
        <f>0.012*1.25</f>
        <v>1.4999999999999999E-2</v>
      </c>
      <c r="F476" s="43">
        <f>E476*F474</f>
        <v>0.67499999999999993</v>
      </c>
      <c r="G476" s="86"/>
      <c r="H476" s="43"/>
      <c r="I476" s="110"/>
      <c r="J476" s="43"/>
      <c r="K476" s="110"/>
      <c r="L476" s="43"/>
      <c r="M476" s="75"/>
    </row>
    <row r="477" spans="1:13" x14ac:dyDescent="0.25">
      <c r="A477" s="109"/>
      <c r="B477" s="86"/>
      <c r="C477" s="112" t="s">
        <v>139</v>
      </c>
      <c r="D477" s="86" t="s">
        <v>75</v>
      </c>
      <c r="E477" s="86">
        <v>0.24</v>
      </c>
      <c r="F477" s="43">
        <f>E477*F474</f>
        <v>10.799999999999999</v>
      </c>
      <c r="G477" s="86"/>
      <c r="H477" s="43"/>
      <c r="I477" s="113"/>
      <c r="J477" s="75"/>
      <c r="K477" s="110"/>
      <c r="L477" s="43"/>
      <c r="M477" s="75"/>
    </row>
    <row r="478" spans="1:13" x14ac:dyDescent="0.25">
      <c r="A478" s="109"/>
      <c r="B478" s="86"/>
      <c r="C478" s="112" t="s">
        <v>76</v>
      </c>
      <c r="D478" s="114" t="s">
        <v>75</v>
      </c>
      <c r="E478" s="114">
        <f>0.314</f>
        <v>0.314</v>
      </c>
      <c r="F478" s="43">
        <f>E478*F474</f>
        <v>14.13</v>
      </c>
      <c r="G478" s="86"/>
      <c r="H478" s="43"/>
      <c r="I478" s="110"/>
      <c r="J478" s="75"/>
      <c r="K478" s="110"/>
      <c r="L478" s="43"/>
      <c r="M478" s="75"/>
    </row>
    <row r="479" spans="1:13" x14ac:dyDescent="0.25">
      <c r="A479" s="115"/>
      <c r="B479" s="50"/>
      <c r="C479" s="116" t="s">
        <v>77</v>
      </c>
      <c r="D479" s="50" t="s">
        <v>50</v>
      </c>
      <c r="E479" s="50">
        <v>1.6E-2</v>
      </c>
      <c r="F479" s="117">
        <f>E479*F474</f>
        <v>0.72</v>
      </c>
      <c r="G479" s="50"/>
      <c r="H479" s="118"/>
      <c r="I479" s="119"/>
      <c r="J479" s="118"/>
      <c r="K479" s="119"/>
      <c r="L479" s="118"/>
      <c r="M479" s="120"/>
    </row>
    <row r="480" spans="1:13" ht="54" x14ac:dyDescent="0.25">
      <c r="A480" s="121">
        <v>13</v>
      </c>
      <c r="B480" s="768" t="s">
        <v>256</v>
      </c>
      <c r="C480" s="69" t="s">
        <v>257</v>
      </c>
      <c r="D480" s="36" t="s">
        <v>44</v>
      </c>
      <c r="E480" s="36"/>
      <c r="F480" s="123">
        <v>22</v>
      </c>
      <c r="G480" s="179"/>
      <c r="H480" s="57"/>
      <c r="I480" s="57"/>
      <c r="J480" s="57"/>
      <c r="K480" s="57"/>
      <c r="L480" s="57"/>
      <c r="M480" s="57"/>
    </row>
    <row r="481" spans="1:13" x14ac:dyDescent="0.25">
      <c r="A481" s="132"/>
      <c r="B481" s="769"/>
      <c r="C481" s="310" t="s">
        <v>183</v>
      </c>
      <c r="D481" s="311" t="s">
        <v>46</v>
      </c>
      <c r="E481" s="40">
        <v>0.8</v>
      </c>
      <c r="F481" s="26">
        <f>E481*F480</f>
        <v>17.600000000000001</v>
      </c>
      <c r="G481" s="40"/>
      <c r="H481" s="26"/>
      <c r="I481" s="76"/>
      <c r="J481" s="26"/>
      <c r="K481" s="76"/>
      <c r="L481" s="26"/>
      <c r="M481" s="26"/>
    </row>
    <row r="482" spans="1:13" ht="27" x14ac:dyDescent="0.25">
      <c r="A482" s="132"/>
      <c r="B482" s="769"/>
      <c r="C482" s="74" t="s">
        <v>258</v>
      </c>
      <c r="D482" s="40" t="s">
        <v>259</v>
      </c>
      <c r="E482" s="40">
        <v>1</v>
      </c>
      <c r="F482" s="26">
        <f>E482*F480</f>
        <v>22</v>
      </c>
      <c r="G482" s="40"/>
      <c r="H482" s="387"/>
      <c r="I482" s="388"/>
      <c r="J482" s="26"/>
      <c r="K482" s="389"/>
      <c r="L482" s="26"/>
      <c r="M482" s="77"/>
    </row>
    <row r="483" spans="1:13" x14ac:dyDescent="0.25">
      <c r="A483" s="132"/>
      <c r="B483" s="777"/>
      <c r="C483" s="80" t="s">
        <v>77</v>
      </c>
      <c r="D483" s="34" t="s">
        <v>50</v>
      </c>
      <c r="E483" s="34">
        <v>0.2</v>
      </c>
      <c r="F483" s="81">
        <f>E483*F480</f>
        <v>4.4000000000000004</v>
      </c>
      <c r="G483" s="34"/>
      <c r="H483" s="390"/>
      <c r="I483" s="391"/>
      <c r="J483" s="32"/>
      <c r="K483" s="392"/>
      <c r="L483" s="32"/>
      <c r="M483" s="128"/>
    </row>
    <row r="484" spans="1:13" ht="40.5" x14ac:dyDescent="0.25">
      <c r="A484" s="121">
        <v>14</v>
      </c>
      <c r="B484" s="768" t="s">
        <v>256</v>
      </c>
      <c r="C484" s="69" t="s">
        <v>260</v>
      </c>
      <c r="D484" s="36" t="s">
        <v>44</v>
      </c>
      <c r="E484" s="36"/>
      <c r="F484" s="123">
        <v>4</v>
      </c>
      <c r="G484" s="179"/>
      <c r="H484" s="57"/>
      <c r="I484" s="57"/>
      <c r="J484" s="57"/>
      <c r="K484" s="57"/>
      <c r="L484" s="57"/>
      <c r="M484" s="57"/>
    </row>
    <row r="485" spans="1:13" x14ac:dyDescent="0.25">
      <c r="A485" s="132"/>
      <c r="B485" s="769"/>
      <c r="C485" s="310" t="s">
        <v>183</v>
      </c>
      <c r="D485" s="311" t="s">
        <v>46</v>
      </c>
      <c r="E485" s="40">
        <v>0.8</v>
      </c>
      <c r="F485" s="26">
        <f>E485*F484</f>
        <v>3.2</v>
      </c>
      <c r="G485" s="40"/>
      <c r="H485" s="26"/>
      <c r="I485" s="76"/>
      <c r="J485" s="26"/>
      <c r="K485" s="76"/>
      <c r="L485" s="26"/>
      <c r="M485" s="26"/>
    </row>
    <row r="486" spans="1:13" ht="27" x14ac:dyDescent="0.25">
      <c r="A486" s="132"/>
      <c r="B486" s="769"/>
      <c r="C486" s="74" t="s">
        <v>258</v>
      </c>
      <c r="D486" s="40" t="s">
        <v>259</v>
      </c>
      <c r="E486" s="40">
        <v>1</v>
      </c>
      <c r="F486" s="26">
        <f>E486*F484</f>
        <v>4</v>
      </c>
      <c r="G486" s="40"/>
      <c r="H486" s="387"/>
      <c r="I486" s="388"/>
      <c r="J486" s="26"/>
      <c r="K486" s="389"/>
      <c r="L486" s="26"/>
      <c r="M486" s="77"/>
    </row>
    <row r="487" spans="1:13" x14ac:dyDescent="0.25">
      <c r="A487" s="132"/>
      <c r="B487" s="777"/>
      <c r="C487" s="80" t="s">
        <v>77</v>
      </c>
      <c r="D487" s="34" t="s">
        <v>50</v>
      </c>
      <c r="E487" s="34">
        <v>0.2</v>
      </c>
      <c r="F487" s="32">
        <f>E487*F484</f>
        <v>0.8</v>
      </c>
      <c r="G487" s="34"/>
      <c r="H487" s="390"/>
      <c r="I487" s="391"/>
      <c r="J487" s="32"/>
      <c r="K487" s="392"/>
      <c r="L487" s="32"/>
      <c r="M487" s="128"/>
    </row>
    <row r="488" spans="1:13" ht="40.5" x14ac:dyDescent="0.25">
      <c r="A488" s="684">
        <v>15</v>
      </c>
      <c r="B488" s="53" t="s">
        <v>53</v>
      </c>
      <c r="C488" s="54" t="s">
        <v>261</v>
      </c>
      <c r="D488" s="36" t="s">
        <v>55</v>
      </c>
      <c r="E488" s="35"/>
      <c r="F488" s="55">
        <v>120</v>
      </c>
      <c r="G488" s="56"/>
      <c r="H488" s="57"/>
      <c r="I488" s="58"/>
      <c r="J488" s="59"/>
      <c r="K488" s="60"/>
      <c r="L488" s="60"/>
      <c r="M488" s="61"/>
    </row>
    <row r="489" spans="1:13" ht="15.75" x14ac:dyDescent="0.25">
      <c r="A489" s="143"/>
      <c r="B489" s="62"/>
      <c r="C489" s="63" t="s">
        <v>56</v>
      </c>
      <c r="D489" s="64" t="s">
        <v>49</v>
      </c>
      <c r="E489" s="65">
        <v>0.32800000000000001</v>
      </c>
      <c r="F489" s="66">
        <f>E489*F488</f>
        <v>39.36</v>
      </c>
      <c r="G489" s="34"/>
      <c r="H489" s="32"/>
      <c r="I489" s="33"/>
      <c r="J489" s="32"/>
      <c r="K489" s="33"/>
      <c r="L489" s="32"/>
      <c r="M489" s="32"/>
    </row>
    <row r="490" spans="1:13" ht="40.5" x14ac:dyDescent="0.25">
      <c r="A490" s="403">
        <v>16</v>
      </c>
      <c r="B490" s="68" t="s">
        <v>57</v>
      </c>
      <c r="C490" s="21" t="s">
        <v>262</v>
      </c>
      <c r="D490" s="36" t="s">
        <v>58</v>
      </c>
      <c r="E490" s="55"/>
      <c r="F490" s="36">
        <v>120</v>
      </c>
      <c r="G490" s="70"/>
      <c r="H490" s="71"/>
      <c r="I490" s="70"/>
      <c r="J490" s="71"/>
      <c r="K490" s="70"/>
      <c r="L490" s="71"/>
      <c r="M490" s="71"/>
    </row>
    <row r="491" spans="1:13" x14ac:dyDescent="0.25">
      <c r="A491" s="109"/>
      <c r="B491" s="73"/>
      <c r="C491" s="310" t="s">
        <v>183</v>
      </c>
      <c r="D491" s="311" t="s">
        <v>46</v>
      </c>
      <c r="E491" s="26">
        <f>1.12*1.15/1.4</f>
        <v>0.92</v>
      </c>
      <c r="F491" s="26">
        <f>F490*E491</f>
        <v>110.4</v>
      </c>
      <c r="G491" s="75"/>
      <c r="H491" s="26"/>
      <c r="I491" s="76"/>
      <c r="J491" s="26"/>
      <c r="K491" s="76"/>
      <c r="L491" s="26"/>
      <c r="M491" s="77"/>
    </row>
    <row r="492" spans="1:13" ht="27" x14ac:dyDescent="0.25">
      <c r="A492" s="109"/>
      <c r="B492" s="122"/>
      <c r="C492" s="88" t="s">
        <v>263</v>
      </c>
      <c r="D492" s="47" t="s">
        <v>81</v>
      </c>
      <c r="E492" s="47">
        <v>0.21</v>
      </c>
      <c r="F492" s="89">
        <f>F490*E492</f>
        <v>25.2</v>
      </c>
      <c r="G492" s="47"/>
      <c r="H492" s="89"/>
      <c r="I492" s="91"/>
      <c r="J492" s="91"/>
      <c r="K492" s="92"/>
      <c r="L492" s="89"/>
      <c r="M492" s="91"/>
    </row>
    <row r="493" spans="1:13" x14ac:dyDescent="0.25">
      <c r="A493" s="115"/>
      <c r="B493" s="79"/>
      <c r="C493" s="80" t="s">
        <v>62</v>
      </c>
      <c r="D493" s="34" t="s">
        <v>50</v>
      </c>
      <c r="E493" s="81">
        <f>0.085/1.4</f>
        <v>6.0714285714285721E-2</v>
      </c>
      <c r="F493" s="32">
        <f>F490*E493</f>
        <v>7.2857142857142865</v>
      </c>
      <c r="G493" s="34"/>
      <c r="H493" s="32"/>
      <c r="I493" s="33"/>
      <c r="J493" s="32"/>
      <c r="K493" s="33"/>
      <c r="L493" s="32"/>
      <c r="M493" s="32"/>
    </row>
    <row r="494" spans="1:13" ht="15.75" x14ac:dyDescent="0.25">
      <c r="A494" s="682"/>
      <c r="B494" s="16"/>
      <c r="C494" s="178" t="s">
        <v>264</v>
      </c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27" x14ac:dyDescent="0.25">
      <c r="A495" s="403">
        <v>1</v>
      </c>
      <c r="B495" s="373" t="s">
        <v>70</v>
      </c>
      <c r="C495" s="94" t="s">
        <v>230</v>
      </c>
      <c r="D495" s="274" t="s">
        <v>65</v>
      </c>
      <c r="E495" s="35"/>
      <c r="F495" s="123">
        <v>45</v>
      </c>
      <c r="G495" s="56"/>
      <c r="H495" s="57"/>
      <c r="I495" s="58"/>
      <c r="J495" s="59"/>
      <c r="K495" s="60"/>
      <c r="L495" s="60"/>
      <c r="M495" s="61"/>
    </row>
    <row r="496" spans="1:13" x14ac:dyDescent="0.25">
      <c r="A496" s="109"/>
      <c r="B496" s="164"/>
      <c r="C496" s="310" t="s">
        <v>183</v>
      </c>
      <c r="D496" s="311" t="s">
        <v>46</v>
      </c>
      <c r="E496" s="47">
        <v>0.25800000000000001</v>
      </c>
      <c r="F496" s="89">
        <f>E496*F495</f>
        <v>11.61</v>
      </c>
      <c r="G496" s="91"/>
      <c r="H496" s="89"/>
      <c r="I496" s="92"/>
      <c r="J496" s="89"/>
      <c r="K496" s="92"/>
      <c r="L496" s="89"/>
      <c r="M496" s="89"/>
    </row>
    <row r="497" spans="1:13" x14ac:dyDescent="0.25">
      <c r="A497" s="115"/>
      <c r="B497" s="145"/>
      <c r="C497" s="310" t="s">
        <v>184</v>
      </c>
      <c r="D497" s="311" t="s">
        <v>122</v>
      </c>
      <c r="E497" s="146">
        <v>1.6000000000000001E-3</v>
      </c>
      <c r="F497" s="146">
        <f>E497*F495</f>
        <v>7.2000000000000008E-2</v>
      </c>
      <c r="G497" s="146"/>
      <c r="H497" s="147"/>
      <c r="I497" s="148"/>
      <c r="J497" s="147"/>
      <c r="K497" s="148"/>
      <c r="L497" s="147"/>
      <c r="M497" s="147"/>
    </row>
    <row r="498" spans="1:13" ht="40.5" x14ac:dyDescent="0.25">
      <c r="A498" s="403">
        <v>2</v>
      </c>
      <c r="B498" s="393" t="s">
        <v>265</v>
      </c>
      <c r="C498" s="69" t="s">
        <v>266</v>
      </c>
      <c r="D498" s="36" t="s">
        <v>65</v>
      </c>
      <c r="E498" s="55"/>
      <c r="F498" s="364">
        <v>45</v>
      </c>
      <c r="G498" s="179"/>
      <c r="H498" s="57"/>
      <c r="I498" s="180"/>
      <c r="J498" s="57"/>
      <c r="K498" s="180"/>
      <c r="L498" s="57"/>
      <c r="M498" s="181"/>
    </row>
    <row r="499" spans="1:13" x14ac:dyDescent="0.25">
      <c r="A499" s="109"/>
      <c r="B499" s="394"/>
      <c r="C499" s="310" t="s">
        <v>183</v>
      </c>
      <c r="D499" s="311" t="s">
        <v>46</v>
      </c>
      <c r="E499" s="26">
        <v>1.069</v>
      </c>
      <c r="F499" s="26">
        <f>E499*F498</f>
        <v>48.104999999999997</v>
      </c>
      <c r="G499" s="40"/>
      <c r="H499" s="26"/>
      <c r="I499" s="76"/>
      <c r="J499" s="26"/>
      <c r="K499" s="76"/>
      <c r="L499" s="26"/>
      <c r="M499" s="26"/>
    </row>
    <row r="500" spans="1:13" x14ac:dyDescent="0.25">
      <c r="A500" s="109"/>
      <c r="B500" s="394"/>
      <c r="C500" s="310" t="s">
        <v>184</v>
      </c>
      <c r="D500" s="311" t="s">
        <v>122</v>
      </c>
      <c r="E500" s="40">
        <v>2.4199999999999999E-2</v>
      </c>
      <c r="F500" s="26">
        <f>E500*F498</f>
        <v>1.089</v>
      </c>
      <c r="G500" s="40"/>
      <c r="H500" s="26"/>
      <c r="I500" s="76"/>
      <c r="J500" s="26"/>
      <c r="K500" s="76"/>
      <c r="L500" s="26"/>
      <c r="M500" s="26"/>
    </row>
    <row r="501" spans="1:13" x14ac:dyDescent="0.25">
      <c r="A501" s="109"/>
      <c r="B501" s="395"/>
      <c r="C501" s="74" t="s">
        <v>267</v>
      </c>
      <c r="D501" s="40" t="s">
        <v>170</v>
      </c>
      <c r="E501" s="155">
        <v>2.5499999999999998E-2</v>
      </c>
      <c r="F501" s="26">
        <f>E501*F498</f>
        <v>1.1475</v>
      </c>
      <c r="G501" s="34"/>
      <c r="H501" s="32"/>
      <c r="I501" s="33"/>
      <c r="J501" s="128"/>
      <c r="K501" s="128"/>
      <c r="L501" s="128"/>
      <c r="M501" s="128"/>
    </row>
    <row r="502" spans="1:13" ht="27.75" customHeight="1" x14ac:dyDescent="0.25">
      <c r="A502" s="403">
        <v>3</v>
      </c>
      <c r="B502" s="778" t="s">
        <v>268</v>
      </c>
      <c r="C502" s="84" t="s">
        <v>269</v>
      </c>
      <c r="D502" s="36" t="s">
        <v>65</v>
      </c>
      <c r="E502" s="55"/>
      <c r="F502" s="364">
        <v>45</v>
      </c>
      <c r="G502" s="179"/>
      <c r="H502" s="57"/>
      <c r="I502" s="180"/>
      <c r="J502" s="57"/>
      <c r="K502" s="180"/>
      <c r="L502" s="57"/>
      <c r="M502" s="181"/>
    </row>
    <row r="503" spans="1:13" x14ac:dyDescent="0.25">
      <c r="A503" s="109"/>
      <c r="B503" s="771"/>
      <c r="C503" s="310" t="s">
        <v>183</v>
      </c>
      <c r="D503" s="311" t="s">
        <v>46</v>
      </c>
      <c r="E503" s="26">
        <v>0.28699999999999998</v>
      </c>
      <c r="F503" s="26">
        <f>E503*F502</f>
        <v>12.914999999999999</v>
      </c>
      <c r="G503" s="40"/>
      <c r="H503" s="77"/>
      <c r="I503" s="76"/>
      <c r="J503" s="26"/>
      <c r="K503" s="76"/>
      <c r="L503" s="26"/>
      <c r="M503" s="77"/>
    </row>
    <row r="504" spans="1:13" x14ac:dyDescent="0.25">
      <c r="A504" s="109"/>
      <c r="B504" s="771"/>
      <c r="C504" s="310" t="s">
        <v>184</v>
      </c>
      <c r="D504" s="311" t="s">
        <v>122</v>
      </c>
      <c r="E504" s="40">
        <v>0.1</v>
      </c>
      <c r="F504" s="26">
        <f>E504*F502</f>
        <v>4.5</v>
      </c>
      <c r="G504" s="40"/>
      <c r="H504" s="26"/>
      <c r="I504" s="76"/>
      <c r="J504" s="26"/>
      <c r="K504" s="76"/>
      <c r="L504" s="77"/>
      <c r="M504" s="26"/>
    </row>
    <row r="505" spans="1:13" x14ac:dyDescent="0.25">
      <c r="A505" s="109"/>
      <c r="B505" s="771"/>
      <c r="C505" s="74" t="s">
        <v>270</v>
      </c>
      <c r="D505" s="40" t="s">
        <v>75</v>
      </c>
      <c r="E505" s="40">
        <v>3.96</v>
      </c>
      <c r="F505" s="77">
        <f>E505*F502</f>
        <v>178.2</v>
      </c>
      <c r="G505" s="40"/>
      <c r="H505" s="26"/>
      <c r="I505" s="76"/>
      <c r="J505" s="77"/>
      <c r="K505" s="77"/>
      <c r="L505" s="77"/>
      <c r="M505" s="77"/>
    </row>
    <row r="506" spans="1:13" x14ac:dyDescent="0.25">
      <c r="A506" s="109"/>
      <c r="B506" s="771"/>
      <c r="C506" s="74" t="s">
        <v>271</v>
      </c>
      <c r="D506" s="40" t="s">
        <v>75</v>
      </c>
      <c r="E506" s="40">
        <v>0.15</v>
      </c>
      <c r="F506" s="26">
        <f>E506*F502</f>
        <v>6.75</v>
      </c>
      <c r="G506" s="40"/>
      <c r="H506" s="26"/>
      <c r="I506" s="76"/>
      <c r="J506" s="77"/>
      <c r="K506" s="77"/>
      <c r="L506" s="77"/>
      <c r="M506" s="77"/>
    </row>
    <row r="507" spans="1:13" x14ac:dyDescent="0.25">
      <c r="A507" s="109"/>
      <c r="B507" s="20"/>
      <c r="C507" s="80" t="s">
        <v>77</v>
      </c>
      <c r="D507" s="34" t="s">
        <v>50</v>
      </c>
      <c r="E507" s="34">
        <v>4.1999999999999997E-3</v>
      </c>
      <c r="F507" s="269">
        <f>E507*F502</f>
        <v>0.189</v>
      </c>
      <c r="G507" s="40"/>
      <c r="H507" s="26"/>
      <c r="I507" s="76"/>
      <c r="J507" s="26"/>
      <c r="K507" s="76"/>
      <c r="L507" s="26"/>
      <c r="M507" s="26"/>
    </row>
    <row r="508" spans="1:13" ht="67.5" x14ac:dyDescent="0.25">
      <c r="A508" s="266">
        <v>4</v>
      </c>
      <c r="B508" s="396" t="s">
        <v>272</v>
      </c>
      <c r="C508" s="168" t="s">
        <v>273</v>
      </c>
      <c r="D508" s="47" t="s">
        <v>60</v>
      </c>
      <c r="E508" s="132"/>
      <c r="F508" s="397">
        <v>460</v>
      </c>
      <c r="G508" s="398"/>
      <c r="H508" s="399"/>
      <c r="I508" s="398"/>
      <c r="J508" s="399"/>
      <c r="K508" s="398"/>
      <c r="L508" s="399"/>
      <c r="M508" s="399"/>
    </row>
    <row r="509" spans="1:13" x14ac:dyDescent="0.25">
      <c r="A509" s="166"/>
      <c r="B509" s="132"/>
      <c r="C509" s="310" t="s">
        <v>183</v>
      </c>
      <c r="D509" s="311" t="s">
        <v>46</v>
      </c>
      <c r="E509" s="401">
        <v>1</v>
      </c>
      <c r="F509" s="44">
        <f>E509*F508</f>
        <v>460</v>
      </c>
      <c r="G509" s="91"/>
      <c r="H509" s="91"/>
      <c r="I509" s="91"/>
      <c r="J509" s="91"/>
      <c r="K509" s="91"/>
      <c r="L509" s="91"/>
      <c r="M509" s="91"/>
    </row>
    <row r="510" spans="1:13" x14ac:dyDescent="0.25">
      <c r="A510" s="109"/>
      <c r="B510" s="167"/>
      <c r="C510" s="310" t="s">
        <v>184</v>
      </c>
      <c r="D510" s="311" t="s">
        <v>122</v>
      </c>
      <c r="E510" s="40">
        <f>0.0006*1.25</f>
        <v>7.4999999999999991E-4</v>
      </c>
      <c r="F510" s="26">
        <f>E510*F508</f>
        <v>0.34499999999999997</v>
      </c>
      <c r="G510" s="40"/>
      <c r="H510" s="26"/>
      <c r="I510" s="76"/>
      <c r="J510" s="26"/>
      <c r="K510" s="76"/>
      <c r="L510" s="26"/>
      <c r="M510" s="26"/>
    </row>
    <row r="511" spans="1:13" ht="32.25" customHeight="1" x14ac:dyDescent="0.25">
      <c r="A511" s="166"/>
      <c r="B511" s="167"/>
      <c r="C511" s="675" t="s">
        <v>494</v>
      </c>
      <c r="D511" s="167" t="s">
        <v>75</v>
      </c>
      <c r="E511" s="20">
        <v>0.45</v>
      </c>
      <c r="F511" s="402">
        <f>E511*F508</f>
        <v>207</v>
      </c>
      <c r="G511" s="40"/>
      <c r="H511" s="26"/>
      <c r="I511" s="76"/>
      <c r="J511" s="26"/>
      <c r="K511" s="76"/>
      <c r="L511" s="26"/>
      <c r="M511" s="26"/>
    </row>
    <row r="512" spans="1:13" x14ac:dyDescent="0.25">
      <c r="A512" s="174"/>
      <c r="B512" s="175"/>
      <c r="C512" s="176" t="s">
        <v>106</v>
      </c>
      <c r="D512" s="175" t="s">
        <v>50</v>
      </c>
      <c r="E512" s="29">
        <v>1.2999999999999999E-3</v>
      </c>
      <c r="F512" s="33">
        <f>E512*F508</f>
        <v>0.59799999999999998</v>
      </c>
      <c r="G512" s="34"/>
      <c r="H512" s="32"/>
      <c r="I512" s="32"/>
      <c r="J512" s="32"/>
      <c r="K512" s="33"/>
      <c r="L512" s="32"/>
      <c r="M512" s="128"/>
    </row>
    <row r="513" spans="1:13" ht="40.5" x14ac:dyDescent="0.25">
      <c r="A513" s="403">
        <v>5</v>
      </c>
      <c r="B513" s="404" t="s">
        <v>274</v>
      </c>
      <c r="C513" s="54" t="s">
        <v>275</v>
      </c>
      <c r="D513" s="36" t="s">
        <v>65</v>
      </c>
      <c r="E513" s="35"/>
      <c r="F513" s="364">
        <v>25</v>
      </c>
      <c r="G513" s="124"/>
      <c r="H513" s="405"/>
      <c r="I513" s="153"/>
      <c r="J513" s="405"/>
      <c r="K513" s="153"/>
      <c r="L513" s="405"/>
      <c r="M513" s="124"/>
    </row>
    <row r="514" spans="1:13" x14ac:dyDescent="0.25">
      <c r="A514" s="109"/>
      <c r="B514" s="97"/>
      <c r="C514" s="310" t="s">
        <v>183</v>
      </c>
      <c r="D514" s="311" t="s">
        <v>46</v>
      </c>
      <c r="E514" s="47">
        <v>0.51600000000000001</v>
      </c>
      <c r="F514" s="89">
        <f>E514*F513</f>
        <v>12.9</v>
      </c>
      <c r="G514" s="40"/>
      <c r="H514" s="89"/>
      <c r="I514" s="92"/>
      <c r="J514" s="89"/>
      <c r="K514" s="92"/>
      <c r="L514" s="89"/>
      <c r="M514" s="89"/>
    </row>
    <row r="515" spans="1:13" x14ac:dyDescent="0.25">
      <c r="A515" s="115"/>
      <c r="B515" s="64"/>
      <c r="C515" s="310" t="s">
        <v>184</v>
      </c>
      <c r="D515" s="311" t="s">
        <v>122</v>
      </c>
      <c r="E515" s="146">
        <v>0.104</v>
      </c>
      <c r="F515" s="147">
        <f>E515*F513</f>
        <v>2.6</v>
      </c>
      <c r="G515" s="146"/>
      <c r="H515" s="147"/>
      <c r="I515" s="148"/>
      <c r="J515" s="147"/>
      <c r="K515" s="148"/>
      <c r="L515" s="147"/>
      <c r="M515" s="147"/>
    </row>
    <row r="516" spans="1:13" ht="67.5" x14ac:dyDescent="0.25">
      <c r="A516" s="403">
        <v>6</v>
      </c>
      <c r="B516" s="283" t="s">
        <v>276</v>
      </c>
      <c r="C516" s="69" t="s">
        <v>277</v>
      </c>
      <c r="D516" s="36" t="s">
        <v>65</v>
      </c>
      <c r="E516" s="55"/>
      <c r="F516" s="36">
        <v>25</v>
      </c>
      <c r="G516" s="179"/>
      <c r="H516" s="57"/>
      <c r="I516" s="180"/>
      <c r="J516" s="57"/>
      <c r="K516" s="180"/>
      <c r="L516" s="57"/>
      <c r="M516" s="181"/>
    </row>
    <row r="517" spans="1:13" x14ac:dyDescent="0.25">
      <c r="A517" s="109"/>
      <c r="B517" s="132"/>
      <c r="C517" s="310" t="s">
        <v>183</v>
      </c>
      <c r="D517" s="311" t="s">
        <v>46</v>
      </c>
      <c r="E517" s="406">
        <f>1.53*1.15</f>
        <v>1.7594999999999998</v>
      </c>
      <c r="F517" s="91">
        <f>F516*E517</f>
        <v>43.987499999999997</v>
      </c>
      <c r="G517" s="47"/>
      <c r="H517" s="91"/>
      <c r="I517" s="92"/>
      <c r="J517" s="89"/>
      <c r="K517" s="92"/>
      <c r="L517" s="89"/>
      <c r="M517" s="91"/>
    </row>
    <row r="518" spans="1:13" x14ac:dyDescent="0.25">
      <c r="A518" s="109"/>
      <c r="B518" s="20"/>
      <c r="C518" s="310" t="s">
        <v>184</v>
      </c>
      <c r="D518" s="311" t="s">
        <v>122</v>
      </c>
      <c r="E518" s="269">
        <f>0.0311*1.25</f>
        <v>3.8875E-2</v>
      </c>
      <c r="F518" s="26">
        <f>F516*E518</f>
        <v>0.97187500000000004</v>
      </c>
      <c r="G518" s="40"/>
      <c r="H518" s="26"/>
      <c r="I518" s="76"/>
      <c r="J518" s="26"/>
      <c r="K518" s="76"/>
      <c r="L518" s="26"/>
      <c r="M518" s="77"/>
    </row>
    <row r="519" spans="1:13" ht="27" x14ac:dyDescent="0.25">
      <c r="A519" s="109"/>
      <c r="B519" s="20"/>
      <c r="C519" s="74" t="s">
        <v>278</v>
      </c>
      <c r="D519" s="40" t="s">
        <v>65</v>
      </c>
      <c r="E519" s="40">
        <v>1.05</v>
      </c>
      <c r="F519" s="26">
        <f>F516*E519</f>
        <v>26.25</v>
      </c>
      <c r="G519" s="40"/>
      <c r="H519" s="26"/>
      <c r="I519" s="76"/>
      <c r="J519" s="26"/>
      <c r="K519" s="76"/>
      <c r="L519" s="26"/>
      <c r="M519" s="77"/>
    </row>
    <row r="520" spans="1:13" x14ac:dyDescent="0.25">
      <c r="A520" s="109"/>
      <c r="B520" s="29"/>
      <c r="C520" s="80" t="s">
        <v>279</v>
      </c>
      <c r="D520" s="34" t="s">
        <v>50</v>
      </c>
      <c r="E520" s="40">
        <v>3.4000000000000002E-2</v>
      </c>
      <c r="F520" s="269">
        <f>F516*E520</f>
        <v>0.85000000000000009</v>
      </c>
      <c r="G520" s="40"/>
      <c r="H520" s="26"/>
      <c r="I520" s="76"/>
      <c r="J520" s="26"/>
      <c r="K520" s="76"/>
      <c r="L520" s="26"/>
      <c r="M520" s="77"/>
    </row>
    <row r="521" spans="1:13" ht="40.5" x14ac:dyDescent="0.25">
      <c r="A521" s="403">
        <v>7</v>
      </c>
      <c r="B521" s="373" t="s">
        <v>70</v>
      </c>
      <c r="C521" s="94" t="s">
        <v>280</v>
      </c>
      <c r="D521" s="274" t="s">
        <v>65</v>
      </c>
      <c r="E521" s="35"/>
      <c r="F521" s="123">
        <v>270</v>
      </c>
      <c r="G521" s="56"/>
      <c r="H521" s="57"/>
      <c r="I521" s="58"/>
      <c r="J521" s="59"/>
      <c r="K521" s="60"/>
      <c r="L521" s="60"/>
      <c r="M521" s="61"/>
    </row>
    <row r="522" spans="1:13" x14ac:dyDescent="0.25">
      <c r="A522" s="109"/>
      <c r="B522" s="164"/>
      <c r="C522" s="310" t="s">
        <v>183</v>
      </c>
      <c r="D522" s="311" t="s">
        <v>46</v>
      </c>
      <c r="E522" s="47">
        <v>0.25800000000000001</v>
      </c>
      <c r="F522" s="89">
        <f>E522*F521</f>
        <v>69.66</v>
      </c>
      <c r="G522" s="91"/>
      <c r="H522" s="89"/>
      <c r="I522" s="92"/>
      <c r="J522" s="89"/>
      <c r="K522" s="92"/>
      <c r="L522" s="89"/>
      <c r="M522" s="89"/>
    </row>
    <row r="523" spans="1:13" x14ac:dyDescent="0.25">
      <c r="A523" s="115"/>
      <c r="B523" s="145"/>
      <c r="C523" s="310" t="s">
        <v>184</v>
      </c>
      <c r="D523" s="311" t="s">
        <v>122</v>
      </c>
      <c r="E523" s="146">
        <v>1.6000000000000001E-3</v>
      </c>
      <c r="F523" s="146">
        <f>E523*F521</f>
        <v>0.432</v>
      </c>
      <c r="G523" s="146"/>
      <c r="H523" s="147"/>
      <c r="I523" s="148"/>
      <c r="J523" s="147"/>
      <c r="K523" s="148"/>
      <c r="L523" s="147"/>
      <c r="M523" s="147"/>
    </row>
    <row r="524" spans="1:13" ht="45" x14ac:dyDescent="0.25">
      <c r="A524" s="191">
        <v>8</v>
      </c>
      <c r="B524" s="779" t="s">
        <v>200</v>
      </c>
      <c r="C524" s="192" t="s">
        <v>201</v>
      </c>
      <c r="D524" s="366" t="s">
        <v>81</v>
      </c>
      <c r="E524" s="194"/>
      <c r="F524" s="407">
        <v>295</v>
      </c>
      <c r="G524" s="195"/>
      <c r="H524" s="196"/>
      <c r="I524" s="197"/>
      <c r="J524" s="196"/>
      <c r="K524" s="197"/>
      <c r="L524" s="196"/>
      <c r="M524" s="198"/>
    </row>
    <row r="525" spans="1:13" ht="15.75" x14ac:dyDescent="0.3">
      <c r="A525" s="199"/>
      <c r="B525" s="780"/>
      <c r="C525" s="200" t="s">
        <v>202</v>
      </c>
      <c r="D525" s="368" t="s">
        <v>203</v>
      </c>
      <c r="E525" s="369">
        <f>0.749</f>
        <v>0.749</v>
      </c>
      <c r="F525" s="371">
        <f>E525*F524</f>
        <v>220.95500000000001</v>
      </c>
      <c r="G525" s="371"/>
      <c r="H525" s="371"/>
      <c r="I525" s="371"/>
      <c r="J525" s="371"/>
      <c r="K525" s="371"/>
      <c r="L525" s="371"/>
      <c r="M525" s="371"/>
    </row>
    <row r="526" spans="1:13" x14ac:dyDescent="0.25">
      <c r="A526" s="199"/>
      <c r="B526" s="780"/>
      <c r="C526" s="200" t="s">
        <v>204</v>
      </c>
      <c r="D526" s="370" t="s">
        <v>85</v>
      </c>
      <c r="E526" s="201">
        <f>(0.07+0.05)*2</f>
        <v>0.24000000000000002</v>
      </c>
      <c r="F526" s="371">
        <f>E526*F524</f>
        <v>70.800000000000011</v>
      </c>
      <c r="G526" s="371"/>
      <c r="H526" s="371"/>
      <c r="I526" s="371"/>
      <c r="J526" s="371"/>
      <c r="K526" s="371"/>
      <c r="L526" s="371"/>
      <c r="M526" s="371"/>
    </row>
    <row r="527" spans="1:13" x14ac:dyDescent="0.25">
      <c r="A527" s="204"/>
      <c r="B527" s="372"/>
      <c r="C527" s="205" t="s">
        <v>205</v>
      </c>
      <c r="D527" s="206" t="s">
        <v>122</v>
      </c>
      <c r="E527" s="206">
        <v>9.0999999999999998E-2</v>
      </c>
      <c r="F527" s="208">
        <f>E527*F524</f>
        <v>26.844999999999999</v>
      </c>
      <c r="G527" s="208"/>
      <c r="H527" s="208"/>
      <c r="I527" s="408"/>
      <c r="J527" s="408"/>
      <c r="K527" s="408"/>
      <c r="L527" s="408"/>
      <c r="M527" s="408"/>
    </row>
    <row r="528" spans="1:13" ht="108" x14ac:dyDescent="0.25">
      <c r="A528" s="403">
        <v>9</v>
      </c>
      <c r="B528" s="768" t="s">
        <v>111</v>
      </c>
      <c r="C528" s="69" t="s">
        <v>281</v>
      </c>
      <c r="D528" s="36" t="s">
        <v>113</v>
      </c>
      <c r="E528" s="36"/>
      <c r="F528" s="123">
        <v>165</v>
      </c>
      <c r="G528" s="179"/>
      <c r="H528" s="57"/>
      <c r="I528" s="180"/>
      <c r="J528" s="57"/>
      <c r="K528" s="180"/>
      <c r="L528" s="57"/>
      <c r="M528" s="181"/>
    </row>
    <row r="529" spans="1:13" x14ac:dyDescent="0.25">
      <c r="A529" s="109"/>
      <c r="B529" s="769"/>
      <c r="C529" s="310" t="s">
        <v>183</v>
      </c>
      <c r="D529" s="311" t="s">
        <v>46</v>
      </c>
      <c r="E529" s="40">
        <v>1.0349999999999999</v>
      </c>
      <c r="F529" s="26">
        <f>E529*F528</f>
        <v>170.77499999999998</v>
      </c>
      <c r="G529" s="40"/>
      <c r="H529" s="26"/>
      <c r="I529" s="76"/>
      <c r="J529" s="26"/>
      <c r="K529" s="76"/>
      <c r="L529" s="26"/>
      <c r="M529" s="26"/>
    </row>
    <row r="530" spans="1:13" ht="27" x14ac:dyDescent="0.25">
      <c r="A530" s="109"/>
      <c r="B530" s="20"/>
      <c r="C530" s="74" t="s">
        <v>282</v>
      </c>
      <c r="D530" s="34" t="s">
        <v>122</v>
      </c>
      <c r="E530" s="40">
        <v>0.11</v>
      </c>
      <c r="F530" s="26">
        <f>E530*F528</f>
        <v>18.149999999999999</v>
      </c>
      <c r="G530" s="40"/>
      <c r="H530" s="26"/>
      <c r="I530" s="76"/>
      <c r="J530" s="26"/>
      <c r="K530" s="76"/>
      <c r="L530" s="26"/>
      <c r="M530" s="26"/>
    </row>
    <row r="531" spans="1:13" ht="108" x14ac:dyDescent="0.25">
      <c r="A531" s="403">
        <v>10</v>
      </c>
      <c r="B531" s="768" t="s">
        <v>195</v>
      </c>
      <c r="C531" s="69" t="s">
        <v>283</v>
      </c>
      <c r="D531" s="36" t="s">
        <v>65</v>
      </c>
      <c r="E531" s="55"/>
      <c r="F531" s="364">
        <v>165</v>
      </c>
      <c r="G531" s="57"/>
      <c r="H531" s="285"/>
      <c r="I531" s="57"/>
      <c r="J531" s="285"/>
      <c r="K531" s="57"/>
      <c r="L531" s="285"/>
      <c r="M531" s="285"/>
    </row>
    <row r="532" spans="1:13" x14ac:dyDescent="0.25">
      <c r="A532" s="109"/>
      <c r="B532" s="769"/>
      <c r="C532" s="310" t="s">
        <v>183</v>
      </c>
      <c r="D532" s="311" t="s">
        <v>46</v>
      </c>
      <c r="E532" s="26">
        <f>0.68*1.15</f>
        <v>0.78200000000000003</v>
      </c>
      <c r="F532" s="26">
        <f>E532*F531</f>
        <v>129.03</v>
      </c>
      <c r="G532" s="86"/>
      <c r="H532" s="77"/>
      <c r="I532" s="77"/>
      <c r="J532" s="77"/>
      <c r="K532" s="77"/>
      <c r="L532" s="77"/>
      <c r="M532" s="77"/>
    </row>
    <row r="533" spans="1:13" x14ac:dyDescent="0.25">
      <c r="A533" s="109"/>
      <c r="B533" s="769"/>
      <c r="C533" s="310" t="s">
        <v>184</v>
      </c>
      <c r="D533" s="311" t="s">
        <v>122</v>
      </c>
      <c r="E533" s="87">
        <f>0.00038*1.25</f>
        <v>4.7500000000000005E-4</v>
      </c>
      <c r="F533" s="269">
        <f>E533*F531</f>
        <v>7.8375000000000014E-2</v>
      </c>
      <c r="G533" s="40"/>
      <c r="H533" s="26"/>
      <c r="I533" s="76"/>
      <c r="J533" s="26"/>
      <c r="K533" s="76"/>
      <c r="L533" s="269"/>
      <c r="M533" s="26"/>
    </row>
    <row r="534" spans="1:13" ht="27" x14ac:dyDescent="0.25">
      <c r="A534" s="109"/>
      <c r="B534" s="769"/>
      <c r="C534" s="74" t="s">
        <v>197</v>
      </c>
      <c r="D534" s="40" t="s">
        <v>75</v>
      </c>
      <c r="E534" s="40">
        <v>2.7E-2</v>
      </c>
      <c r="F534" s="26">
        <f>E534*F531</f>
        <v>4.4550000000000001</v>
      </c>
      <c r="G534" s="40"/>
      <c r="H534" s="26"/>
      <c r="I534" s="76"/>
      <c r="J534" s="26"/>
      <c r="K534" s="76"/>
      <c r="L534" s="26"/>
      <c r="M534" s="26"/>
    </row>
    <row r="535" spans="1:13" ht="27" x14ac:dyDescent="0.25">
      <c r="A535" s="109"/>
      <c r="B535" s="20"/>
      <c r="C535" s="74" t="s">
        <v>198</v>
      </c>
      <c r="D535" s="40" t="s">
        <v>75</v>
      </c>
      <c r="E535" s="40">
        <v>0.246</v>
      </c>
      <c r="F535" s="26">
        <f>E535*F531</f>
        <v>40.589999999999996</v>
      </c>
      <c r="G535" s="40"/>
      <c r="H535" s="26"/>
      <c r="I535" s="76"/>
      <c r="J535" s="26"/>
      <c r="K535" s="76"/>
      <c r="L535" s="26"/>
      <c r="M535" s="26"/>
    </row>
    <row r="536" spans="1:13" x14ac:dyDescent="0.25">
      <c r="A536" s="115"/>
      <c r="B536" s="29"/>
      <c r="C536" s="80" t="s">
        <v>77</v>
      </c>
      <c r="D536" s="34" t="s">
        <v>50</v>
      </c>
      <c r="E536" s="34">
        <v>1.9E-3</v>
      </c>
      <c r="F536" s="81">
        <f>E536*F531</f>
        <v>0.3135</v>
      </c>
      <c r="G536" s="34"/>
      <c r="H536" s="32"/>
      <c r="I536" s="33"/>
      <c r="J536" s="32"/>
      <c r="K536" s="33"/>
      <c r="L536" s="32"/>
      <c r="M536" s="32"/>
    </row>
    <row r="537" spans="1:13" ht="40.5" x14ac:dyDescent="0.25">
      <c r="A537" s="684">
        <v>11</v>
      </c>
      <c r="B537" s="53" t="s">
        <v>90</v>
      </c>
      <c r="C537" s="142" t="s">
        <v>284</v>
      </c>
      <c r="D537" s="36" t="s">
        <v>65</v>
      </c>
      <c r="E537" s="35"/>
      <c r="F537" s="55">
        <v>6</v>
      </c>
      <c r="G537" s="56"/>
      <c r="H537" s="57"/>
      <c r="I537" s="58"/>
      <c r="J537" s="59"/>
      <c r="K537" s="60"/>
      <c r="L537" s="60"/>
      <c r="M537" s="61"/>
    </row>
    <row r="538" spans="1:13" ht="15.75" x14ac:dyDescent="0.25">
      <c r="A538" s="143"/>
      <c r="B538" s="144"/>
      <c r="C538" s="310" t="s">
        <v>183</v>
      </c>
      <c r="D538" s="311" t="s">
        <v>46</v>
      </c>
      <c r="E538" s="146">
        <v>2.09</v>
      </c>
      <c r="F538" s="147">
        <f>E538*F537</f>
        <v>12.54</v>
      </c>
      <c r="G538" s="146"/>
      <c r="H538" s="147"/>
      <c r="I538" s="148"/>
      <c r="J538" s="147"/>
      <c r="K538" s="148"/>
      <c r="L538" s="147"/>
      <c r="M538" s="147"/>
    </row>
    <row r="539" spans="1:13" ht="40.5" x14ac:dyDescent="0.25">
      <c r="A539" s="121">
        <v>12</v>
      </c>
      <c r="B539" s="121" t="s">
        <v>92</v>
      </c>
      <c r="C539" s="94" t="s">
        <v>285</v>
      </c>
      <c r="D539" s="149" t="s">
        <v>94</v>
      </c>
      <c r="E539" s="150"/>
      <c r="F539" s="151">
        <v>6</v>
      </c>
      <c r="G539" s="152"/>
      <c r="H539" s="152"/>
      <c r="I539" s="152"/>
      <c r="J539" s="153"/>
      <c r="K539" s="154"/>
      <c r="L539" s="153"/>
      <c r="M539" s="124"/>
    </row>
    <row r="540" spans="1:13" x14ac:dyDescent="0.25">
      <c r="A540" s="132"/>
      <c r="B540" s="133"/>
      <c r="C540" s="310" t="s">
        <v>183</v>
      </c>
      <c r="D540" s="311" t="s">
        <v>46</v>
      </c>
      <c r="E540" s="47">
        <f>8.14*1.15</f>
        <v>9.3610000000000007</v>
      </c>
      <c r="F540" s="89">
        <f>F539*E540</f>
        <v>56.166000000000004</v>
      </c>
      <c r="G540" s="76"/>
      <c r="H540" s="26"/>
      <c r="I540" s="76"/>
      <c r="J540" s="26"/>
      <c r="K540" s="76"/>
      <c r="L540" s="26"/>
      <c r="M540" s="26"/>
    </row>
    <row r="541" spans="1:13" x14ac:dyDescent="0.25">
      <c r="A541" s="132"/>
      <c r="B541" s="138"/>
      <c r="C541" s="310" t="s">
        <v>184</v>
      </c>
      <c r="D541" s="311" t="s">
        <v>122</v>
      </c>
      <c r="E541" s="132">
        <f>1.09*1.25</f>
        <v>1.3625</v>
      </c>
      <c r="F541" s="47">
        <f>F539*E541</f>
        <v>8.1750000000000007</v>
      </c>
      <c r="G541" s="139"/>
      <c r="H541" s="26"/>
      <c r="I541" s="76"/>
      <c r="J541" s="26"/>
      <c r="K541" s="76"/>
      <c r="L541" s="26"/>
      <c r="M541" s="26"/>
    </row>
    <row r="542" spans="1:13" x14ac:dyDescent="0.25">
      <c r="A542" s="160"/>
      <c r="B542" s="158"/>
      <c r="C542" s="31" t="s">
        <v>52</v>
      </c>
      <c r="D542" s="159" t="s">
        <v>50</v>
      </c>
      <c r="E542" s="160">
        <v>3.7</v>
      </c>
      <c r="F542" s="146">
        <f>F539*E542</f>
        <v>22.200000000000003</v>
      </c>
      <c r="G542" s="34"/>
      <c r="H542" s="32"/>
      <c r="I542" s="34"/>
      <c r="J542" s="128"/>
      <c r="K542" s="33"/>
      <c r="L542" s="32"/>
      <c r="M542" s="32"/>
    </row>
    <row r="543" spans="1:13" ht="40.5" x14ac:dyDescent="0.25">
      <c r="A543" s="403">
        <v>13</v>
      </c>
      <c r="B543" s="53" t="s">
        <v>98</v>
      </c>
      <c r="C543" s="94" t="s">
        <v>286</v>
      </c>
      <c r="D543" s="95" t="s">
        <v>65</v>
      </c>
      <c r="E543" s="56"/>
      <c r="F543" s="163">
        <v>2</v>
      </c>
      <c r="G543" s="56"/>
      <c r="H543" s="57"/>
      <c r="I543" s="58"/>
      <c r="J543" s="59"/>
      <c r="K543" s="60"/>
      <c r="L543" s="60"/>
      <c r="M543" s="61"/>
    </row>
    <row r="544" spans="1:13" x14ac:dyDescent="0.25">
      <c r="A544" s="109"/>
      <c r="B544" s="164"/>
      <c r="C544" s="310" t="s">
        <v>183</v>
      </c>
      <c r="D544" s="311" t="s">
        <v>46</v>
      </c>
      <c r="E544" s="47">
        <v>0.75</v>
      </c>
      <c r="F544" s="89">
        <f>E544*F543</f>
        <v>1.5</v>
      </c>
      <c r="G544" s="91"/>
      <c r="H544" s="89"/>
      <c r="I544" s="92"/>
      <c r="J544" s="89"/>
      <c r="K544" s="92"/>
      <c r="L544" s="89"/>
      <c r="M544" s="89"/>
    </row>
    <row r="545" spans="1:13" x14ac:dyDescent="0.25">
      <c r="A545" s="115"/>
      <c r="B545" s="64"/>
      <c r="C545" s="310" t="s">
        <v>184</v>
      </c>
      <c r="D545" s="311" t="s">
        <v>122</v>
      </c>
      <c r="E545" s="65">
        <v>3.7000000000000002E-3</v>
      </c>
      <c r="F545" s="65">
        <f>E545*F543</f>
        <v>7.4000000000000003E-3</v>
      </c>
      <c r="G545" s="65"/>
      <c r="H545" s="32"/>
      <c r="I545" s="33"/>
      <c r="J545" s="32"/>
      <c r="K545" s="33"/>
      <c r="L545" s="32"/>
      <c r="M545" s="32"/>
    </row>
    <row r="546" spans="1:13" ht="40.5" x14ac:dyDescent="0.25">
      <c r="A546" s="166">
        <v>14</v>
      </c>
      <c r="B546" s="167" t="s">
        <v>100</v>
      </c>
      <c r="C546" s="168" t="s">
        <v>287</v>
      </c>
      <c r="D546" s="22" t="s">
        <v>102</v>
      </c>
      <c r="E546" s="169"/>
      <c r="F546" s="170">
        <v>2</v>
      </c>
      <c r="G546" s="166"/>
      <c r="H546" s="166"/>
      <c r="I546" s="166"/>
      <c r="J546" s="166"/>
      <c r="K546" s="166"/>
      <c r="L546" s="166"/>
      <c r="M546" s="166"/>
    </row>
    <row r="547" spans="1:13" x14ac:dyDescent="0.25">
      <c r="A547" s="166"/>
      <c r="B547" s="167"/>
      <c r="C547" s="310" t="s">
        <v>183</v>
      </c>
      <c r="D547" s="311" t="s">
        <v>46</v>
      </c>
      <c r="E547" s="172">
        <f>0.865*1.15</f>
        <v>0.99474999999999991</v>
      </c>
      <c r="F547" s="26">
        <f>E547*F546</f>
        <v>1.9894999999999998</v>
      </c>
      <c r="G547" s="40"/>
      <c r="H547" s="26"/>
      <c r="I547" s="76"/>
      <c r="J547" s="26"/>
      <c r="K547" s="76"/>
      <c r="L547" s="26"/>
      <c r="M547" s="26"/>
    </row>
    <row r="548" spans="1:13" x14ac:dyDescent="0.25">
      <c r="A548" s="166"/>
      <c r="B548" s="167"/>
      <c r="C548" s="310" t="s">
        <v>184</v>
      </c>
      <c r="D548" s="311" t="s">
        <v>122</v>
      </c>
      <c r="E548" s="173">
        <f>0.014*1.25</f>
        <v>1.7500000000000002E-2</v>
      </c>
      <c r="F548" s="26">
        <f>E548*F546</f>
        <v>3.5000000000000003E-2</v>
      </c>
      <c r="G548" s="40"/>
      <c r="H548" s="26"/>
      <c r="I548" s="76"/>
      <c r="J548" s="26"/>
      <c r="K548" s="76"/>
      <c r="L548" s="26"/>
      <c r="M548" s="26"/>
    </row>
    <row r="549" spans="1:13" ht="15.75" x14ac:dyDescent="0.25">
      <c r="A549" s="166"/>
      <c r="B549" s="167"/>
      <c r="C549" s="171" t="s">
        <v>288</v>
      </c>
      <c r="D549" s="167" t="s">
        <v>105</v>
      </c>
      <c r="E549" s="173">
        <v>1.06</v>
      </c>
      <c r="F549" s="26">
        <f>E549*F546</f>
        <v>2.12</v>
      </c>
      <c r="G549" s="40"/>
      <c r="H549" s="26"/>
      <c r="I549" s="76"/>
      <c r="J549" s="26"/>
      <c r="K549" s="76"/>
      <c r="L549" s="26"/>
      <c r="M549" s="26"/>
    </row>
    <row r="550" spans="1:13" x14ac:dyDescent="0.25">
      <c r="A550" s="174"/>
      <c r="B550" s="175"/>
      <c r="C550" s="176" t="s">
        <v>106</v>
      </c>
      <c r="D550" s="175" t="s">
        <v>107</v>
      </c>
      <c r="E550" s="177">
        <v>0.157</v>
      </c>
      <c r="F550" s="32">
        <f>E550*F546</f>
        <v>0.314</v>
      </c>
      <c r="G550" s="34"/>
      <c r="H550" s="32"/>
      <c r="I550" s="33"/>
      <c r="J550" s="32"/>
      <c r="K550" s="33"/>
      <c r="L550" s="32"/>
      <c r="M550" s="32"/>
    </row>
    <row r="551" spans="1:13" ht="67.5" x14ac:dyDescent="0.3">
      <c r="A551" s="694">
        <v>15</v>
      </c>
      <c r="B551" s="409" t="s">
        <v>289</v>
      </c>
      <c r="C551" s="410" t="s">
        <v>290</v>
      </c>
      <c r="D551" s="411" t="s">
        <v>81</v>
      </c>
      <c r="E551" s="412"/>
      <c r="F551" s="413">
        <v>0.36</v>
      </c>
      <c r="G551" s="412"/>
      <c r="H551" s="414"/>
      <c r="I551" s="415"/>
      <c r="J551" s="416"/>
      <c r="K551" s="417"/>
      <c r="L551" s="414"/>
      <c r="M551" s="418"/>
    </row>
    <row r="552" spans="1:13" ht="15.75" x14ac:dyDescent="0.3">
      <c r="A552" s="694"/>
      <c r="B552" s="419"/>
      <c r="C552" s="420" t="s">
        <v>143</v>
      </c>
      <c r="D552" s="421" t="s">
        <v>119</v>
      </c>
      <c r="E552" s="47">
        <f>1.6*1.15</f>
        <v>1.8399999999999999</v>
      </c>
      <c r="F552" s="89">
        <f>F551*E552</f>
        <v>0.66239999999999988</v>
      </c>
      <c r="G552" s="44"/>
      <c r="H552" s="45"/>
      <c r="I552" s="422"/>
      <c r="J552" s="423"/>
      <c r="K552" s="423"/>
      <c r="L552" s="423"/>
      <c r="M552" s="45"/>
    </row>
    <row r="553" spans="1:13" ht="15.75" x14ac:dyDescent="0.3">
      <c r="A553" s="694"/>
      <c r="B553" s="419"/>
      <c r="C553" s="424" t="s">
        <v>291</v>
      </c>
      <c r="D553" s="421" t="s">
        <v>122</v>
      </c>
      <c r="E553" s="406">
        <f>0.3*1.25</f>
        <v>0.375</v>
      </c>
      <c r="F553" s="89">
        <f>F551*E553</f>
        <v>0.13500000000000001</v>
      </c>
      <c r="G553" s="44"/>
      <c r="H553" s="45"/>
      <c r="I553" s="422"/>
      <c r="J553" s="423"/>
      <c r="K553" s="45"/>
      <c r="L553" s="45"/>
      <c r="M553" s="45"/>
    </row>
    <row r="554" spans="1:13" ht="30" x14ac:dyDescent="0.3">
      <c r="A554" s="694"/>
      <c r="B554" s="419"/>
      <c r="C554" s="424" t="s">
        <v>292</v>
      </c>
      <c r="D554" s="425" t="s">
        <v>81</v>
      </c>
      <c r="E554" s="47">
        <v>1</v>
      </c>
      <c r="F554" s="89">
        <f>E554*F551</f>
        <v>0.36</v>
      </c>
      <c r="G554" s="44"/>
      <c r="H554" s="45"/>
      <c r="I554" s="426"/>
      <c r="J554" s="45"/>
      <c r="K554" s="423"/>
      <c r="L554" s="423"/>
      <c r="M554" s="45"/>
    </row>
    <row r="555" spans="1:13" ht="15.75" x14ac:dyDescent="0.3">
      <c r="A555" s="694"/>
      <c r="B555" s="419"/>
      <c r="C555" s="424" t="s">
        <v>84</v>
      </c>
      <c r="D555" s="425" t="s">
        <v>85</v>
      </c>
      <c r="E555" s="47">
        <v>0.11</v>
      </c>
      <c r="F555" s="89">
        <f>E555*F551</f>
        <v>3.9599999999999996E-2</v>
      </c>
      <c r="G555" s="44"/>
      <c r="H555" s="45"/>
      <c r="I555" s="426"/>
      <c r="J555" s="45"/>
      <c r="K555" s="423"/>
      <c r="L555" s="423"/>
      <c r="M555" s="45"/>
    </row>
    <row r="556" spans="1:13" ht="15.75" x14ac:dyDescent="0.3">
      <c r="A556" s="673"/>
      <c r="B556" s="733"/>
      <c r="C556" s="427" t="s">
        <v>152</v>
      </c>
      <c r="D556" s="428" t="s">
        <v>122</v>
      </c>
      <c r="E556" s="146">
        <v>0.182</v>
      </c>
      <c r="F556" s="147">
        <f>F551*E556</f>
        <v>6.5519999999999995E-2</v>
      </c>
      <c r="G556" s="51"/>
      <c r="H556" s="429"/>
      <c r="I556" s="430"/>
      <c r="J556" s="52"/>
      <c r="K556" s="52"/>
      <c r="L556" s="52"/>
      <c r="M556" s="52"/>
    </row>
    <row r="557" spans="1:13" ht="40.5" x14ac:dyDescent="0.3">
      <c r="A557" s="694">
        <v>16</v>
      </c>
      <c r="B557" s="419"/>
      <c r="C557" s="94" t="s">
        <v>510</v>
      </c>
      <c r="D557" s="95" t="s">
        <v>65</v>
      </c>
      <c r="E557" s="56"/>
      <c r="F557" s="163">
        <v>9</v>
      </c>
      <c r="G557" s="56"/>
      <c r="H557" s="57"/>
      <c r="I557" s="58"/>
      <c r="J557" s="59"/>
      <c r="K557" s="60"/>
      <c r="L557" s="60"/>
      <c r="M557" s="61"/>
    </row>
    <row r="558" spans="1:13" ht="15.75" x14ac:dyDescent="0.3">
      <c r="A558" s="694"/>
      <c r="B558" s="419"/>
      <c r="C558" s="310" t="s">
        <v>183</v>
      </c>
      <c r="D558" s="311" t="s">
        <v>46</v>
      </c>
      <c r="E558" s="47">
        <v>0.75</v>
      </c>
      <c r="F558" s="89">
        <f>E558*F557</f>
        <v>6.75</v>
      </c>
      <c r="G558" s="91"/>
      <c r="H558" s="89"/>
      <c r="I558" s="92"/>
      <c r="J558" s="89"/>
      <c r="K558" s="92"/>
      <c r="L558" s="89"/>
      <c r="M558" s="89"/>
    </row>
    <row r="559" spans="1:13" ht="15.75" x14ac:dyDescent="0.3">
      <c r="A559" s="714"/>
      <c r="B559" s="734"/>
      <c r="C559" s="327" t="s">
        <v>184</v>
      </c>
      <c r="D559" s="328" t="s">
        <v>122</v>
      </c>
      <c r="E559" s="65">
        <v>3.7000000000000002E-3</v>
      </c>
      <c r="F559" s="65">
        <f>E559*F557</f>
        <v>3.3300000000000003E-2</v>
      </c>
      <c r="G559" s="65"/>
      <c r="H559" s="32"/>
      <c r="I559" s="33"/>
      <c r="J559" s="32"/>
      <c r="K559" s="33"/>
      <c r="L559" s="32"/>
      <c r="M559" s="32"/>
    </row>
    <row r="560" spans="1:13" ht="27" x14ac:dyDescent="0.3">
      <c r="A560" s="694">
        <v>17</v>
      </c>
      <c r="B560" s="419"/>
      <c r="C560" s="94" t="s">
        <v>507</v>
      </c>
      <c r="D560" s="735" t="s">
        <v>65</v>
      </c>
      <c r="E560" s="736"/>
      <c r="F560" s="104">
        <v>9</v>
      </c>
      <c r="G560" s="38"/>
      <c r="H560" s="38"/>
      <c r="I560" s="38"/>
      <c r="J560" s="38"/>
      <c r="K560" s="38"/>
      <c r="L560" s="38"/>
      <c r="M560" s="38"/>
    </row>
    <row r="561" spans="1:13" ht="15.75" x14ac:dyDescent="0.3">
      <c r="A561" s="694"/>
      <c r="B561" s="419"/>
      <c r="C561" s="310" t="s">
        <v>183</v>
      </c>
      <c r="D561" s="311" t="s">
        <v>46</v>
      </c>
      <c r="E561" s="737">
        <f>1.14*1.15</f>
        <v>1.3109999999999997</v>
      </c>
      <c r="F561" s="738">
        <f>F560*E561</f>
        <v>11.798999999999998</v>
      </c>
      <c r="G561" s="45"/>
      <c r="H561" s="45"/>
      <c r="I561" s="423"/>
      <c r="J561" s="45"/>
      <c r="K561" s="423"/>
      <c r="L561" s="45"/>
      <c r="M561" s="45"/>
    </row>
    <row r="562" spans="1:13" ht="15.75" x14ac:dyDescent="0.3">
      <c r="A562" s="694"/>
      <c r="B562" s="419"/>
      <c r="C562" s="327" t="s">
        <v>184</v>
      </c>
      <c r="D562" s="328" t="s">
        <v>122</v>
      </c>
      <c r="E562" s="737">
        <f>0.124*1.25</f>
        <v>0.155</v>
      </c>
      <c r="F562" s="738">
        <f>F560*E562</f>
        <v>1.395</v>
      </c>
      <c r="G562" s="740"/>
      <c r="H562" s="741"/>
      <c r="I562" s="423"/>
      <c r="J562" s="742"/>
      <c r="K562" s="423"/>
      <c r="L562" s="742"/>
      <c r="M562" s="470"/>
    </row>
    <row r="563" spans="1:13" ht="27" x14ac:dyDescent="0.3">
      <c r="A563" s="694"/>
      <c r="B563" s="419"/>
      <c r="C563" s="46" t="s">
        <v>506</v>
      </c>
      <c r="D563" s="739" t="s">
        <v>65</v>
      </c>
      <c r="E563" s="743">
        <f>1.05</f>
        <v>1.05</v>
      </c>
      <c r="F563" s="280">
        <f>E563*F560</f>
        <v>9.4500000000000011</v>
      </c>
      <c r="G563" s="423"/>
      <c r="H563" s="45"/>
      <c r="I563" s="45"/>
      <c r="J563" s="45"/>
      <c r="K563" s="423"/>
      <c r="L563" s="45"/>
      <c r="M563" s="45"/>
    </row>
    <row r="564" spans="1:13" ht="15.75" x14ac:dyDescent="0.3">
      <c r="A564" s="732"/>
      <c r="B564" s="733"/>
      <c r="C564" s="427" t="s">
        <v>152</v>
      </c>
      <c r="D564" s="428" t="s">
        <v>122</v>
      </c>
      <c r="E564" s="744">
        <v>9.2399999999999996E-2</v>
      </c>
      <c r="F564" s="745">
        <f>E564*F560</f>
        <v>0.83160000000000001</v>
      </c>
      <c r="G564" s="423"/>
      <c r="H564" s="470"/>
      <c r="I564" s="746"/>
      <c r="J564" s="470"/>
      <c r="K564" s="747"/>
      <c r="L564" s="470"/>
      <c r="M564" s="470"/>
    </row>
    <row r="565" spans="1:13" ht="40.5" x14ac:dyDescent="0.25">
      <c r="A565" s="748">
        <v>18</v>
      </c>
      <c r="B565" s="774" t="s">
        <v>508</v>
      </c>
      <c r="C565" s="94" t="s">
        <v>509</v>
      </c>
      <c r="D565" s="36" t="s">
        <v>65</v>
      </c>
      <c r="E565" s="36"/>
      <c r="F565" s="104">
        <v>9</v>
      </c>
      <c r="G565" s="476"/>
      <c r="H565" s="476"/>
      <c r="I565" s="476"/>
      <c r="J565" s="476"/>
      <c r="K565" s="476"/>
      <c r="L565" s="476"/>
      <c r="M565" s="39"/>
    </row>
    <row r="566" spans="1:13" x14ac:dyDescent="0.25">
      <c r="A566" s="749"/>
      <c r="B566" s="775"/>
      <c r="C566" s="310" t="s">
        <v>183</v>
      </c>
      <c r="D566" s="311" t="s">
        <v>46</v>
      </c>
      <c r="E566" s="89">
        <f>0.749*0.7</f>
        <v>0.52429999999999999</v>
      </c>
      <c r="F566" s="280">
        <f>E566*F565</f>
        <v>4.7187000000000001</v>
      </c>
      <c r="G566" s="45"/>
      <c r="H566" s="45"/>
      <c r="I566" s="423"/>
      <c r="J566" s="45"/>
      <c r="K566" s="423"/>
      <c r="L566" s="45"/>
      <c r="M566" s="45"/>
    </row>
    <row r="567" spans="1:13" ht="27" x14ac:dyDescent="0.25">
      <c r="A567" s="749"/>
      <c r="B567" s="775"/>
      <c r="C567" s="751" t="s">
        <v>120</v>
      </c>
      <c r="D567" s="146" t="s">
        <v>75</v>
      </c>
      <c r="E567" s="146">
        <v>0.17600000000000002</v>
      </c>
      <c r="F567" s="745">
        <f>E567*F565</f>
        <v>1.5840000000000001</v>
      </c>
      <c r="G567" s="423"/>
      <c r="H567" s="45"/>
      <c r="I567" s="746"/>
      <c r="J567" s="470"/>
      <c r="K567" s="747"/>
      <c r="L567" s="470"/>
      <c r="M567" s="470"/>
    </row>
    <row r="568" spans="1:13" x14ac:dyDescent="0.25">
      <c r="A568" s="750"/>
      <c r="B568" s="776"/>
      <c r="C568" s="427" t="s">
        <v>152</v>
      </c>
      <c r="D568" s="428" t="s">
        <v>122</v>
      </c>
      <c r="E568" s="744">
        <v>9.2399999999999996E-2</v>
      </c>
      <c r="F568" s="745">
        <f>E568*F564</f>
        <v>7.6839839999999993E-2</v>
      </c>
      <c r="G568" s="746"/>
      <c r="H568" s="480"/>
      <c r="I568" s="746"/>
      <c r="J568" s="480"/>
      <c r="K568" s="590"/>
      <c r="L568" s="480"/>
      <c r="M568" s="480"/>
    </row>
    <row r="569" spans="1:13" ht="40.5" x14ac:dyDescent="0.25">
      <c r="A569" s="403">
        <v>19</v>
      </c>
      <c r="B569" s="772" t="s">
        <v>293</v>
      </c>
      <c r="C569" s="69" t="s">
        <v>294</v>
      </c>
      <c r="D569" s="36" t="s">
        <v>65</v>
      </c>
      <c r="E569" s="36"/>
      <c r="F569" s="36">
        <v>250</v>
      </c>
      <c r="G569" s="70"/>
      <c r="H569" s="71"/>
      <c r="I569" s="70"/>
      <c r="J569" s="71"/>
      <c r="K569" s="70"/>
      <c r="L569" s="71"/>
      <c r="M569" s="71"/>
    </row>
    <row r="570" spans="1:13" x14ac:dyDescent="0.25">
      <c r="A570" s="109"/>
      <c r="B570" s="773"/>
      <c r="C570" s="310" t="s">
        <v>183</v>
      </c>
      <c r="D570" s="311" t="s">
        <v>46</v>
      </c>
      <c r="E570" s="47">
        <v>0.53</v>
      </c>
      <c r="F570" s="89">
        <f>E570*F569</f>
        <v>132.5</v>
      </c>
      <c r="G570" s="47"/>
      <c r="H570" s="89"/>
      <c r="I570" s="92"/>
      <c r="J570" s="89"/>
      <c r="K570" s="92"/>
      <c r="L570" s="89"/>
      <c r="M570" s="91"/>
    </row>
    <row r="571" spans="1:13" x14ac:dyDescent="0.25">
      <c r="A571" s="109"/>
      <c r="B571" s="20"/>
      <c r="C571" s="310" t="s">
        <v>184</v>
      </c>
      <c r="D571" s="311" t="s">
        <v>122</v>
      </c>
      <c r="E571" s="40">
        <f>0.0023*1.25</f>
        <v>2.875E-3</v>
      </c>
      <c r="F571" s="26">
        <f>E571*F569</f>
        <v>0.71875</v>
      </c>
      <c r="G571" s="40"/>
      <c r="H571" s="26"/>
      <c r="I571" s="76"/>
      <c r="J571" s="26"/>
      <c r="K571" s="76"/>
      <c r="L571" s="26"/>
      <c r="M571" s="77"/>
    </row>
    <row r="572" spans="1:13" x14ac:dyDescent="0.25">
      <c r="A572" s="109"/>
      <c r="B572" s="20"/>
      <c r="C572" s="74" t="s">
        <v>295</v>
      </c>
      <c r="D572" s="40" t="s">
        <v>75</v>
      </c>
      <c r="E572" s="269">
        <v>0.37</v>
      </c>
      <c r="F572" s="26">
        <f>E572*F569</f>
        <v>92.5</v>
      </c>
      <c r="G572" s="40"/>
      <c r="H572" s="26"/>
      <c r="I572" s="77"/>
      <c r="J572" s="26"/>
      <c r="K572" s="76"/>
      <c r="L572" s="26"/>
      <c r="M572" s="77"/>
    </row>
    <row r="573" spans="1:13" ht="27" x14ac:dyDescent="0.25">
      <c r="A573" s="109"/>
      <c r="B573" s="20"/>
      <c r="C573" s="74" t="s">
        <v>296</v>
      </c>
      <c r="D573" s="40" t="s">
        <v>170</v>
      </c>
      <c r="E573" s="365">
        <v>6.0000000000000002E-5</v>
      </c>
      <c r="F573" s="26">
        <f>E573*F569</f>
        <v>1.5000000000000001E-2</v>
      </c>
      <c r="G573" s="40"/>
      <c r="H573" s="26"/>
      <c r="I573" s="76"/>
      <c r="J573" s="26"/>
      <c r="K573" s="76"/>
      <c r="L573" s="26"/>
      <c r="M573" s="77"/>
    </row>
    <row r="574" spans="1:13" x14ac:dyDescent="0.25">
      <c r="A574" s="109"/>
      <c r="B574" s="20"/>
      <c r="C574" s="74" t="s">
        <v>297</v>
      </c>
      <c r="D574" s="40" t="s">
        <v>65</v>
      </c>
      <c r="E574" s="269">
        <v>1.2E-2</v>
      </c>
      <c r="F574" s="26">
        <f>E574*F569</f>
        <v>3</v>
      </c>
      <c r="G574" s="40"/>
      <c r="H574" s="26"/>
      <c r="I574" s="76"/>
      <c r="J574" s="26"/>
      <c r="K574" s="76"/>
      <c r="L574" s="26"/>
      <c r="M574" s="77"/>
    </row>
    <row r="575" spans="1:13" ht="15.75" x14ac:dyDescent="0.25">
      <c r="A575" s="682"/>
      <c r="B575" s="16"/>
      <c r="C575" s="178" t="s">
        <v>298</v>
      </c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54" x14ac:dyDescent="0.25">
      <c r="A576" s="35">
        <v>1</v>
      </c>
      <c r="B576" s="35" t="s">
        <v>299</v>
      </c>
      <c r="C576" s="431" t="s">
        <v>300</v>
      </c>
      <c r="D576" s="36" t="s">
        <v>44</v>
      </c>
      <c r="E576" s="36"/>
      <c r="F576" s="37">
        <v>15</v>
      </c>
      <c r="G576" s="38"/>
      <c r="H576" s="39"/>
      <c r="I576" s="39"/>
      <c r="J576" s="39"/>
      <c r="K576" s="39"/>
      <c r="L576" s="39"/>
      <c r="M576" s="39"/>
    </row>
    <row r="577" spans="1:13" x14ac:dyDescent="0.25">
      <c r="A577" s="47"/>
      <c r="B577" s="432"/>
      <c r="C577" s="310" t="s">
        <v>183</v>
      </c>
      <c r="D577" s="311" t="s">
        <v>46</v>
      </c>
      <c r="E577" s="40">
        <f>1.65*0.4</f>
        <v>0.66</v>
      </c>
      <c r="F577" s="86">
        <f>F576*E577</f>
        <v>9.9</v>
      </c>
      <c r="G577" s="44"/>
      <c r="H577" s="433"/>
      <c r="I577" s="45"/>
      <c r="J577" s="45"/>
      <c r="K577" s="45"/>
      <c r="L577" s="45"/>
      <c r="M577" s="433"/>
    </row>
    <row r="578" spans="1:13" x14ac:dyDescent="0.25">
      <c r="A578" s="146"/>
      <c r="B578" s="434"/>
      <c r="C578" s="49" t="s">
        <v>52</v>
      </c>
      <c r="D578" s="34" t="s">
        <v>50</v>
      </c>
      <c r="E578" s="34">
        <f>0.306*0.5</f>
        <v>0.153</v>
      </c>
      <c r="F578" s="50">
        <f>F576*E578</f>
        <v>2.2949999999999999</v>
      </c>
      <c r="G578" s="51"/>
      <c r="H578" s="52"/>
      <c r="I578" s="435"/>
      <c r="J578" s="52"/>
      <c r="K578" s="52"/>
      <c r="L578" s="52"/>
      <c r="M578" s="436"/>
    </row>
    <row r="579" spans="1:13" ht="81" x14ac:dyDescent="0.25">
      <c r="A579" s="403">
        <v>2</v>
      </c>
      <c r="B579" s="768" t="s">
        <v>111</v>
      </c>
      <c r="C579" s="69" t="s">
        <v>301</v>
      </c>
      <c r="D579" s="36" t="s">
        <v>113</v>
      </c>
      <c r="E579" s="36"/>
      <c r="F579" s="104">
        <v>23</v>
      </c>
      <c r="G579" s="179"/>
      <c r="H579" s="57"/>
      <c r="I579" s="180"/>
      <c r="J579" s="57"/>
      <c r="K579" s="180"/>
      <c r="L579" s="57"/>
      <c r="M579" s="181"/>
    </row>
    <row r="580" spans="1:13" x14ac:dyDescent="0.25">
      <c r="A580" s="109"/>
      <c r="B580" s="769"/>
      <c r="C580" s="88" t="s">
        <v>56</v>
      </c>
      <c r="D580" s="47" t="s">
        <v>60</v>
      </c>
      <c r="E580" s="47">
        <v>1.0349999999999999</v>
      </c>
      <c r="F580" s="89">
        <f>E580*F579</f>
        <v>23.805</v>
      </c>
      <c r="G580" s="47"/>
      <c r="H580" s="89"/>
      <c r="I580" s="92"/>
      <c r="J580" s="89"/>
      <c r="K580" s="92"/>
      <c r="L580" s="89"/>
      <c r="M580" s="89"/>
    </row>
    <row r="581" spans="1:13" ht="15.75" x14ac:dyDescent="0.25">
      <c r="A581" s="687"/>
      <c r="B581" s="18"/>
      <c r="C581" s="186" t="s">
        <v>114</v>
      </c>
      <c r="D581" s="187" t="s">
        <v>115</v>
      </c>
      <c r="E581" s="188">
        <v>0.15</v>
      </c>
      <c r="F581" s="188">
        <f>E581*F579</f>
        <v>3.4499999999999997</v>
      </c>
      <c r="G581" s="189"/>
      <c r="H581" s="189"/>
      <c r="I581" s="190"/>
      <c r="J581" s="32"/>
      <c r="K581" s="33"/>
      <c r="L581" s="32"/>
      <c r="M581" s="89"/>
    </row>
    <row r="582" spans="1:13" ht="67.5" x14ac:dyDescent="0.25">
      <c r="A582" s="403">
        <v>3</v>
      </c>
      <c r="B582" s="768" t="s">
        <v>195</v>
      </c>
      <c r="C582" s="69" t="s">
        <v>302</v>
      </c>
      <c r="D582" s="36" t="s">
        <v>65</v>
      </c>
      <c r="E582" s="55"/>
      <c r="F582" s="364">
        <v>35</v>
      </c>
      <c r="G582" s="57"/>
      <c r="H582" s="285"/>
      <c r="I582" s="57"/>
      <c r="J582" s="285"/>
      <c r="K582" s="57"/>
      <c r="L582" s="285"/>
      <c r="M582" s="285"/>
    </row>
    <row r="583" spans="1:13" x14ac:dyDescent="0.25">
      <c r="A583" s="109"/>
      <c r="B583" s="769"/>
      <c r="C583" s="310" t="s">
        <v>183</v>
      </c>
      <c r="D583" s="311" t="s">
        <v>46</v>
      </c>
      <c r="E583" s="26">
        <f>0.68*1.15</f>
        <v>0.78200000000000003</v>
      </c>
      <c r="F583" s="26">
        <f>E583*F582</f>
        <v>27.37</v>
      </c>
      <c r="G583" s="86"/>
      <c r="H583" s="77"/>
      <c r="I583" s="77"/>
      <c r="J583" s="77"/>
      <c r="K583" s="77"/>
      <c r="L583" s="77"/>
      <c r="M583" s="77"/>
    </row>
    <row r="584" spans="1:13" x14ac:dyDescent="0.25">
      <c r="A584" s="109"/>
      <c r="B584" s="769"/>
      <c r="C584" s="310" t="s">
        <v>184</v>
      </c>
      <c r="D584" s="311" t="s">
        <v>122</v>
      </c>
      <c r="E584" s="87">
        <f>0.00038*1.25</f>
        <v>4.7500000000000005E-4</v>
      </c>
      <c r="F584" s="269">
        <f>E584*F582</f>
        <v>1.6625000000000001E-2</v>
      </c>
      <c r="G584" s="40"/>
      <c r="H584" s="26"/>
      <c r="I584" s="76"/>
      <c r="J584" s="26"/>
      <c r="K584" s="76"/>
      <c r="L584" s="269"/>
      <c r="M584" s="26"/>
    </row>
    <row r="585" spans="1:13" ht="27" x14ac:dyDescent="0.25">
      <c r="A585" s="109"/>
      <c r="B585" s="769"/>
      <c r="C585" s="74" t="s">
        <v>197</v>
      </c>
      <c r="D585" s="40" t="s">
        <v>75</v>
      </c>
      <c r="E585" s="40">
        <v>2.7E-2</v>
      </c>
      <c r="F585" s="26">
        <f>E585*F582</f>
        <v>0.94499999999999995</v>
      </c>
      <c r="G585" s="40"/>
      <c r="H585" s="26"/>
      <c r="I585" s="76"/>
      <c r="J585" s="26"/>
      <c r="K585" s="76"/>
      <c r="L585" s="26"/>
      <c r="M585" s="26"/>
    </row>
    <row r="586" spans="1:13" ht="27" x14ac:dyDescent="0.25">
      <c r="A586" s="109"/>
      <c r="B586" s="20"/>
      <c r="C586" s="74" t="s">
        <v>198</v>
      </c>
      <c r="D586" s="40" t="s">
        <v>75</v>
      </c>
      <c r="E586" s="40">
        <v>0.246</v>
      </c>
      <c r="F586" s="26">
        <f>E586*F582</f>
        <v>8.61</v>
      </c>
      <c r="G586" s="40"/>
      <c r="H586" s="26"/>
      <c r="I586" s="76"/>
      <c r="J586" s="26"/>
      <c r="K586" s="76"/>
      <c r="L586" s="26"/>
      <c r="M586" s="26"/>
    </row>
    <row r="587" spans="1:13" x14ac:dyDescent="0.25">
      <c r="A587" s="115"/>
      <c r="B587" s="29"/>
      <c r="C587" s="80" t="s">
        <v>77</v>
      </c>
      <c r="D587" s="34" t="s">
        <v>50</v>
      </c>
      <c r="E587" s="34">
        <v>1.9E-3</v>
      </c>
      <c r="F587" s="81">
        <f>E587*F582</f>
        <v>6.6500000000000004E-2</v>
      </c>
      <c r="G587" s="34"/>
      <c r="H587" s="32"/>
      <c r="I587" s="33"/>
      <c r="J587" s="32"/>
      <c r="K587" s="33"/>
      <c r="L587" s="32"/>
      <c r="M587" s="32"/>
    </row>
    <row r="588" spans="1:13" ht="40.5" x14ac:dyDescent="0.25">
      <c r="A588" s="132">
        <v>4</v>
      </c>
      <c r="B588" s="20" t="s">
        <v>303</v>
      </c>
      <c r="C588" s="374" t="s">
        <v>304</v>
      </c>
      <c r="D588" s="22" t="s">
        <v>44</v>
      </c>
      <c r="E588" s="23"/>
      <c r="F588" s="24">
        <v>15</v>
      </c>
      <c r="G588" s="25"/>
      <c r="H588" s="26"/>
      <c r="I588" s="27"/>
      <c r="J588" s="26"/>
      <c r="K588" s="28"/>
      <c r="L588" s="26"/>
      <c r="M588" s="26"/>
    </row>
    <row r="589" spans="1:13" x14ac:dyDescent="0.25">
      <c r="A589" s="132"/>
      <c r="B589" s="437"/>
      <c r="C589" s="134" t="s">
        <v>45</v>
      </c>
      <c r="D589" s="20" t="s">
        <v>46</v>
      </c>
      <c r="E589" s="438">
        <f>1.01*0.4*1.15</f>
        <v>0.46460000000000001</v>
      </c>
      <c r="F589" s="26">
        <f>E589*F588</f>
        <v>6.9690000000000003</v>
      </c>
      <c r="G589" s="76"/>
      <c r="H589" s="26"/>
      <c r="I589" s="40"/>
      <c r="J589" s="26"/>
      <c r="K589" s="76"/>
      <c r="L589" s="26"/>
      <c r="M589" s="26"/>
    </row>
    <row r="590" spans="1:13" x14ac:dyDescent="0.25">
      <c r="A590" s="115"/>
      <c r="B590" s="30"/>
      <c r="C590" s="80" t="s">
        <v>305</v>
      </c>
      <c r="D590" s="34" t="s">
        <v>157</v>
      </c>
      <c r="E590" s="81">
        <f>0.124*1.25*0.4</f>
        <v>6.2E-2</v>
      </c>
      <c r="F590" s="81">
        <f>E590*F588</f>
        <v>0.92999999999999994</v>
      </c>
      <c r="G590" s="34"/>
      <c r="H590" s="32"/>
      <c r="I590" s="33"/>
      <c r="J590" s="32"/>
      <c r="K590" s="33"/>
      <c r="L590" s="81"/>
      <c r="M590" s="32"/>
    </row>
    <row r="591" spans="1:13" ht="54" x14ac:dyDescent="0.25">
      <c r="A591" s="403">
        <v>5</v>
      </c>
      <c r="B591" s="68" t="s">
        <v>306</v>
      </c>
      <c r="C591" s="84" t="s">
        <v>307</v>
      </c>
      <c r="D591" s="36" t="s">
        <v>308</v>
      </c>
      <c r="E591" s="35"/>
      <c r="F591" s="439">
        <f>(3.55*F594)*0.001</f>
        <v>5.3249999999999999E-2</v>
      </c>
      <c r="G591" s="179"/>
      <c r="H591" s="57"/>
      <c r="I591" s="180"/>
      <c r="J591" s="57"/>
      <c r="K591" s="180"/>
      <c r="L591" s="57"/>
      <c r="M591" s="57"/>
    </row>
    <row r="592" spans="1:13" x14ac:dyDescent="0.25">
      <c r="A592" s="109"/>
      <c r="B592" s="73"/>
      <c r="C592" s="310" t="s">
        <v>183</v>
      </c>
      <c r="D592" s="311" t="s">
        <v>46</v>
      </c>
      <c r="E592" s="26">
        <f>138*1.15</f>
        <v>158.69999999999999</v>
      </c>
      <c r="F592" s="26">
        <f>F591*E592</f>
        <v>8.4507749999999984</v>
      </c>
      <c r="G592" s="83"/>
      <c r="H592" s="26"/>
      <c r="I592" s="76"/>
      <c r="J592" s="26"/>
      <c r="K592" s="76"/>
      <c r="L592" s="26"/>
      <c r="M592" s="77"/>
    </row>
    <row r="593" spans="1:13" x14ac:dyDescent="0.25">
      <c r="A593" s="109"/>
      <c r="B593" s="73"/>
      <c r="C593" s="310" t="s">
        <v>184</v>
      </c>
      <c r="D593" s="311" t="s">
        <v>122</v>
      </c>
      <c r="E593" s="40">
        <f>1.1*1.25</f>
        <v>1.375</v>
      </c>
      <c r="F593" s="269">
        <f>F591*E593</f>
        <v>7.3218749999999999E-2</v>
      </c>
      <c r="G593" s="40"/>
      <c r="H593" s="26"/>
      <c r="I593" s="76"/>
      <c r="J593" s="26"/>
      <c r="K593" s="76"/>
      <c r="L593" s="269"/>
      <c r="M593" s="77"/>
    </row>
    <row r="594" spans="1:13" ht="27" x14ac:dyDescent="0.25">
      <c r="A594" s="109"/>
      <c r="B594" s="73"/>
      <c r="C594" s="74" t="s">
        <v>309</v>
      </c>
      <c r="D594" s="40" t="s">
        <v>55</v>
      </c>
      <c r="E594" s="77"/>
      <c r="F594" s="26">
        <v>15</v>
      </c>
      <c r="G594" s="40"/>
      <c r="H594" s="26"/>
      <c r="I594" s="76"/>
      <c r="J594" s="26"/>
      <c r="K594" s="76"/>
      <c r="L594" s="26"/>
      <c r="M594" s="77"/>
    </row>
    <row r="595" spans="1:13" x14ac:dyDescent="0.25">
      <c r="A595" s="115"/>
      <c r="B595" s="79"/>
      <c r="C595" s="80" t="s">
        <v>172</v>
      </c>
      <c r="D595" s="34" t="s">
        <v>75</v>
      </c>
      <c r="E595" s="128">
        <v>6.84</v>
      </c>
      <c r="F595" s="32">
        <f>E595*F591</f>
        <v>0.36423</v>
      </c>
      <c r="G595" s="34"/>
      <c r="H595" s="32"/>
      <c r="I595" s="33"/>
      <c r="J595" s="32"/>
      <c r="K595" s="33"/>
      <c r="L595" s="32"/>
      <c r="M595" s="128"/>
    </row>
    <row r="596" spans="1:13" ht="140.25" x14ac:dyDescent="0.25">
      <c r="A596" s="448">
        <v>6</v>
      </c>
      <c r="B596" s="336" t="s">
        <v>310</v>
      </c>
      <c r="C596" s="440" t="s">
        <v>311</v>
      </c>
      <c r="D596" s="342" t="s">
        <v>44</v>
      </c>
      <c r="E596" s="342"/>
      <c r="F596" s="343">
        <v>15</v>
      </c>
      <c r="G596" s="441"/>
      <c r="H596" s="442"/>
      <c r="I596" s="443"/>
      <c r="J596" s="442"/>
      <c r="K596" s="443"/>
      <c r="L596" s="442"/>
      <c r="M596" s="442"/>
    </row>
    <row r="597" spans="1:13" x14ac:dyDescent="0.25">
      <c r="A597" s="448"/>
      <c r="B597" s="444"/>
      <c r="C597" s="310" t="s">
        <v>183</v>
      </c>
      <c r="D597" s="311" t="s">
        <v>46</v>
      </c>
      <c r="E597" s="445">
        <f>2.97*1.15</f>
        <v>3.4154999999999998</v>
      </c>
      <c r="F597" s="25">
        <f>F596*E597</f>
        <v>51.232499999999995</v>
      </c>
      <c r="G597" s="76"/>
      <c r="H597" s="25"/>
      <c r="I597" s="28"/>
      <c r="J597" s="25"/>
      <c r="K597" s="25"/>
      <c r="L597" s="25"/>
      <c r="M597" s="25"/>
    </row>
    <row r="598" spans="1:13" x14ac:dyDescent="0.25">
      <c r="A598" s="448"/>
      <c r="B598" s="336"/>
      <c r="C598" s="310" t="s">
        <v>184</v>
      </c>
      <c r="D598" s="311" t="s">
        <v>122</v>
      </c>
      <c r="E598" s="351">
        <f>1.05*1.25</f>
        <v>1.3125</v>
      </c>
      <c r="F598" s="25">
        <f>F596*E598</f>
        <v>19.6875</v>
      </c>
      <c r="G598" s="352"/>
      <c r="H598" s="25"/>
      <c r="I598" s="28"/>
      <c r="J598" s="25"/>
      <c r="K598" s="28"/>
      <c r="L598" s="25"/>
      <c r="M598" s="25"/>
    </row>
    <row r="599" spans="1:13" ht="121.5" x14ac:dyDescent="0.25">
      <c r="A599" s="448"/>
      <c r="B599" s="444"/>
      <c r="C599" s="446" t="s">
        <v>312</v>
      </c>
      <c r="D599" s="447" t="s">
        <v>192</v>
      </c>
      <c r="E599" s="448">
        <v>1</v>
      </c>
      <c r="F599" s="441">
        <f>F596*E599</f>
        <v>15</v>
      </c>
      <c r="G599" s="449"/>
      <c r="H599" s="441"/>
      <c r="I599" s="449"/>
      <c r="J599" s="450"/>
      <c r="K599" s="450"/>
      <c r="L599" s="450"/>
      <c r="M599" s="450"/>
    </row>
    <row r="600" spans="1:13" x14ac:dyDescent="0.25">
      <c r="A600" s="695"/>
      <c r="B600" s="451"/>
      <c r="C600" s="356" t="s">
        <v>52</v>
      </c>
      <c r="D600" s="357" t="s">
        <v>50</v>
      </c>
      <c r="E600" s="452">
        <v>0.21099999999999999</v>
      </c>
      <c r="F600" s="340">
        <f>F596*E600</f>
        <v>3.165</v>
      </c>
      <c r="G600" s="360"/>
      <c r="H600" s="340"/>
      <c r="I600" s="360"/>
      <c r="J600" s="340"/>
      <c r="K600" s="362"/>
      <c r="L600" s="340"/>
      <c r="M600" s="340"/>
    </row>
    <row r="601" spans="1:13" ht="67.5" x14ac:dyDescent="0.25">
      <c r="A601" s="403">
        <v>7</v>
      </c>
      <c r="B601" s="121" t="s">
        <v>313</v>
      </c>
      <c r="C601" s="69" t="s">
        <v>314</v>
      </c>
      <c r="D601" s="36" t="s">
        <v>170</v>
      </c>
      <c r="E601" s="36"/>
      <c r="F601" s="123">
        <v>15</v>
      </c>
      <c r="G601" s="179"/>
      <c r="H601" s="57"/>
      <c r="I601" s="180"/>
      <c r="J601" s="57"/>
      <c r="K601" s="180"/>
      <c r="L601" s="57"/>
      <c r="M601" s="181"/>
    </row>
    <row r="602" spans="1:13" x14ac:dyDescent="0.25">
      <c r="A602" s="115"/>
      <c r="B602" s="453"/>
      <c r="C602" s="216" t="s">
        <v>56</v>
      </c>
      <c r="D602" s="146" t="s">
        <v>60</v>
      </c>
      <c r="E602" s="146">
        <f>3.88*1.15</f>
        <v>4.4619999999999997</v>
      </c>
      <c r="F602" s="147">
        <f>E602*F601</f>
        <v>66.929999999999993</v>
      </c>
      <c r="G602" s="146"/>
      <c r="H602" s="147"/>
      <c r="I602" s="148"/>
      <c r="J602" s="147"/>
      <c r="K602" s="148"/>
      <c r="L602" s="147"/>
      <c r="M602" s="89"/>
    </row>
    <row r="603" spans="1:13" ht="27" x14ac:dyDescent="0.25">
      <c r="A603" s="454">
        <v>8</v>
      </c>
      <c r="B603" s="373" t="s">
        <v>315</v>
      </c>
      <c r="C603" s="54" t="s">
        <v>316</v>
      </c>
      <c r="D603" s="274" t="s">
        <v>170</v>
      </c>
      <c r="E603" s="35"/>
      <c r="F603" s="36">
        <v>4.5</v>
      </c>
      <c r="G603" s="382"/>
      <c r="H603" s="123"/>
      <c r="I603" s="123"/>
      <c r="J603" s="123"/>
      <c r="K603" s="123"/>
      <c r="L603" s="123"/>
      <c r="M603" s="123"/>
    </row>
    <row r="604" spans="1:13" x14ac:dyDescent="0.25">
      <c r="A604" s="164"/>
      <c r="B604" s="97"/>
      <c r="C604" s="310" t="s">
        <v>183</v>
      </c>
      <c r="D604" s="311" t="s">
        <v>46</v>
      </c>
      <c r="E604" s="286">
        <f>0.89*1.15</f>
        <v>1.0234999999999999</v>
      </c>
      <c r="F604" s="99">
        <f>E604*F603</f>
        <v>4.6057499999999996</v>
      </c>
      <c r="G604" s="83"/>
      <c r="H604" s="26"/>
      <c r="I604" s="76"/>
      <c r="J604" s="26"/>
      <c r="K604" s="76"/>
      <c r="L604" s="26"/>
      <c r="M604" s="26"/>
    </row>
    <row r="605" spans="1:13" x14ac:dyDescent="0.25">
      <c r="A605" s="164"/>
      <c r="B605" s="97"/>
      <c r="C605" s="310" t="s">
        <v>184</v>
      </c>
      <c r="D605" s="311" t="s">
        <v>122</v>
      </c>
      <c r="E605" s="286">
        <f>0.37*1.25</f>
        <v>0.46250000000000002</v>
      </c>
      <c r="F605" s="99">
        <f>E605*F603</f>
        <v>2.0812500000000003</v>
      </c>
      <c r="G605" s="40"/>
      <c r="H605" s="26"/>
      <c r="I605" s="76"/>
      <c r="J605" s="26"/>
      <c r="K605" s="76"/>
      <c r="L605" s="26"/>
      <c r="M605" s="26"/>
    </row>
    <row r="606" spans="1:13" x14ac:dyDescent="0.25">
      <c r="A606" s="164"/>
      <c r="B606" s="97"/>
      <c r="C606" s="268" t="s">
        <v>317</v>
      </c>
      <c r="D606" s="97" t="s">
        <v>170</v>
      </c>
      <c r="E606" s="83">
        <v>1.1499999999999999</v>
      </c>
      <c r="F606" s="83">
        <f>E606*F603</f>
        <v>5.1749999999999998</v>
      </c>
      <c r="G606" s="40"/>
      <c r="H606" s="26"/>
      <c r="I606" s="76"/>
      <c r="J606" s="214"/>
      <c r="K606" s="76"/>
      <c r="L606" s="26"/>
      <c r="M606" s="26"/>
    </row>
    <row r="607" spans="1:13" x14ac:dyDescent="0.25">
      <c r="A607" s="145"/>
      <c r="B607" s="273"/>
      <c r="C607" s="63" t="s">
        <v>62</v>
      </c>
      <c r="D607" s="64" t="s">
        <v>50</v>
      </c>
      <c r="E607" s="65">
        <v>0.02</v>
      </c>
      <c r="F607" s="66">
        <f>E607*F603</f>
        <v>0.09</v>
      </c>
      <c r="G607" s="455"/>
      <c r="H607" s="456"/>
      <c r="I607" s="64"/>
      <c r="J607" s="262"/>
      <c r="K607" s="457"/>
      <c r="L607" s="457"/>
      <c r="M607" s="263"/>
    </row>
    <row r="608" spans="1:13" ht="67.5" x14ac:dyDescent="0.25">
      <c r="A608" s="132">
        <v>9</v>
      </c>
      <c r="B608" s="20" t="s">
        <v>179</v>
      </c>
      <c r="C608" s="21" t="s">
        <v>318</v>
      </c>
      <c r="D608" s="22" t="s">
        <v>55</v>
      </c>
      <c r="E608" s="23"/>
      <c r="F608" s="458">
        <v>150</v>
      </c>
      <c r="G608" s="294"/>
      <c r="H608" s="295"/>
      <c r="I608" s="296"/>
      <c r="J608" s="295"/>
      <c r="K608" s="294"/>
      <c r="L608" s="295"/>
      <c r="M608" s="295"/>
    </row>
    <row r="609" spans="1:13" x14ac:dyDescent="0.25">
      <c r="A609" s="132"/>
      <c r="B609" s="297"/>
      <c r="C609" s="310" t="s">
        <v>183</v>
      </c>
      <c r="D609" s="311" t="s">
        <v>46</v>
      </c>
      <c r="E609" s="298">
        <v>0.15</v>
      </c>
      <c r="F609" s="26">
        <f>F608*E609</f>
        <v>22.5</v>
      </c>
      <c r="G609" s="76"/>
      <c r="H609" s="26"/>
      <c r="I609" s="40"/>
      <c r="J609" s="26"/>
      <c r="K609" s="76"/>
      <c r="L609" s="26"/>
      <c r="M609" s="26"/>
    </row>
    <row r="610" spans="1:13" x14ac:dyDescent="0.25">
      <c r="A610" s="132"/>
      <c r="B610" s="72"/>
      <c r="C610" s="310" t="s">
        <v>184</v>
      </c>
      <c r="D610" s="311" t="s">
        <v>122</v>
      </c>
      <c r="E610" s="269">
        <f>0.0017</f>
        <v>1.6999999999999999E-3</v>
      </c>
      <c r="F610" s="26">
        <f>F608*E610</f>
        <v>0.255</v>
      </c>
      <c r="G610" s="76"/>
      <c r="H610" s="26"/>
      <c r="I610" s="40"/>
      <c r="J610" s="26"/>
      <c r="K610" s="76"/>
      <c r="L610" s="26"/>
      <c r="M610" s="26"/>
    </row>
    <row r="611" spans="1:13" ht="40.5" x14ac:dyDescent="0.25">
      <c r="A611" s="132"/>
      <c r="B611" s="297"/>
      <c r="C611" s="141" t="s">
        <v>319</v>
      </c>
      <c r="D611" s="132" t="s">
        <v>55</v>
      </c>
      <c r="E611" s="132">
        <v>1</v>
      </c>
      <c r="F611" s="459">
        <f>F608*E611</f>
        <v>150</v>
      </c>
      <c r="G611" s="92"/>
      <c r="H611" s="89"/>
      <c r="I611" s="47"/>
      <c r="J611" s="89"/>
      <c r="K611" s="92"/>
      <c r="L611" s="89"/>
      <c r="M611" s="89"/>
    </row>
    <row r="612" spans="1:13" x14ac:dyDescent="0.25">
      <c r="A612" s="160"/>
      <c r="B612" s="299"/>
      <c r="C612" s="31" t="s">
        <v>52</v>
      </c>
      <c r="D612" s="29" t="s">
        <v>50</v>
      </c>
      <c r="E612" s="29">
        <v>1.5100000000000001E-2</v>
      </c>
      <c r="F612" s="32">
        <f>F608*E612</f>
        <v>2.2650000000000001</v>
      </c>
      <c r="G612" s="33"/>
      <c r="H612" s="32"/>
      <c r="I612" s="33"/>
      <c r="J612" s="32"/>
      <c r="K612" s="33"/>
      <c r="L612" s="32"/>
      <c r="M612" s="32"/>
    </row>
    <row r="613" spans="1:13" ht="27" x14ac:dyDescent="0.25">
      <c r="A613" s="460">
        <v>10</v>
      </c>
      <c r="B613" s="461" t="s">
        <v>320</v>
      </c>
      <c r="C613" s="374" t="s">
        <v>321</v>
      </c>
      <c r="D613" s="23" t="s">
        <v>322</v>
      </c>
      <c r="E613" s="47"/>
      <c r="F613" s="24">
        <f>F616+F617</f>
        <v>195</v>
      </c>
      <c r="G613" s="24"/>
      <c r="H613" s="462"/>
      <c r="I613" s="24"/>
      <c r="J613" s="462"/>
      <c r="K613" s="24"/>
      <c r="L613" s="462"/>
      <c r="M613" s="89"/>
    </row>
    <row r="614" spans="1:13" x14ac:dyDescent="0.25">
      <c r="A614" s="460"/>
      <c r="B614" s="463"/>
      <c r="C614" s="310" t="s">
        <v>183</v>
      </c>
      <c r="D614" s="311" t="s">
        <v>46</v>
      </c>
      <c r="E614" s="20">
        <f>0.12*1.15</f>
        <v>0.13799999999999998</v>
      </c>
      <c r="F614" s="26">
        <f>E614*F613</f>
        <v>26.909999999999997</v>
      </c>
      <c r="G614" s="76"/>
      <c r="H614" s="26"/>
      <c r="I614" s="40"/>
      <c r="J614" s="26"/>
      <c r="K614" s="76"/>
      <c r="L614" s="26"/>
      <c r="M614" s="77"/>
    </row>
    <row r="615" spans="1:13" x14ac:dyDescent="0.25">
      <c r="A615" s="460"/>
      <c r="B615" s="72"/>
      <c r="C615" s="310" t="s">
        <v>184</v>
      </c>
      <c r="D615" s="311" t="s">
        <v>122</v>
      </c>
      <c r="E615" s="269">
        <f>0.0053*1.25</f>
        <v>6.6249999999999998E-3</v>
      </c>
      <c r="F615" s="26">
        <f>E615*F613</f>
        <v>1.2918749999999999</v>
      </c>
      <c r="G615" s="76"/>
      <c r="H615" s="26"/>
      <c r="I615" s="40"/>
      <c r="J615" s="26"/>
      <c r="K615" s="97"/>
      <c r="L615" s="26"/>
      <c r="M615" s="26"/>
    </row>
    <row r="616" spans="1:13" ht="22.5" x14ac:dyDescent="0.35">
      <c r="A616" s="460"/>
      <c r="B616" s="464"/>
      <c r="C616" s="465" t="s">
        <v>323</v>
      </c>
      <c r="D616" s="466" t="s">
        <v>324</v>
      </c>
      <c r="E616" s="259"/>
      <c r="F616" s="257">
        <v>150</v>
      </c>
      <c r="G616" s="257"/>
      <c r="H616" s="202"/>
      <c r="I616" s="259"/>
      <c r="J616" s="371"/>
      <c r="K616" s="257"/>
      <c r="L616" s="371"/>
      <c r="M616" s="77"/>
    </row>
    <row r="617" spans="1:13" ht="15.75" x14ac:dyDescent="0.3">
      <c r="A617" s="460"/>
      <c r="B617" s="464"/>
      <c r="C617" s="467" t="s">
        <v>325</v>
      </c>
      <c r="D617" s="466" t="s">
        <v>324</v>
      </c>
      <c r="E617" s="259"/>
      <c r="F617" s="257">
        <v>45</v>
      </c>
      <c r="G617" s="257"/>
      <c r="H617" s="202"/>
      <c r="I617" s="259"/>
      <c r="J617" s="371"/>
      <c r="K617" s="257"/>
      <c r="L617" s="371"/>
      <c r="M617" s="77"/>
    </row>
    <row r="618" spans="1:13" ht="15.75" x14ac:dyDescent="0.3">
      <c r="A618" s="460"/>
      <c r="B618" s="464"/>
      <c r="C618" s="467" t="s">
        <v>326</v>
      </c>
      <c r="D618" s="466" t="s">
        <v>165</v>
      </c>
      <c r="E618" s="259"/>
      <c r="F618" s="257">
        <v>30</v>
      </c>
      <c r="G618" s="257"/>
      <c r="H618" s="202"/>
      <c r="I618" s="259"/>
      <c r="J618" s="202"/>
      <c r="K618" s="259"/>
      <c r="L618" s="202"/>
      <c r="M618" s="26"/>
    </row>
    <row r="619" spans="1:13" ht="15.75" x14ac:dyDescent="0.3">
      <c r="A619" s="460"/>
      <c r="B619" s="464"/>
      <c r="C619" s="467" t="s">
        <v>327</v>
      </c>
      <c r="D619" s="466" t="s">
        <v>165</v>
      </c>
      <c r="E619" s="259"/>
      <c r="F619" s="257">
        <v>30</v>
      </c>
      <c r="G619" s="257"/>
      <c r="H619" s="202"/>
      <c r="I619" s="259"/>
      <c r="J619" s="202"/>
      <c r="K619" s="259"/>
      <c r="L619" s="202"/>
      <c r="M619" s="26"/>
    </row>
    <row r="620" spans="1:13" ht="15.75" x14ac:dyDescent="0.3">
      <c r="A620" s="460"/>
      <c r="B620" s="464"/>
      <c r="C620" s="467" t="s">
        <v>328</v>
      </c>
      <c r="D620" s="466" t="s">
        <v>165</v>
      </c>
      <c r="E620" s="259"/>
      <c r="F620" s="257">
        <v>30</v>
      </c>
      <c r="G620" s="257"/>
      <c r="H620" s="202"/>
      <c r="I620" s="259"/>
      <c r="J620" s="202"/>
      <c r="K620" s="259"/>
      <c r="L620" s="202"/>
      <c r="M620" s="26"/>
    </row>
    <row r="621" spans="1:13" ht="15.75" x14ac:dyDescent="0.3">
      <c r="A621" s="460"/>
      <c r="B621" s="464"/>
      <c r="C621" s="467" t="s">
        <v>329</v>
      </c>
      <c r="D621" s="466" t="s">
        <v>165</v>
      </c>
      <c r="E621" s="259"/>
      <c r="F621" s="257">
        <v>30</v>
      </c>
      <c r="G621" s="257"/>
      <c r="H621" s="202"/>
      <c r="I621" s="259"/>
      <c r="J621" s="202"/>
      <c r="K621" s="259"/>
      <c r="L621" s="202"/>
      <c r="M621" s="26"/>
    </row>
    <row r="622" spans="1:13" x14ac:dyDescent="0.25">
      <c r="A622" s="460"/>
      <c r="B622" s="463"/>
      <c r="C622" s="134" t="s">
        <v>52</v>
      </c>
      <c r="D622" s="20" t="s">
        <v>50</v>
      </c>
      <c r="E622" s="20">
        <v>5.6800000000000003E-2</v>
      </c>
      <c r="F622" s="26">
        <f>E622*F613</f>
        <v>11.076000000000001</v>
      </c>
      <c r="G622" s="76"/>
      <c r="H622" s="26"/>
      <c r="I622" s="64"/>
      <c r="J622" s="202"/>
      <c r="K622" s="76"/>
      <c r="L622" s="26"/>
      <c r="M622" s="26"/>
    </row>
    <row r="623" spans="1:13" ht="54" x14ac:dyDescent="0.25">
      <c r="A623" s="35">
        <v>11</v>
      </c>
      <c r="B623" s="468" t="s">
        <v>330</v>
      </c>
      <c r="C623" s="94" t="s">
        <v>331</v>
      </c>
      <c r="D623" s="36" t="s">
        <v>44</v>
      </c>
      <c r="E623" s="36"/>
      <c r="F623" s="103">
        <v>30</v>
      </c>
      <c r="G623" s="469"/>
      <c r="H623" s="469"/>
      <c r="I623" s="469"/>
      <c r="J623" s="469"/>
      <c r="K623" s="469"/>
      <c r="L623" s="469"/>
      <c r="M623" s="469"/>
    </row>
    <row r="624" spans="1:13" x14ac:dyDescent="0.25">
      <c r="A624" s="47"/>
      <c r="B624" s="335"/>
      <c r="C624" s="310" t="s">
        <v>183</v>
      </c>
      <c r="D624" s="311" t="s">
        <v>46</v>
      </c>
      <c r="E624" s="269">
        <f>1.35*1.15</f>
        <v>1.5525</v>
      </c>
      <c r="F624" s="48">
        <f>F623*E624</f>
        <v>46.575000000000003</v>
      </c>
      <c r="G624" s="402"/>
      <c r="H624" s="470"/>
      <c r="I624" s="402"/>
      <c r="J624" s="402"/>
      <c r="K624" s="402"/>
      <c r="L624" s="402"/>
      <c r="M624" s="402"/>
    </row>
    <row r="625" spans="1:13" x14ac:dyDescent="0.25">
      <c r="A625" s="47"/>
      <c r="B625" s="40"/>
      <c r="C625" s="310" t="s">
        <v>184</v>
      </c>
      <c r="D625" s="311" t="s">
        <v>122</v>
      </c>
      <c r="E625" s="40">
        <f>3.1/100*1.25</f>
        <v>3.875E-2</v>
      </c>
      <c r="F625" s="48">
        <f>F623*E625</f>
        <v>1.1625000000000001</v>
      </c>
      <c r="G625" s="402"/>
      <c r="H625" s="402"/>
      <c r="I625" s="402"/>
      <c r="J625" s="402"/>
      <c r="K625" s="402"/>
      <c r="L625" s="402"/>
      <c r="M625" s="402"/>
    </row>
    <row r="626" spans="1:13" ht="27" x14ac:dyDescent="0.25">
      <c r="A626" s="47"/>
      <c r="B626" s="337"/>
      <c r="C626" s="46" t="s">
        <v>332</v>
      </c>
      <c r="D626" s="471" t="s">
        <v>44</v>
      </c>
      <c r="E626" s="164">
        <v>1</v>
      </c>
      <c r="F626" s="48">
        <f>F623*E626</f>
        <v>30</v>
      </c>
      <c r="G626" s="402"/>
      <c r="H626" s="402"/>
      <c r="I626" s="472"/>
      <c r="J626" s="402"/>
      <c r="K626" s="402"/>
      <c r="L626" s="402"/>
      <c r="M626" s="402"/>
    </row>
    <row r="627" spans="1:13" x14ac:dyDescent="0.25">
      <c r="A627" s="146"/>
      <c r="B627" s="339"/>
      <c r="C627" s="49" t="s">
        <v>52</v>
      </c>
      <c r="D627" s="34" t="s">
        <v>50</v>
      </c>
      <c r="E627" s="34">
        <v>0.29099999999999998</v>
      </c>
      <c r="F627" s="117">
        <f>F623*E627</f>
        <v>8.7299999999999986</v>
      </c>
      <c r="G627" s="473"/>
      <c r="H627" s="473"/>
      <c r="I627" s="473"/>
      <c r="J627" s="473"/>
      <c r="K627" s="473"/>
      <c r="L627" s="473"/>
      <c r="M627" s="473"/>
    </row>
    <row r="628" spans="1:13" ht="40.5" x14ac:dyDescent="0.25">
      <c r="A628" s="35">
        <v>12</v>
      </c>
      <c r="B628" s="179" t="s">
        <v>333</v>
      </c>
      <c r="C628" s="94" t="s">
        <v>334</v>
      </c>
      <c r="D628" s="474" t="s">
        <v>44</v>
      </c>
      <c r="E628" s="35"/>
      <c r="F628" s="37">
        <v>3</v>
      </c>
      <c r="G628" s="475"/>
      <c r="H628" s="475"/>
      <c r="I628" s="475"/>
      <c r="J628" s="475"/>
      <c r="K628" s="475"/>
      <c r="L628" s="475"/>
      <c r="M628" s="476"/>
    </row>
    <row r="629" spans="1:13" x14ac:dyDescent="0.25">
      <c r="A629" s="47"/>
      <c r="B629" s="335"/>
      <c r="C629" s="310" t="s">
        <v>183</v>
      </c>
      <c r="D629" s="311" t="s">
        <v>46</v>
      </c>
      <c r="E629" s="40">
        <f>0.68*1.15</f>
        <v>0.78200000000000003</v>
      </c>
      <c r="F629" s="48">
        <f>F628*E629</f>
        <v>2.3460000000000001</v>
      </c>
      <c r="G629" s="44"/>
      <c r="H629" s="44"/>
      <c r="I629" s="44"/>
      <c r="J629" s="44"/>
      <c r="K629" s="44"/>
      <c r="L629" s="44"/>
      <c r="M629" s="45"/>
    </row>
    <row r="630" spans="1:13" x14ac:dyDescent="0.25">
      <c r="A630" s="47"/>
      <c r="B630" s="40"/>
      <c r="C630" s="310" t="s">
        <v>184</v>
      </c>
      <c r="D630" s="311" t="s">
        <v>122</v>
      </c>
      <c r="E630" s="40">
        <f>0.011*1.25</f>
        <v>1.3749999999999998E-2</v>
      </c>
      <c r="F630" s="86">
        <f>F628*E630</f>
        <v>4.1249999999999995E-2</v>
      </c>
      <c r="G630" s="44"/>
      <c r="H630" s="44"/>
      <c r="I630" s="44"/>
      <c r="J630" s="44"/>
      <c r="K630" s="44"/>
      <c r="L630" s="44"/>
      <c r="M630" s="45"/>
    </row>
    <row r="631" spans="1:13" x14ac:dyDescent="0.25">
      <c r="A631" s="47"/>
      <c r="B631" s="337"/>
      <c r="C631" s="46" t="s">
        <v>335</v>
      </c>
      <c r="D631" s="184" t="s">
        <v>44</v>
      </c>
      <c r="E631" s="40"/>
      <c r="F631" s="477">
        <f>F628</f>
        <v>3</v>
      </c>
      <c r="G631" s="44"/>
      <c r="H631" s="44"/>
      <c r="I631" s="44"/>
      <c r="J631" s="44"/>
      <c r="K631" s="44"/>
      <c r="L631" s="44"/>
      <c r="M631" s="45"/>
    </row>
    <row r="632" spans="1:13" x14ac:dyDescent="0.25">
      <c r="A632" s="146"/>
      <c r="B632" s="339"/>
      <c r="C632" s="49" t="s">
        <v>52</v>
      </c>
      <c r="D632" s="34" t="s">
        <v>50</v>
      </c>
      <c r="E632" s="34">
        <v>0.10299999999999999</v>
      </c>
      <c r="F632" s="117">
        <f>F628*E632</f>
        <v>0.309</v>
      </c>
      <c r="G632" s="51"/>
      <c r="H632" s="51"/>
      <c r="I632" s="51"/>
      <c r="J632" s="44"/>
      <c r="K632" s="51"/>
      <c r="L632" s="51"/>
      <c r="M632" s="45"/>
    </row>
    <row r="633" spans="1:13" ht="40.5" x14ac:dyDescent="0.25">
      <c r="A633" s="35">
        <v>13</v>
      </c>
      <c r="B633" s="179" t="s">
        <v>336</v>
      </c>
      <c r="C633" s="94" t="s">
        <v>337</v>
      </c>
      <c r="D633" s="478" t="s">
        <v>44</v>
      </c>
      <c r="E633" s="35"/>
      <c r="F633" s="334">
        <v>3</v>
      </c>
      <c r="G633" s="469"/>
      <c r="H633" s="469"/>
      <c r="I633" s="469"/>
      <c r="J633" s="469"/>
      <c r="K633" s="469"/>
      <c r="L633" s="469"/>
      <c r="M633" s="469"/>
    </row>
    <row r="634" spans="1:13" x14ac:dyDescent="0.25">
      <c r="A634" s="47"/>
      <c r="B634" s="335"/>
      <c r="C634" s="310" t="s">
        <v>183</v>
      </c>
      <c r="D634" s="311" t="s">
        <v>46</v>
      </c>
      <c r="E634" s="40">
        <f>0.34*1.15</f>
        <v>0.39100000000000001</v>
      </c>
      <c r="F634" s="48">
        <f>F633*E634</f>
        <v>1.173</v>
      </c>
      <c r="G634" s="402"/>
      <c r="H634" s="402"/>
      <c r="I634" s="402"/>
      <c r="J634" s="402"/>
      <c r="K634" s="402"/>
      <c r="L634" s="402"/>
      <c r="M634" s="402"/>
    </row>
    <row r="635" spans="1:13" x14ac:dyDescent="0.25">
      <c r="A635" s="47"/>
      <c r="B635" s="40"/>
      <c r="C635" s="310" t="s">
        <v>184</v>
      </c>
      <c r="D635" s="311" t="s">
        <v>122</v>
      </c>
      <c r="E635" s="269">
        <f>0.0113*1.25</f>
        <v>1.4124999999999999E-2</v>
      </c>
      <c r="F635" s="86">
        <f>F633*E635</f>
        <v>4.2374999999999996E-2</v>
      </c>
      <c r="G635" s="402"/>
      <c r="H635" s="402"/>
      <c r="I635" s="402"/>
      <c r="J635" s="402"/>
      <c r="K635" s="402"/>
      <c r="L635" s="479"/>
      <c r="M635" s="479"/>
    </row>
    <row r="636" spans="1:13" x14ac:dyDescent="0.25">
      <c r="A636" s="47"/>
      <c r="B636" s="337"/>
      <c r="C636" s="46" t="s">
        <v>338</v>
      </c>
      <c r="D636" s="471" t="s">
        <v>44</v>
      </c>
      <c r="E636" s="47">
        <v>1</v>
      </c>
      <c r="F636" s="48">
        <f>F633*E636</f>
        <v>3</v>
      </c>
      <c r="G636" s="402"/>
      <c r="H636" s="402"/>
      <c r="I636" s="472"/>
      <c r="J636" s="402"/>
      <c r="K636" s="402"/>
      <c r="L636" s="402"/>
      <c r="M636" s="402"/>
    </row>
    <row r="637" spans="1:13" x14ac:dyDescent="0.25">
      <c r="A637" s="146"/>
      <c r="B637" s="339"/>
      <c r="C637" s="49" t="s">
        <v>52</v>
      </c>
      <c r="D637" s="34" t="s">
        <v>50</v>
      </c>
      <c r="E637" s="34">
        <v>9.3700000000000006E-2</v>
      </c>
      <c r="F637" s="117">
        <f>F633*E637</f>
        <v>0.28110000000000002</v>
      </c>
      <c r="G637" s="473"/>
      <c r="H637" s="473"/>
      <c r="I637" s="473"/>
      <c r="J637" s="470"/>
      <c r="K637" s="480"/>
      <c r="L637" s="480"/>
      <c r="M637" s="470"/>
    </row>
    <row r="638" spans="1:13" ht="54" x14ac:dyDescent="0.25">
      <c r="A638" s="481">
        <v>14</v>
      </c>
      <c r="B638" s="482" t="s">
        <v>339</v>
      </c>
      <c r="C638" s="483" t="s">
        <v>340</v>
      </c>
      <c r="D638" s="484" t="s">
        <v>341</v>
      </c>
      <c r="E638" s="485"/>
      <c r="F638" s="486">
        <v>1</v>
      </c>
      <c r="G638" s="487"/>
      <c r="H638" s="487"/>
      <c r="I638" s="487"/>
      <c r="J638" s="487"/>
      <c r="K638" s="487"/>
      <c r="L638" s="487"/>
      <c r="M638" s="487"/>
    </row>
    <row r="639" spans="1:13" x14ac:dyDescent="0.25">
      <c r="A639" s="488"/>
      <c r="B639" s="489"/>
      <c r="C639" s="310" t="s">
        <v>183</v>
      </c>
      <c r="D639" s="311" t="s">
        <v>46</v>
      </c>
      <c r="E639" s="490">
        <f>6.26*1.15</f>
        <v>7.198999999999999</v>
      </c>
      <c r="F639" s="491">
        <f>F638*E639</f>
        <v>7.198999999999999</v>
      </c>
      <c r="G639" s="491"/>
      <c r="H639" s="491"/>
      <c r="I639" s="491"/>
      <c r="J639" s="491"/>
      <c r="K639" s="491"/>
      <c r="L639" s="491"/>
      <c r="M639" s="492"/>
    </row>
    <row r="640" spans="1:13" x14ac:dyDescent="0.25">
      <c r="A640" s="488"/>
      <c r="B640" s="489"/>
      <c r="C640" s="310" t="s">
        <v>184</v>
      </c>
      <c r="D640" s="311" t="s">
        <v>122</v>
      </c>
      <c r="E640" s="490">
        <f>0.16*1.25</f>
        <v>0.2</v>
      </c>
      <c r="F640" s="491">
        <f>F638*E640</f>
        <v>0.2</v>
      </c>
      <c r="G640" s="491"/>
      <c r="H640" s="491"/>
      <c r="I640" s="491"/>
      <c r="J640" s="491"/>
      <c r="K640" s="491"/>
      <c r="L640" s="491"/>
      <c r="M640" s="491"/>
    </row>
    <row r="641" spans="1:13" ht="45" x14ac:dyDescent="0.25">
      <c r="A641" s="488"/>
      <c r="B641" s="489"/>
      <c r="C641" s="493" t="s">
        <v>342</v>
      </c>
      <c r="D641" s="466" t="s">
        <v>165</v>
      </c>
      <c r="E641" s="494"/>
      <c r="F641" s="494">
        <v>1</v>
      </c>
      <c r="G641" s="491"/>
      <c r="H641" s="491"/>
      <c r="I641" s="495"/>
      <c r="J641" s="495"/>
      <c r="K641" s="495"/>
      <c r="L641" s="495"/>
      <c r="M641" s="495"/>
    </row>
    <row r="642" spans="1:13" x14ac:dyDescent="0.25">
      <c r="A642" s="488"/>
      <c r="B642" s="489"/>
      <c r="C642" s="496" t="s">
        <v>343</v>
      </c>
      <c r="D642" s="466" t="s">
        <v>165</v>
      </c>
      <c r="E642" s="494"/>
      <c r="F642" s="494">
        <v>1</v>
      </c>
      <c r="G642" s="491"/>
      <c r="H642" s="491"/>
      <c r="I642" s="495"/>
      <c r="J642" s="495"/>
      <c r="K642" s="495"/>
      <c r="L642" s="495"/>
      <c r="M642" s="495"/>
    </row>
    <row r="643" spans="1:13" ht="27" x14ac:dyDescent="0.25">
      <c r="A643" s="488"/>
      <c r="B643" s="20"/>
      <c r="C643" s="134" t="s">
        <v>344</v>
      </c>
      <c r="D643" s="48" t="s">
        <v>192</v>
      </c>
      <c r="E643" s="90"/>
      <c r="F643" s="90">
        <v>1</v>
      </c>
      <c r="G643" s="90"/>
      <c r="H643" s="90"/>
      <c r="I643" s="497"/>
      <c r="J643" s="497"/>
      <c r="K643" s="497"/>
      <c r="L643" s="497"/>
      <c r="M643" s="497"/>
    </row>
    <row r="644" spans="1:13" ht="27" x14ac:dyDescent="0.25">
      <c r="A644" s="488"/>
      <c r="B644" s="20"/>
      <c r="C644" s="134" t="s">
        <v>345</v>
      </c>
      <c r="D644" s="86" t="s">
        <v>192</v>
      </c>
      <c r="E644" s="90"/>
      <c r="F644" s="90">
        <v>1</v>
      </c>
      <c r="G644" s="90"/>
      <c r="H644" s="90"/>
      <c r="I644" s="497"/>
      <c r="J644" s="497"/>
      <c r="K644" s="497"/>
      <c r="L644" s="497"/>
      <c r="M644" s="497"/>
    </row>
    <row r="645" spans="1:13" x14ac:dyDescent="0.25">
      <c r="A645" s="498"/>
      <c r="B645" s="499"/>
      <c r="C645" s="499" t="s">
        <v>52</v>
      </c>
      <c r="D645" s="500" t="s">
        <v>50</v>
      </c>
      <c r="E645" s="501">
        <v>1.6</v>
      </c>
      <c r="F645" s="502">
        <f>F638*E645</f>
        <v>1.6</v>
      </c>
      <c r="G645" s="502"/>
      <c r="H645" s="502"/>
      <c r="I645" s="503"/>
      <c r="J645" s="503"/>
      <c r="K645" s="503"/>
      <c r="L645" s="503"/>
      <c r="M645" s="503"/>
    </row>
    <row r="646" spans="1:13" ht="67.5" x14ac:dyDescent="0.25">
      <c r="A646" s="48">
        <v>15</v>
      </c>
      <c r="B646" s="20" t="s">
        <v>346</v>
      </c>
      <c r="C646" s="504" t="s">
        <v>347</v>
      </c>
      <c r="D646" s="505" t="s">
        <v>192</v>
      </c>
      <c r="E646" s="505"/>
      <c r="F646" s="506">
        <v>1</v>
      </c>
      <c r="G646" s="507"/>
      <c r="H646" s="508"/>
      <c r="I646" s="509"/>
      <c r="J646" s="508"/>
      <c r="K646" s="510"/>
      <c r="L646" s="508"/>
      <c r="M646" s="511"/>
    </row>
    <row r="647" spans="1:13" x14ac:dyDescent="0.25">
      <c r="A647" s="48"/>
      <c r="B647" s="437"/>
      <c r="C647" s="310" t="s">
        <v>183</v>
      </c>
      <c r="D647" s="311" t="s">
        <v>46</v>
      </c>
      <c r="E647" s="75">
        <f>5*1.15</f>
        <v>5.75</v>
      </c>
      <c r="F647" s="497">
        <f>F646*E647</f>
        <v>5.75</v>
      </c>
      <c r="G647" s="110"/>
      <c r="H647" s="75"/>
      <c r="I647" s="86"/>
      <c r="J647" s="43"/>
      <c r="K647" s="110"/>
      <c r="L647" s="43"/>
      <c r="M647" s="75"/>
    </row>
    <row r="648" spans="1:13" x14ac:dyDescent="0.25">
      <c r="A648" s="48"/>
      <c r="B648" s="20"/>
      <c r="C648" s="310" t="s">
        <v>184</v>
      </c>
      <c r="D648" s="311" t="s">
        <v>122</v>
      </c>
      <c r="E648" s="512">
        <f>0.2*1.25</f>
        <v>0.25</v>
      </c>
      <c r="F648" s="280">
        <f>F646*E648</f>
        <v>0.25</v>
      </c>
      <c r="G648" s="110"/>
      <c r="H648" s="43"/>
      <c r="I648" s="86"/>
      <c r="J648" s="43"/>
      <c r="K648" s="110"/>
      <c r="L648" s="43"/>
      <c r="M648" s="75"/>
    </row>
    <row r="649" spans="1:13" x14ac:dyDescent="0.25">
      <c r="A649" s="48"/>
      <c r="B649" s="20"/>
      <c r="C649" s="513" t="s">
        <v>348</v>
      </c>
      <c r="D649" s="86" t="s">
        <v>192</v>
      </c>
      <c r="E649" s="75">
        <v>1</v>
      </c>
      <c r="F649" s="43">
        <f>E649*F646</f>
        <v>1</v>
      </c>
      <c r="G649" s="110"/>
      <c r="H649" s="43"/>
      <c r="I649" s="75"/>
      <c r="J649" s="75"/>
      <c r="K649" s="110"/>
      <c r="L649" s="43"/>
      <c r="M649" s="75"/>
    </row>
    <row r="650" spans="1:13" x14ac:dyDescent="0.25">
      <c r="A650" s="696"/>
      <c r="B650" s="30"/>
      <c r="C650" s="31" t="s">
        <v>52</v>
      </c>
      <c r="D650" s="50" t="s">
        <v>50</v>
      </c>
      <c r="E650" s="50">
        <v>8.85</v>
      </c>
      <c r="F650" s="118">
        <f>F646*E650</f>
        <v>8.85</v>
      </c>
      <c r="G650" s="119"/>
      <c r="H650" s="118"/>
      <c r="I650" s="50"/>
      <c r="J650" s="120"/>
      <c r="K650" s="119"/>
      <c r="L650" s="118"/>
      <c r="M650" s="118"/>
    </row>
    <row r="651" spans="1:13" ht="40.5" x14ac:dyDescent="0.25">
      <c r="A651" s="35">
        <v>16</v>
      </c>
      <c r="B651" s="179" t="s">
        <v>333</v>
      </c>
      <c r="C651" s="94" t="s">
        <v>349</v>
      </c>
      <c r="D651" s="474" t="s">
        <v>44</v>
      </c>
      <c r="E651" s="35"/>
      <c r="F651" s="37">
        <v>17</v>
      </c>
      <c r="G651" s="475"/>
      <c r="H651" s="476"/>
      <c r="I651" s="476"/>
      <c r="J651" s="476"/>
      <c r="K651" s="476"/>
      <c r="L651" s="476"/>
      <c r="M651" s="476"/>
    </row>
    <row r="652" spans="1:13" x14ac:dyDescent="0.25">
      <c r="A652" s="47"/>
      <c r="B652" s="514" t="s">
        <v>350</v>
      </c>
      <c r="C652" s="310" t="s">
        <v>183</v>
      </c>
      <c r="D652" s="311" t="s">
        <v>46</v>
      </c>
      <c r="E652" s="269">
        <f>0.68*1.15*1.4</f>
        <v>1.0948</v>
      </c>
      <c r="F652" s="48">
        <f>F651*E652</f>
        <v>18.611599999999999</v>
      </c>
      <c r="G652" s="44"/>
      <c r="H652" s="433"/>
      <c r="I652" s="515"/>
      <c r="J652" s="515"/>
      <c r="K652" s="515"/>
      <c r="L652" s="515"/>
      <c r="M652" s="516"/>
    </row>
    <row r="653" spans="1:13" x14ac:dyDescent="0.25">
      <c r="A653" s="47"/>
      <c r="B653" s="335"/>
      <c r="C653" s="310" t="s">
        <v>184</v>
      </c>
      <c r="D653" s="311" t="s">
        <v>122</v>
      </c>
      <c r="E653" s="269">
        <f>0.011*1.25*1.4</f>
        <v>1.9249999999999996E-2</v>
      </c>
      <c r="F653" s="86">
        <f>F651*E653</f>
        <v>0.32724999999999993</v>
      </c>
      <c r="G653" s="44"/>
      <c r="H653" s="45"/>
      <c r="I653" s="515"/>
      <c r="J653" s="515"/>
      <c r="K653" s="515"/>
      <c r="L653" s="515"/>
      <c r="M653" s="516"/>
    </row>
    <row r="654" spans="1:13" ht="27" x14ac:dyDescent="0.25">
      <c r="A654" s="697"/>
      <c r="B654" s="40"/>
      <c r="C654" s="46" t="s">
        <v>351</v>
      </c>
      <c r="D654" s="184" t="s">
        <v>44</v>
      </c>
      <c r="E654" s="40"/>
      <c r="F654" s="477">
        <f>F651</f>
        <v>17</v>
      </c>
      <c r="G654" s="44"/>
      <c r="H654" s="45"/>
      <c r="I654" s="515"/>
      <c r="J654" s="515"/>
      <c r="K654" s="515"/>
      <c r="L654" s="515"/>
      <c r="M654" s="516"/>
    </row>
    <row r="655" spans="1:13" x14ac:dyDescent="0.25">
      <c r="A655" s="146"/>
      <c r="B655" s="517"/>
      <c r="C655" s="49" t="s">
        <v>52</v>
      </c>
      <c r="D655" s="34" t="s">
        <v>50</v>
      </c>
      <c r="E655" s="34">
        <v>0.10299999999999999</v>
      </c>
      <c r="F655" s="117">
        <f>F651*E655</f>
        <v>1.7509999999999999</v>
      </c>
      <c r="G655" s="51"/>
      <c r="H655" s="52"/>
      <c r="I655" s="435"/>
      <c r="J655" s="435"/>
      <c r="K655" s="435"/>
      <c r="L655" s="435"/>
      <c r="M655" s="518"/>
    </row>
    <row r="656" spans="1:13" ht="40.5" x14ac:dyDescent="0.25">
      <c r="A656" s="35">
        <v>17</v>
      </c>
      <c r="B656" s="179" t="s">
        <v>333</v>
      </c>
      <c r="C656" s="94" t="s">
        <v>351</v>
      </c>
      <c r="D656" s="474" t="s">
        <v>44</v>
      </c>
      <c r="E656" s="35"/>
      <c r="F656" s="37">
        <v>3</v>
      </c>
      <c r="G656" s="475"/>
      <c r="H656" s="476"/>
      <c r="I656" s="476"/>
      <c r="J656" s="476"/>
      <c r="K656" s="476"/>
      <c r="L656" s="476"/>
      <c r="M656" s="476"/>
    </row>
    <row r="657" spans="1:13" x14ac:dyDescent="0.25">
      <c r="A657" s="47"/>
      <c r="B657" s="514" t="s">
        <v>350</v>
      </c>
      <c r="C657" s="310" t="s">
        <v>183</v>
      </c>
      <c r="D657" s="311" t="s">
        <v>46</v>
      </c>
      <c r="E657" s="269">
        <f>0.68*1.15*1.4</f>
        <v>1.0948</v>
      </c>
      <c r="F657" s="48">
        <f>F656*E657</f>
        <v>3.2843999999999998</v>
      </c>
      <c r="G657" s="44"/>
      <c r="H657" s="433"/>
      <c r="I657" s="45"/>
      <c r="J657" s="45"/>
      <c r="K657" s="45"/>
      <c r="L657" s="45"/>
      <c r="M657" s="433"/>
    </row>
    <row r="658" spans="1:13" x14ac:dyDescent="0.25">
      <c r="A658" s="47"/>
      <c r="B658" s="335"/>
      <c r="C658" s="310" t="s">
        <v>184</v>
      </c>
      <c r="D658" s="311" t="s">
        <v>122</v>
      </c>
      <c r="E658" s="269">
        <f>0.011*1.25*1.4</f>
        <v>1.9249999999999996E-2</v>
      </c>
      <c r="F658" s="86">
        <f>F656*E658</f>
        <v>5.7749999999999989E-2</v>
      </c>
      <c r="G658" s="44"/>
      <c r="H658" s="45"/>
      <c r="I658" s="45"/>
      <c r="J658" s="45"/>
      <c r="K658" s="45"/>
      <c r="L658" s="45"/>
      <c r="M658" s="433"/>
    </row>
    <row r="659" spans="1:13" ht="27" x14ac:dyDescent="0.25">
      <c r="A659" s="697"/>
      <c r="B659" s="40"/>
      <c r="C659" s="46" t="s">
        <v>351</v>
      </c>
      <c r="D659" s="184" t="s">
        <v>44</v>
      </c>
      <c r="E659" s="40"/>
      <c r="F659" s="477">
        <f>F656</f>
        <v>3</v>
      </c>
      <c r="G659" s="44"/>
      <c r="H659" s="45"/>
      <c r="I659" s="45"/>
      <c r="J659" s="45"/>
      <c r="K659" s="45"/>
      <c r="L659" s="45"/>
      <c r="M659" s="433"/>
    </row>
    <row r="660" spans="1:13" x14ac:dyDescent="0.25">
      <c r="A660" s="146"/>
      <c r="B660" s="517"/>
      <c r="C660" s="49" t="s">
        <v>52</v>
      </c>
      <c r="D660" s="34" t="s">
        <v>50</v>
      </c>
      <c r="E660" s="34">
        <v>0.10299999999999999</v>
      </c>
      <c r="F660" s="117">
        <f>F656*E660</f>
        <v>0.309</v>
      </c>
      <c r="G660" s="51"/>
      <c r="H660" s="52"/>
      <c r="I660" s="52"/>
      <c r="J660" s="52"/>
      <c r="K660" s="52"/>
      <c r="L660" s="52"/>
      <c r="M660" s="436"/>
    </row>
    <row r="661" spans="1:13" ht="30" x14ac:dyDescent="0.25">
      <c r="A661" s="300" t="s">
        <v>352</v>
      </c>
      <c r="B661" s="301" t="s">
        <v>181</v>
      </c>
      <c r="C661" s="302" t="s">
        <v>353</v>
      </c>
      <c r="D661" s="303" t="s">
        <v>165</v>
      </c>
      <c r="E661" s="303"/>
      <c r="F661" s="304">
        <v>46</v>
      </c>
      <c r="G661" s="305"/>
      <c r="H661" s="306"/>
      <c r="I661" s="305"/>
      <c r="J661" s="306"/>
      <c r="K661" s="305"/>
      <c r="L661" s="306"/>
      <c r="M661" s="307"/>
    </row>
    <row r="662" spans="1:13" x14ac:dyDescent="0.25">
      <c r="A662" s="308"/>
      <c r="B662" s="309" t="s">
        <v>350</v>
      </c>
      <c r="C662" s="310" t="s">
        <v>183</v>
      </c>
      <c r="D662" s="311" t="s">
        <v>46</v>
      </c>
      <c r="E662" s="312">
        <f>0.54*1.15*1.4</f>
        <v>0.86939999999999995</v>
      </c>
      <c r="F662" s="312">
        <f>E662*F661</f>
        <v>39.992399999999996</v>
      </c>
      <c r="G662" s="313"/>
      <c r="H662" s="312"/>
      <c r="I662" s="314"/>
      <c r="J662" s="315"/>
      <c r="K662" s="313"/>
      <c r="L662" s="312"/>
      <c r="M662" s="316"/>
    </row>
    <row r="663" spans="1:13" x14ac:dyDescent="0.25">
      <c r="A663" s="308"/>
      <c r="B663" s="309"/>
      <c r="C663" s="310" t="s">
        <v>184</v>
      </c>
      <c r="D663" s="311" t="s">
        <v>122</v>
      </c>
      <c r="E663" s="318">
        <f>0.0113*1.25*1.4</f>
        <v>1.9774999999999997E-2</v>
      </c>
      <c r="F663" s="318">
        <f>E663*F661</f>
        <v>0.90964999999999985</v>
      </c>
      <c r="G663" s="313"/>
      <c r="H663" s="312"/>
      <c r="I663" s="312"/>
      <c r="J663" s="312"/>
      <c r="K663" s="314"/>
      <c r="L663" s="319"/>
      <c r="M663" s="316"/>
    </row>
    <row r="664" spans="1:13" x14ac:dyDescent="0.25">
      <c r="A664" s="308"/>
      <c r="B664" s="320"/>
      <c r="C664" s="321" t="s">
        <v>182</v>
      </c>
      <c r="D664" s="311" t="s">
        <v>165</v>
      </c>
      <c r="E664" s="312">
        <v>1</v>
      </c>
      <c r="F664" s="314">
        <f>E664*F661</f>
        <v>46</v>
      </c>
      <c r="G664" s="314"/>
      <c r="H664" s="322"/>
      <c r="I664" s="314"/>
      <c r="J664" s="314"/>
      <c r="K664" s="314"/>
      <c r="L664" s="314"/>
      <c r="M664" s="316"/>
    </row>
    <row r="665" spans="1:13" x14ac:dyDescent="0.25">
      <c r="A665" s="325"/>
      <c r="B665" s="326"/>
      <c r="C665" s="327" t="s">
        <v>186</v>
      </c>
      <c r="D665" s="328" t="s">
        <v>122</v>
      </c>
      <c r="E665" s="519">
        <v>9.3699999999999992E-2</v>
      </c>
      <c r="F665" s="330">
        <v>2.4361999999999999</v>
      </c>
      <c r="G665" s="330"/>
      <c r="H665" s="331"/>
      <c r="I665" s="332"/>
      <c r="J665" s="330"/>
      <c r="K665" s="332"/>
      <c r="L665" s="330"/>
      <c r="M665" s="316"/>
    </row>
    <row r="666" spans="1:13" ht="30" x14ac:dyDescent="0.25">
      <c r="A666" s="300" t="s">
        <v>354</v>
      </c>
      <c r="B666" s="301" t="s">
        <v>181</v>
      </c>
      <c r="C666" s="302" t="s">
        <v>355</v>
      </c>
      <c r="D666" s="303" t="s">
        <v>165</v>
      </c>
      <c r="E666" s="303"/>
      <c r="F666" s="304">
        <v>3</v>
      </c>
      <c r="G666" s="305"/>
      <c r="H666" s="306"/>
      <c r="I666" s="305"/>
      <c r="J666" s="306"/>
      <c r="K666" s="305"/>
      <c r="L666" s="306"/>
      <c r="M666" s="307"/>
    </row>
    <row r="667" spans="1:13" x14ac:dyDescent="0.25">
      <c r="A667" s="308"/>
      <c r="B667" s="309" t="s">
        <v>350</v>
      </c>
      <c r="C667" s="310" t="s">
        <v>183</v>
      </c>
      <c r="D667" s="311" t="s">
        <v>46</v>
      </c>
      <c r="E667" s="312">
        <f>0.54*1.15*1.4</f>
        <v>0.86939999999999995</v>
      </c>
      <c r="F667" s="312">
        <f>E667*F666</f>
        <v>2.6082000000000001</v>
      </c>
      <c r="G667" s="313"/>
      <c r="H667" s="312"/>
      <c r="I667" s="314"/>
      <c r="J667" s="315"/>
      <c r="K667" s="313"/>
      <c r="L667" s="312"/>
      <c r="M667" s="316"/>
    </row>
    <row r="668" spans="1:13" x14ac:dyDescent="0.25">
      <c r="A668" s="308"/>
      <c r="B668" s="309"/>
      <c r="C668" s="310" t="s">
        <v>184</v>
      </c>
      <c r="D668" s="311" t="s">
        <v>122</v>
      </c>
      <c r="E668" s="318">
        <f>0.0113*1.25*1.4</f>
        <v>1.9774999999999997E-2</v>
      </c>
      <c r="F668" s="318">
        <f>E668*F666</f>
        <v>5.9324999999999989E-2</v>
      </c>
      <c r="G668" s="313"/>
      <c r="H668" s="312"/>
      <c r="I668" s="312"/>
      <c r="J668" s="312"/>
      <c r="K668" s="314"/>
      <c r="L668" s="319"/>
      <c r="M668" s="316"/>
    </row>
    <row r="669" spans="1:13" x14ac:dyDescent="0.25">
      <c r="A669" s="308"/>
      <c r="B669" s="320"/>
      <c r="C669" s="321" t="s">
        <v>356</v>
      </c>
      <c r="D669" s="311" t="s">
        <v>165</v>
      </c>
      <c r="E669" s="312">
        <v>1</v>
      </c>
      <c r="F669" s="314">
        <f>E669*F666</f>
        <v>3</v>
      </c>
      <c r="G669" s="314"/>
      <c r="H669" s="322"/>
      <c r="I669" s="314"/>
      <c r="J669" s="314"/>
      <c r="K669" s="314"/>
      <c r="L669" s="314"/>
      <c r="M669" s="316"/>
    </row>
    <row r="670" spans="1:13" x14ac:dyDescent="0.25">
      <c r="A670" s="325"/>
      <c r="B670" s="326"/>
      <c r="C670" s="327" t="s">
        <v>186</v>
      </c>
      <c r="D670" s="328" t="s">
        <v>122</v>
      </c>
      <c r="E670" s="519">
        <v>9.3699999999999992E-2</v>
      </c>
      <c r="F670" s="330">
        <v>2.4361999999999999</v>
      </c>
      <c r="G670" s="330"/>
      <c r="H670" s="331"/>
      <c r="I670" s="332"/>
      <c r="J670" s="330"/>
      <c r="K670" s="332"/>
      <c r="L670" s="330"/>
      <c r="M670" s="316"/>
    </row>
    <row r="671" spans="1:13" ht="40.5" x14ac:dyDescent="0.25">
      <c r="A671" s="300" t="s">
        <v>357</v>
      </c>
      <c r="B671" s="301" t="s">
        <v>181</v>
      </c>
      <c r="C671" s="94" t="s">
        <v>358</v>
      </c>
      <c r="D671" s="303" t="s">
        <v>165</v>
      </c>
      <c r="E671" s="303"/>
      <c r="F671" s="304">
        <v>5</v>
      </c>
      <c r="G671" s="305"/>
      <c r="H671" s="306"/>
      <c r="I671" s="305"/>
      <c r="J671" s="306"/>
      <c r="K671" s="305"/>
      <c r="L671" s="306"/>
      <c r="M671" s="307"/>
    </row>
    <row r="672" spans="1:13" x14ac:dyDescent="0.25">
      <c r="A672" s="308"/>
      <c r="B672" s="309" t="s">
        <v>350</v>
      </c>
      <c r="C672" s="310" t="s">
        <v>183</v>
      </c>
      <c r="D672" s="311" t="s">
        <v>46</v>
      </c>
      <c r="E672" s="312">
        <f>0.54*1.15*1.4*2</f>
        <v>1.7387999999999999</v>
      </c>
      <c r="F672" s="312">
        <f>E672*F671</f>
        <v>8.6939999999999991</v>
      </c>
      <c r="G672" s="313"/>
      <c r="H672" s="312"/>
      <c r="I672" s="314"/>
      <c r="J672" s="315"/>
      <c r="K672" s="313"/>
      <c r="L672" s="312"/>
      <c r="M672" s="316"/>
    </row>
    <row r="673" spans="1:13" x14ac:dyDescent="0.25">
      <c r="A673" s="308"/>
      <c r="B673" s="309"/>
      <c r="C673" s="310" t="s">
        <v>184</v>
      </c>
      <c r="D673" s="311" t="s">
        <v>122</v>
      </c>
      <c r="E673" s="318">
        <f>0.0113*1.25*1.4</f>
        <v>1.9774999999999997E-2</v>
      </c>
      <c r="F673" s="318">
        <f>E673*F671</f>
        <v>9.8874999999999991E-2</v>
      </c>
      <c r="G673" s="313"/>
      <c r="H673" s="312"/>
      <c r="I673" s="312"/>
      <c r="J673" s="312"/>
      <c r="K673" s="314"/>
      <c r="L673" s="319"/>
      <c r="M673" s="316"/>
    </row>
    <row r="674" spans="1:13" x14ac:dyDescent="0.25">
      <c r="A674" s="308"/>
      <c r="B674" s="323"/>
      <c r="C674" s="324" t="s">
        <v>356</v>
      </c>
      <c r="D674" s="311" t="s">
        <v>165</v>
      </c>
      <c r="E674" s="312"/>
      <c r="F674" s="314">
        <v>10</v>
      </c>
      <c r="G674" s="314"/>
      <c r="H674" s="322"/>
      <c r="I674" s="314"/>
      <c r="J674" s="314"/>
      <c r="K674" s="314"/>
      <c r="L674" s="314"/>
      <c r="M674" s="316"/>
    </row>
    <row r="675" spans="1:13" x14ac:dyDescent="0.25">
      <c r="A675" s="308"/>
      <c r="B675" s="323"/>
      <c r="C675" s="46" t="s">
        <v>359</v>
      </c>
      <c r="D675" s="311" t="s">
        <v>165</v>
      </c>
      <c r="E675" s="312"/>
      <c r="F675" s="314">
        <v>5</v>
      </c>
      <c r="G675" s="314"/>
      <c r="H675" s="322"/>
      <c r="I675" s="314"/>
      <c r="J675" s="314"/>
      <c r="K675" s="314"/>
      <c r="L675" s="314"/>
      <c r="M675" s="316"/>
    </row>
    <row r="676" spans="1:13" x14ac:dyDescent="0.25">
      <c r="A676" s="325"/>
      <c r="B676" s="326"/>
      <c r="C676" s="327" t="s">
        <v>186</v>
      </c>
      <c r="D676" s="328" t="s">
        <v>122</v>
      </c>
      <c r="E676" s="519">
        <v>9.3699999999999992E-2</v>
      </c>
      <c r="F676" s="330">
        <v>2.4361999999999999</v>
      </c>
      <c r="G676" s="330"/>
      <c r="H676" s="331"/>
      <c r="I676" s="332"/>
      <c r="J676" s="330"/>
      <c r="K676" s="332"/>
      <c r="L676" s="330"/>
      <c r="M676" s="316"/>
    </row>
    <row r="677" spans="1:13" ht="40.5" x14ac:dyDescent="0.25">
      <c r="A677" s="300" t="s">
        <v>360</v>
      </c>
      <c r="B677" s="301" t="s">
        <v>181</v>
      </c>
      <c r="C677" s="94" t="s">
        <v>361</v>
      </c>
      <c r="D677" s="303" t="s">
        <v>165</v>
      </c>
      <c r="E677" s="303"/>
      <c r="F677" s="304">
        <v>2</v>
      </c>
      <c r="G677" s="305"/>
      <c r="H677" s="306"/>
      <c r="I677" s="305"/>
      <c r="J677" s="306"/>
      <c r="K677" s="305"/>
      <c r="L677" s="306"/>
      <c r="M677" s="307"/>
    </row>
    <row r="678" spans="1:13" x14ac:dyDescent="0.25">
      <c r="A678" s="308"/>
      <c r="B678" s="309" t="s">
        <v>350</v>
      </c>
      <c r="C678" s="310" t="s">
        <v>183</v>
      </c>
      <c r="D678" s="311" t="s">
        <v>46</v>
      </c>
      <c r="E678" s="312">
        <f>0.54*1.15*1.4*4</f>
        <v>3.4775999999999998</v>
      </c>
      <c r="F678" s="312">
        <f>E678*F677</f>
        <v>6.9551999999999996</v>
      </c>
      <c r="G678" s="313"/>
      <c r="H678" s="312"/>
      <c r="I678" s="314"/>
      <c r="J678" s="315"/>
      <c r="K678" s="313"/>
      <c r="L678" s="312"/>
      <c r="M678" s="316"/>
    </row>
    <row r="679" spans="1:13" x14ac:dyDescent="0.25">
      <c r="A679" s="308"/>
      <c r="B679" s="309"/>
      <c r="C679" s="310" t="s">
        <v>184</v>
      </c>
      <c r="D679" s="311" t="s">
        <v>122</v>
      </c>
      <c r="E679" s="318">
        <f>0.0113*1.25*1.4</f>
        <v>1.9774999999999997E-2</v>
      </c>
      <c r="F679" s="318">
        <f>E679*F677</f>
        <v>3.9549999999999995E-2</v>
      </c>
      <c r="G679" s="313"/>
      <c r="H679" s="312"/>
      <c r="I679" s="312"/>
      <c r="J679" s="312"/>
      <c r="K679" s="314"/>
      <c r="L679" s="319"/>
      <c r="M679" s="316"/>
    </row>
    <row r="680" spans="1:13" x14ac:dyDescent="0.25">
      <c r="A680" s="308"/>
      <c r="B680" s="323"/>
      <c r="C680" s="324" t="s">
        <v>356</v>
      </c>
      <c r="D680" s="311" t="s">
        <v>165</v>
      </c>
      <c r="E680" s="312"/>
      <c r="F680" s="314">
        <v>8</v>
      </c>
      <c r="G680" s="314"/>
      <c r="H680" s="322"/>
      <c r="I680" s="314"/>
      <c r="J680" s="314"/>
      <c r="K680" s="314"/>
      <c r="L680" s="314"/>
      <c r="M680" s="316"/>
    </row>
    <row r="681" spans="1:13" x14ac:dyDescent="0.25">
      <c r="A681" s="308"/>
      <c r="B681" s="323"/>
      <c r="C681" s="46" t="s">
        <v>495</v>
      </c>
      <c r="D681" s="311" t="s">
        <v>165</v>
      </c>
      <c r="E681" s="312"/>
      <c r="F681" s="314">
        <v>2</v>
      </c>
      <c r="G681" s="314"/>
      <c r="H681" s="322"/>
      <c r="I681" s="314"/>
      <c r="J681" s="314"/>
      <c r="K681" s="314"/>
      <c r="L681" s="314"/>
      <c r="M681" s="316"/>
    </row>
    <row r="682" spans="1:13" x14ac:dyDescent="0.25">
      <c r="A682" s="325"/>
      <c r="B682" s="326"/>
      <c r="C682" s="327" t="s">
        <v>186</v>
      </c>
      <c r="D682" s="328" t="s">
        <v>122</v>
      </c>
      <c r="E682" s="519">
        <v>9.3699999999999992E-2</v>
      </c>
      <c r="F682" s="330">
        <v>2.4361999999999999</v>
      </c>
      <c r="G682" s="330"/>
      <c r="H682" s="331"/>
      <c r="I682" s="332"/>
      <c r="J682" s="330"/>
      <c r="K682" s="332"/>
      <c r="L682" s="330"/>
      <c r="M682" s="316"/>
    </row>
    <row r="683" spans="1:13" ht="15.75" x14ac:dyDescent="0.25">
      <c r="A683" s="682"/>
      <c r="B683" s="16"/>
      <c r="C683" s="178" t="s">
        <v>362</v>
      </c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67.5" x14ac:dyDescent="0.25">
      <c r="A684" s="403">
        <v>1</v>
      </c>
      <c r="B684" s="53" t="s">
        <v>98</v>
      </c>
      <c r="C684" s="94" t="s">
        <v>363</v>
      </c>
      <c r="D684" s="274" t="s">
        <v>65</v>
      </c>
      <c r="E684" s="35"/>
      <c r="F684" s="123">
        <v>72</v>
      </c>
      <c r="G684" s="56"/>
      <c r="H684" s="57"/>
      <c r="I684" s="58"/>
      <c r="J684" s="59"/>
      <c r="K684" s="60"/>
      <c r="L684" s="60"/>
      <c r="M684" s="61"/>
    </row>
    <row r="685" spans="1:13" x14ac:dyDescent="0.25">
      <c r="A685" s="109"/>
      <c r="B685" s="164"/>
      <c r="C685" s="310" t="s">
        <v>183</v>
      </c>
      <c r="D685" s="311" t="s">
        <v>46</v>
      </c>
      <c r="E685" s="47">
        <v>0.75</v>
      </c>
      <c r="F685" s="89">
        <f>E685*F684</f>
        <v>54</v>
      </c>
      <c r="G685" s="91"/>
      <c r="H685" s="89"/>
      <c r="I685" s="92"/>
      <c r="J685" s="89"/>
      <c r="K685" s="92"/>
      <c r="L685" s="89"/>
      <c r="M685" s="89"/>
    </row>
    <row r="686" spans="1:13" x14ac:dyDescent="0.25">
      <c r="A686" s="109"/>
      <c r="B686" s="64"/>
      <c r="C686" s="310" t="s">
        <v>184</v>
      </c>
      <c r="D686" s="311" t="s">
        <v>122</v>
      </c>
      <c r="E686" s="65">
        <v>3.7000000000000002E-3</v>
      </c>
      <c r="F686" s="65">
        <f>E686*F684</f>
        <v>0.26640000000000003</v>
      </c>
      <c r="G686" s="65"/>
      <c r="H686" s="32"/>
      <c r="I686" s="33"/>
      <c r="J686" s="32"/>
      <c r="K686" s="33"/>
      <c r="L686" s="32"/>
      <c r="M686" s="32"/>
    </row>
    <row r="687" spans="1:13" ht="67.5" x14ac:dyDescent="0.25">
      <c r="A687" s="403">
        <v>2</v>
      </c>
      <c r="B687" s="53" t="s">
        <v>364</v>
      </c>
      <c r="C687" s="94" t="s">
        <v>365</v>
      </c>
      <c r="D687" s="274" t="s">
        <v>65</v>
      </c>
      <c r="E687" s="35"/>
      <c r="F687" s="123">
        <v>288</v>
      </c>
      <c r="G687" s="56"/>
      <c r="H687" s="57"/>
      <c r="I687" s="58"/>
      <c r="J687" s="59"/>
      <c r="K687" s="60"/>
      <c r="L687" s="60"/>
      <c r="M687" s="61"/>
    </row>
    <row r="688" spans="1:13" x14ac:dyDescent="0.25">
      <c r="A688" s="109"/>
      <c r="B688" s="164"/>
      <c r="C688" s="310" t="s">
        <v>183</v>
      </c>
      <c r="D688" s="311" t="s">
        <v>46</v>
      </c>
      <c r="E688" s="47">
        <v>0.18</v>
      </c>
      <c r="F688" s="89">
        <f>E688*F687</f>
        <v>51.839999999999996</v>
      </c>
      <c r="G688" s="91"/>
      <c r="H688" s="89"/>
      <c r="I688" s="92"/>
      <c r="J688" s="89"/>
      <c r="K688" s="92"/>
      <c r="L688" s="89"/>
      <c r="M688" s="91"/>
    </row>
    <row r="689" spans="1:13" ht="40.5" x14ac:dyDescent="0.25">
      <c r="A689" s="35">
        <v>3</v>
      </c>
      <c r="B689" s="179" t="s">
        <v>366</v>
      </c>
      <c r="C689" s="94" t="s">
        <v>367</v>
      </c>
      <c r="D689" s="478" t="s">
        <v>165</v>
      </c>
      <c r="E689" s="35"/>
      <c r="F689" s="334">
        <f>40*8</f>
        <v>320</v>
      </c>
      <c r="G689" s="469"/>
      <c r="H689" s="469"/>
      <c r="I689" s="469"/>
      <c r="J689" s="469"/>
      <c r="K689" s="469"/>
      <c r="L689" s="469"/>
      <c r="M689" s="469"/>
    </row>
    <row r="690" spans="1:13" x14ac:dyDescent="0.25">
      <c r="A690" s="47"/>
      <c r="B690" s="335"/>
      <c r="C690" s="74" t="s">
        <v>143</v>
      </c>
      <c r="D690" s="40" t="s">
        <v>44</v>
      </c>
      <c r="E690" s="40">
        <v>1</v>
      </c>
      <c r="F690" s="48">
        <f>E690*F689</f>
        <v>320</v>
      </c>
      <c r="G690" s="45"/>
      <c r="H690" s="45"/>
      <c r="I690" s="423"/>
      <c r="J690" s="45"/>
      <c r="K690" s="423"/>
      <c r="L690" s="45"/>
      <c r="M690" s="45"/>
    </row>
    <row r="691" spans="1:13" ht="27" x14ac:dyDescent="0.25">
      <c r="A691" s="47"/>
      <c r="B691" s="337"/>
      <c r="C691" s="46" t="s">
        <v>368</v>
      </c>
      <c r="D691" s="471" t="s">
        <v>165</v>
      </c>
      <c r="E691" s="47">
        <v>1</v>
      </c>
      <c r="F691" s="48">
        <f>E691*F689</f>
        <v>320</v>
      </c>
      <c r="G691" s="423"/>
      <c r="H691" s="45"/>
      <c r="I691" s="45"/>
      <c r="J691" s="45"/>
      <c r="K691" s="423"/>
      <c r="L691" s="45"/>
      <c r="M691" s="45"/>
    </row>
    <row r="692" spans="1:13" ht="40.5" x14ac:dyDescent="0.25">
      <c r="A692" s="166">
        <v>4</v>
      </c>
      <c r="B692" s="167" t="s">
        <v>100</v>
      </c>
      <c r="C692" s="168" t="s">
        <v>369</v>
      </c>
      <c r="D692" s="22" t="s">
        <v>102</v>
      </c>
      <c r="E692" s="169"/>
      <c r="F692" s="282">
        <v>64.8</v>
      </c>
      <c r="G692" s="166"/>
      <c r="H692" s="166"/>
      <c r="I692" s="166"/>
      <c r="J692" s="166"/>
      <c r="K692" s="166"/>
      <c r="L692" s="166"/>
      <c r="M692" s="166"/>
    </row>
    <row r="693" spans="1:13" x14ac:dyDescent="0.25">
      <c r="A693" s="166"/>
      <c r="B693" s="167"/>
      <c r="C693" s="310" t="s">
        <v>183</v>
      </c>
      <c r="D693" s="311" t="s">
        <v>46</v>
      </c>
      <c r="E693" s="172">
        <f>1.05*1.15</f>
        <v>1.2075</v>
      </c>
      <c r="F693" s="26">
        <f>E693*F692</f>
        <v>78.245999999999995</v>
      </c>
      <c r="G693" s="40"/>
      <c r="H693" s="26"/>
      <c r="I693" s="76"/>
      <c r="J693" s="26"/>
      <c r="K693" s="76"/>
      <c r="L693" s="26"/>
      <c r="M693" s="26"/>
    </row>
    <row r="694" spans="1:13" x14ac:dyDescent="0.25">
      <c r="A694" s="166"/>
      <c r="B694" s="167"/>
      <c r="C694" s="310" t="s">
        <v>184</v>
      </c>
      <c r="D694" s="311" t="s">
        <v>122</v>
      </c>
      <c r="E694" s="173">
        <f>0.028*1.25</f>
        <v>3.5000000000000003E-2</v>
      </c>
      <c r="F694" s="26">
        <f>E694*F692</f>
        <v>2.2680000000000002</v>
      </c>
      <c r="G694" s="40"/>
      <c r="H694" s="26"/>
      <c r="I694" s="76"/>
      <c r="J694" s="26"/>
      <c r="K694" s="76"/>
      <c r="L694" s="26"/>
      <c r="M694" s="26"/>
    </row>
    <row r="695" spans="1:13" x14ac:dyDescent="0.25">
      <c r="A695" s="174"/>
      <c r="B695" s="175"/>
      <c r="C695" s="176" t="s">
        <v>106</v>
      </c>
      <c r="D695" s="175" t="s">
        <v>107</v>
      </c>
      <c r="E695" s="177">
        <v>0.157</v>
      </c>
      <c r="F695" s="26">
        <f>E695*F692</f>
        <v>10.1736</v>
      </c>
      <c r="G695" s="40"/>
      <c r="H695" s="26"/>
      <c r="I695" s="76"/>
      <c r="J695" s="26"/>
      <c r="K695" s="76"/>
      <c r="L695" s="26"/>
      <c r="M695" s="26"/>
    </row>
    <row r="696" spans="1:13" ht="40.5" x14ac:dyDescent="0.25">
      <c r="A696" s="166">
        <v>5</v>
      </c>
      <c r="B696" s="167" t="s">
        <v>100</v>
      </c>
      <c r="C696" s="168" t="s">
        <v>370</v>
      </c>
      <c r="D696" s="22" t="s">
        <v>102</v>
      </c>
      <c r="E696" s="169"/>
      <c r="F696" s="170">
        <v>7.2</v>
      </c>
      <c r="G696" s="166"/>
      <c r="H696" s="166"/>
      <c r="I696" s="166"/>
      <c r="J696" s="166"/>
      <c r="K696" s="166"/>
      <c r="L696" s="166"/>
      <c r="M696" s="166"/>
    </row>
    <row r="697" spans="1:13" x14ac:dyDescent="0.25">
      <c r="A697" s="166"/>
      <c r="B697" s="167"/>
      <c r="C697" s="310" t="s">
        <v>183</v>
      </c>
      <c r="D697" s="311" t="s">
        <v>46</v>
      </c>
      <c r="E697" s="172">
        <f>1.05*1.15</f>
        <v>1.2075</v>
      </c>
      <c r="F697" s="26">
        <f>E697*F696</f>
        <v>8.6940000000000008</v>
      </c>
      <c r="G697" s="40"/>
      <c r="H697" s="26"/>
      <c r="I697" s="76"/>
      <c r="J697" s="26"/>
      <c r="K697" s="76"/>
      <c r="L697" s="26"/>
      <c r="M697" s="26"/>
    </row>
    <row r="698" spans="1:13" x14ac:dyDescent="0.25">
      <c r="A698" s="166"/>
      <c r="B698" s="167"/>
      <c r="C698" s="310" t="s">
        <v>184</v>
      </c>
      <c r="D698" s="311" t="s">
        <v>122</v>
      </c>
      <c r="E698" s="173">
        <f>0.028*1.25</f>
        <v>3.5000000000000003E-2</v>
      </c>
      <c r="F698" s="26">
        <f>E698*F696</f>
        <v>0.25200000000000006</v>
      </c>
      <c r="G698" s="40"/>
      <c r="H698" s="26"/>
      <c r="I698" s="76"/>
      <c r="J698" s="26"/>
      <c r="K698" s="76"/>
      <c r="L698" s="26"/>
      <c r="M698" s="26"/>
    </row>
    <row r="699" spans="1:13" ht="15.75" x14ac:dyDescent="0.25">
      <c r="A699" s="166"/>
      <c r="B699" s="167"/>
      <c r="C699" s="171" t="s">
        <v>104</v>
      </c>
      <c r="D699" s="167" t="s">
        <v>105</v>
      </c>
      <c r="E699" s="173">
        <v>1</v>
      </c>
      <c r="F699" s="26">
        <f>E699*F696</f>
        <v>7.2</v>
      </c>
      <c r="G699" s="40"/>
      <c r="H699" s="26"/>
      <c r="I699" s="76"/>
      <c r="J699" s="26"/>
      <c r="K699" s="76"/>
      <c r="L699" s="26"/>
      <c r="M699" s="26"/>
    </row>
    <row r="700" spans="1:13" x14ac:dyDescent="0.25">
      <c r="A700" s="174"/>
      <c r="B700" s="175"/>
      <c r="C700" s="176" t="s">
        <v>106</v>
      </c>
      <c r="D700" s="175" t="s">
        <v>107</v>
      </c>
      <c r="E700" s="177">
        <v>0.157</v>
      </c>
      <c r="F700" s="26">
        <f>E700*F696</f>
        <v>1.1304000000000001</v>
      </c>
      <c r="G700" s="40"/>
      <c r="H700" s="26"/>
      <c r="I700" s="76"/>
      <c r="J700" s="26"/>
      <c r="K700" s="76"/>
      <c r="L700" s="26"/>
      <c r="M700" s="26"/>
    </row>
    <row r="701" spans="1:13" ht="54" x14ac:dyDescent="0.25">
      <c r="A701" s="403">
        <v>6</v>
      </c>
      <c r="B701" s="768" t="s">
        <v>111</v>
      </c>
      <c r="C701" s="677" t="s">
        <v>496</v>
      </c>
      <c r="D701" s="36" t="s">
        <v>44</v>
      </c>
      <c r="E701" s="36"/>
      <c r="F701" s="104">
        <v>1</v>
      </c>
      <c r="G701" s="179"/>
      <c r="H701" s="57"/>
      <c r="I701" s="180"/>
      <c r="J701" s="57"/>
      <c r="K701" s="180"/>
      <c r="L701" s="57"/>
      <c r="M701" s="181"/>
    </row>
    <row r="702" spans="1:13" x14ac:dyDescent="0.25">
      <c r="A702" s="109"/>
      <c r="B702" s="769"/>
      <c r="C702" s="310" t="s">
        <v>183</v>
      </c>
      <c r="D702" s="311" t="s">
        <v>46</v>
      </c>
      <c r="E702" s="47">
        <v>1</v>
      </c>
      <c r="F702" s="89">
        <f>E702*F701</f>
        <v>1</v>
      </c>
      <c r="G702" s="47"/>
      <c r="H702" s="89"/>
      <c r="I702" s="92"/>
      <c r="J702" s="89"/>
      <c r="K702" s="92"/>
      <c r="L702" s="89"/>
      <c r="M702" s="91"/>
    </row>
    <row r="703" spans="1:13" x14ac:dyDescent="0.25">
      <c r="A703" s="687"/>
      <c r="B703" s="18"/>
      <c r="C703" s="186" t="s">
        <v>371</v>
      </c>
      <c r="D703" s="187" t="s">
        <v>44</v>
      </c>
      <c r="E703" s="188">
        <v>1</v>
      </c>
      <c r="F703" s="188">
        <f>E703*F701</f>
        <v>1</v>
      </c>
      <c r="G703" s="189"/>
      <c r="H703" s="189"/>
      <c r="I703" s="520"/>
      <c r="J703" s="128"/>
      <c r="K703" s="128"/>
      <c r="L703" s="128"/>
      <c r="M703" s="91"/>
    </row>
    <row r="704" spans="1:13" ht="81" x14ac:dyDescent="0.25">
      <c r="A704" s="403">
        <v>7</v>
      </c>
      <c r="B704" s="768" t="s">
        <v>111</v>
      </c>
      <c r="C704" s="69" t="s">
        <v>372</v>
      </c>
      <c r="D704" s="36" t="s">
        <v>113</v>
      </c>
      <c r="E704" s="36"/>
      <c r="F704" s="104">
        <v>85</v>
      </c>
      <c r="G704" s="179"/>
      <c r="H704" s="57"/>
      <c r="I704" s="180"/>
      <c r="J704" s="57"/>
      <c r="K704" s="180"/>
      <c r="L704" s="57"/>
      <c r="M704" s="181"/>
    </row>
    <row r="705" spans="1:13" x14ac:dyDescent="0.25">
      <c r="A705" s="109"/>
      <c r="B705" s="769"/>
      <c r="C705" s="310" t="s">
        <v>183</v>
      </c>
      <c r="D705" s="311" t="s">
        <v>46</v>
      </c>
      <c r="E705" s="47">
        <v>1.0349999999999999</v>
      </c>
      <c r="F705" s="89">
        <f>E705*F704</f>
        <v>87.974999999999994</v>
      </c>
      <c r="G705" s="47"/>
      <c r="H705" s="89"/>
      <c r="I705" s="92"/>
      <c r="J705" s="89"/>
      <c r="K705" s="92"/>
      <c r="L705" s="89"/>
      <c r="M705" s="89"/>
    </row>
    <row r="706" spans="1:13" ht="15.75" x14ac:dyDescent="0.25">
      <c r="A706" s="687"/>
      <c r="B706" s="18"/>
      <c r="C706" s="186" t="s">
        <v>114</v>
      </c>
      <c r="D706" s="187" t="s">
        <v>115</v>
      </c>
      <c r="E706" s="188">
        <v>0.15</v>
      </c>
      <c r="F706" s="188">
        <f>E706*F704</f>
        <v>12.75</v>
      </c>
      <c r="G706" s="189"/>
      <c r="H706" s="189"/>
      <c r="I706" s="190"/>
      <c r="J706" s="32"/>
      <c r="K706" s="33"/>
      <c r="L706" s="32"/>
      <c r="M706" s="89"/>
    </row>
    <row r="707" spans="1:13" ht="67.5" x14ac:dyDescent="0.25">
      <c r="A707" s="403">
        <v>8</v>
      </c>
      <c r="B707" s="768" t="s">
        <v>195</v>
      </c>
      <c r="C707" s="69" t="s">
        <v>302</v>
      </c>
      <c r="D707" s="36" t="s">
        <v>65</v>
      </c>
      <c r="E707" s="55"/>
      <c r="F707" s="364">
        <v>85</v>
      </c>
      <c r="G707" s="57"/>
      <c r="H707" s="285"/>
      <c r="I707" s="57"/>
      <c r="J707" s="285"/>
      <c r="K707" s="57"/>
      <c r="L707" s="285"/>
      <c r="M707" s="285"/>
    </row>
    <row r="708" spans="1:13" x14ac:dyDescent="0.25">
      <c r="A708" s="109"/>
      <c r="B708" s="769"/>
      <c r="C708" s="310" t="s">
        <v>183</v>
      </c>
      <c r="D708" s="311" t="s">
        <v>46</v>
      </c>
      <c r="E708" s="26">
        <f>0.68*1.15</f>
        <v>0.78200000000000003</v>
      </c>
      <c r="F708" s="26">
        <f>E708*F707</f>
        <v>66.47</v>
      </c>
      <c r="G708" s="86"/>
      <c r="H708" s="77"/>
      <c r="I708" s="77"/>
      <c r="J708" s="77"/>
      <c r="K708" s="77"/>
      <c r="L708" s="77"/>
      <c r="M708" s="77"/>
    </row>
    <row r="709" spans="1:13" x14ac:dyDescent="0.25">
      <c r="A709" s="109"/>
      <c r="B709" s="769"/>
      <c r="C709" s="310" t="s">
        <v>184</v>
      </c>
      <c r="D709" s="311" t="s">
        <v>122</v>
      </c>
      <c r="E709" s="87">
        <f>0.00038*1.25</f>
        <v>4.7500000000000005E-4</v>
      </c>
      <c r="F709" s="269">
        <f>E709*F707</f>
        <v>4.0375000000000001E-2</v>
      </c>
      <c r="G709" s="40"/>
      <c r="H709" s="26"/>
      <c r="I709" s="76"/>
      <c r="J709" s="26"/>
      <c r="K709" s="76"/>
      <c r="L709" s="269"/>
      <c r="M709" s="26"/>
    </row>
    <row r="710" spans="1:13" ht="27" x14ac:dyDescent="0.25">
      <c r="A710" s="109"/>
      <c r="B710" s="769"/>
      <c r="C710" s="74" t="s">
        <v>197</v>
      </c>
      <c r="D710" s="40" t="s">
        <v>75</v>
      </c>
      <c r="E710" s="40">
        <v>2.7E-2</v>
      </c>
      <c r="F710" s="26">
        <f>E710*F707</f>
        <v>2.2949999999999999</v>
      </c>
      <c r="G710" s="40"/>
      <c r="H710" s="26"/>
      <c r="I710" s="76"/>
      <c r="J710" s="26"/>
      <c r="K710" s="76"/>
      <c r="L710" s="26"/>
      <c r="M710" s="26"/>
    </row>
    <row r="711" spans="1:13" ht="27" x14ac:dyDescent="0.25">
      <c r="A711" s="109"/>
      <c r="B711" s="20"/>
      <c r="C711" s="74" t="s">
        <v>198</v>
      </c>
      <c r="D711" s="40" t="s">
        <v>75</v>
      </c>
      <c r="E711" s="40">
        <v>0.246</v>
      </c>
      <c r="F711" s="26">
        <f>E711*F707</f>
        <v>20.91</v>
      </c>
      <c r="G711" s="40"/>
      <c r="H711" s="26"/>
      <c r="I711" s="76"/>
      <c r="J711" s="26"/>
      <c r="K711" s="76"/>
      <c r="L711" s="26"/>
      <c r="M711" s="26"/>
    </row>
    <row r="712" spans="1:13" x14ac:dyDescent="0.25">
      <c r="A712" s="115"/>
      <c r="B712" s="29"/>
      <c r="C712" s="80" t="s">
        <v>77</v>
      </c>
      <c r="D712" s="34" t="s">
        <v>50</v>
      </c>
      <c r="E712" s="34">
        <v>1.9E-3</v>
      </c>
      <c r="F712" s="81">
        <f>E712*F707</f>
        <v>0.1615</v>
      </c>
      <c r="G712" s="34"/>
      <c r="H712" s="32"/>
      <c r="I712" s="33"/>
      <c r="J712" s="32"/>
      <c r="K712" s="33"/>
      <c r="L712" s="32"/>
      <c r="M712" s="32"/>
    </row>
    <row r="713" spans="1:13" ht="15.75" x14ac:dyDescent="0.25">
      <c r="A713" s="682"/>
      <c r="B713" s="16"/>
      <c r="C713" s="178" t="s">
        <v>373</v>
      </c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67.5" x14ac:dyDescent="0.25">
      <c r="A714" s="403">
        <v>1</v>
      </c>
      <c r="B714" s="768" t="s">
        <v>111</v>
      </c>
      <c r="C714" s="69" t="s">
        <v>374</v>
      </c>
      <c r="D714" s="36" t="s">
        <v>113</v>
      </c>
      <c r="E714" s="36"/>
      <c r="F714" s="104">
        <v>19</v>
      </c>
      <c r="G714" s="179"/>
      <c r="H714" s="57"/>
      <c r="I714" s="180"/>
      <c r="J714" s="57"/>
      <c r="K714" s="180"/>
      <c r="L714" s="57"/>
      <c r="M714" s="181"/>
    </row>
    <row r="715" spans="1:13" x14ac:dyDescent="0.25">
      <c r="A715" s="109"/>
      <c r="B715" s="769"/>
      <c r="C715" s="310" t="s">
        <v>183</v>
      </c>
      <c r="D715" s="311" t="s">
        <v>46</v>
      </c>
      <c r="E715" s="47">
        <v>1.0349999999999999</v>
      </c>
      <c r="F715" s="89">
        <f>E715*F714</f>
        <v>19.664999999999999</v>
      </c>
      <c r="G715" s="47"/>
      <c r="H715" s="89"/>
      <c r="I715" s="92"/>
      <c r="J715" s="89"/>
      <c r="K715" s="92"/>
      <c r="L715" s="89"/>
      <c r="M715" s="89"/>
    </row>
    <row r="716" spans="1:13" ht="15.75" x14ac:dyDescent="0.25">
      <c r="A716" s="687"/>
      <c r="B716" s="18"/>
      <c r="C716" s="186" t="s">
        <v>114</v>
      </c>
      <c r="D716" s="187" t="s">
        <v>115</v>
      </c>
      <c r="E716" s="188">
        <v>0.15</v>
      </c>
      <c r="F716" s="188">
        <f>E716*F714</f>
        <v>2.85</v>
      </c>
      <c r="G716" s="189"/>
      <c r="H716" s="189"/>
      <c r="I716" s="190"/>
      <c r="J716" s="32"/>
      <c r="K716" s="33"/>
      <c r="L716" s="32"/>
      <c r="M716" s="89"/>
    </row>
    <row r="717" spans="1:13" ht="67.5" x14ac:dyDescent="0.25">
      <c r="A717" s="403">
        <v>2</v>
      </c>
      <c r="B717" s="768" t="s">
        <v>195</v>
      </c>
      <c r="C717" s="69" t="s">
        <v>196</v>
      </c>
      <c r="D717" s="36" t="s">
        <v>65</v>
      </c>
      <c r="E717" s="55"/>
      <c r="F717" s="364">
        <v>19</v>
      </c>
      <c r="G717" s="57"/>
      <c r="H717" s="285"/>
      <c r="I717" s="57"/>
      <c r="J717" s="285"/>
      <c r="K717" s="57"/>
      <c r="L717" s="285"/>
      <c r="M717" s="285"/>
    </row>
    <row r="718" spans="1:13" x14ac:dyDescent="0.25">
      <c r="A718" s="109"/>
      <c r="B718" s="769"/>
      <c r="C718" s="310" t="s">
        <v>183</v>
      </c>
      <c r="D718" s="311" t="s">
        <v>46</v>
      </c>
      <c r="E718" s="26">
        <f>0.68*1.15</f>
        <v>0.78200000000000003</v>
      </c>
      <c r="F718" s="26">
        <f>E718*F717</f>
        <v>14.858000000000001</v>
      </c>
      <c r="G718" s="86"/>
      <c r="H718" s="77"/>
      <c r="I718" s="77"/>
      <c r="J718" s="77"/>
      <c r="K718" s="77"/>
      <c r="L718" s="77"/>
      <c r="M718" s="77"/>
    </row>
    <row r="719" spans="1:13" x14ac:dyDescent="0.25">
      <c r="A719" s="109"/>
      <c r="B719" s="769"/>
      <c r="C719" s="310" t="s">
        <v>184</v>
      </c>
      <c r="D719" s="311" t="s">
        <v>122</v>
      </c>
      <c r="E719" s="87">
        <f>0.00038*1.25</f>
        <v>4.7500000000000005E-4</v>
      </c>
      <c r="F719" s="269">
        <f>E719*F717</f>
        <v>9.0250000000000018E-3</v>
      </c>
      <c r="G719" s="40"/>
      <c r="H719" s="26"/>
      <c r="I719" s="76"/>
      <c r="J719" s="26"/>
      <c r="K719" s="76"/>
      <c r="L719" s="269"/>
      <c r="M719" s="26"/>
    </row>
    <row r="720" spans="1:13" ht="27" x14ac:dyDescent="0.25">
      <c r="A720" s="109"/>
      <c r="B720" s="769"/>
      <c r="C720" s="74" t="s">
        <v>197</v>
      </c>
      <c r="D720" s="40" t="s">
        <v>75</v>
      </c>
      <c r="E720" s="40">
        <v>2.7E-2</v>
      </c>
      <c r="F720" s="26">
        <f>E720*F717</f>
        <v>0.51300000000000001</v>
      </c>
      <c r="G720" s="40"/>
      <c r="H720" s="26"/>
      <c r="I720" s="76"/>
      <c r="J720" s="26"/>
      <c r="K720" s="76"/>
      <c r="L720" s="26"/>
      <c r="M720" s="26"/>
    </row>
    <row r="721" spans="1:13" ht="27" x14ac:dyDescent="0.25">
      <c r="A721" s="109"/>
      <c r="B721" s="20"/>
      <c r="C721" s="74" t="s">
        <v>198</v>
      </c>
      <c r="D721" s="40" t="s">
        <v>75</v>
      </c>
      <c r="E721" s="40">
        <v>0.246</v>
      </c>
      <c r="F721" s="26">
        <f>E721*F717</f>
        <v>4.6739999999999995</v>
      </c>
      <c r="G721" s="40"/>
      <c r="H721" s="26"/>
      <c r="I721" s="76"/>
      <c r="J721" s="26"/>
      <c r="K721" s="76"/>
      <c r="L721" s="26"/>
      <c r="M721" s="26"/>
    </row>
    <row r="722" spans="1:13" x14ac:dyDescent="0.25">
      <c r="A722" s="115"/>
      <c r="B722" s="29"/>
      <c r="C722" s="80" t="s">
        <v>77</v>
      </c>
      <c r="D722" s="34" t="s">
        <v>50</v>
      </c>
      <c r="E722" s="34">
        <v>1.9E-3</v>
      </c>
      <c r="F722" s="81">
        <f>E722*F717</f>
        <v>3.61E-2</v>
      </c>
      <c r="G722" s="34"/>
      <c r="H722" s="32"/>
      <c r="I722" s="33"/>
      <c r="J722" s="32"/>
      <c r="K722" s="33"/>
      <c r="L722" s="32"/>
      <c r="M722" s="32"/>
    </row>
    <row r="723" spans="1:13" ht="40.5" x14ac:dyDescent="0.25">
      <c r="A723" s="266">
        <v>3</v>
      </c>
      <c r="B723" s="396" t="s">
        <v>375</v>
      </c>
      <c r="C723" s="521" t="s">
        <v>376</v>
      </c>
      <c r="D723" s="121" t="s">
        <v>44</v>
      </c>
      <c r="E723" s="396"/>
      <c r="F723" s="265">
        <v>2</v>
      </c>
      <c r="G723" s="70"/>
      <c r="H723" s="71"/>
      <c r="I723" s="70"/>
      <c r="J723" s="71"/>
      <c r="K723" s="70"/>
      <c r="L723" s="71"/>
      <c r="M723" s="71"/>
    </row>
    <row r="724" spans="1:13" x14ac:dyDescent="0.25">
      <c r="A724" s="166"/>
      <c r="B724" s="167"/>
      <c r="C724" s="310" t="s">
        <v>183</v>
      </c>
      <c r="D724" s="311" t="s">
        <v>46</v>
      </c>
      <c r="E724" s="401">
        <f>2.63*1.15</f>
        <v>3.0244999999999997</v>
      </c>
      <c r="F724" s="89">
        <f>E724*F723</f>
        <v>6.0489999999999995</v>
      </c>
      <c r="G724" s="47"/>
      <c r="H724" s="89"/>
      <c r="I724" s="92"/>
      <c r="J724" s="89"/>
      <c r="K724" s="92"/>
      <c r="L724" s="89"/>
      <c r="M724" s="89"/>
    </row>
    <row r="725" spans="1:13" x14ac:dyDescent="0.25">
      <c r="A725" s="166"/>
      <c r="B725" s="167"/>
      <c r="C725" s="310" t="s">
        <v>184</v>
      </c>
      <c r="D725" s="311" t="s">
        <v>122</v>
      </c>
      <c r="E725" s="522">
        <f>0.01*1.25</f>
        <v>1.2500000000000001E-2</v>
      </c>
      <c r="F725" s="89">
        <f>E725*F723</f>
        <v>2.5000000000000001E-2</v>
      </c>
      <c r="G725" s="47"/>
      <c r="H725" s="89"/>
      <c r="I725" s="92"/>
      <c r="J725" s="89"/>
      <c r="K725" s="92"/>
      <c r="L725" s="89"/>
      <c r="M725" s="89"/>
    </row>
    <row r="726" spans="1:13" x14ac:dyDescent="0.25">
      <c r="A726" s="166"/>
      <c r="B726" s="167"/>
      <c r="C726" s="400" t="s">
        <v>377</v>
      </c>
      <c r="D726" s="132" t="s">
        <v>65</v>
      </c>
      <c r="E726" s="132">
        <v>0.35</v>
      </c>
      <c r="F726" s="89">
        <f>E726*F723</f>
        <v>0.7</v>
      </c>
      <c r="G726" s="47"/>
      <c r="H726" s="89"/>
      <c r="I726" s="92"/>
      <c r="J726" s="89"/>
      <c r="K726" s="92"/>
      <c r="L726" s="89"/>
      <c r="M726" s="89"/>
    </row>
    <row r="727" spans="1:13" x14ac:dyDescent="0.25">
      <c r="A727" s="174"/>
      <c r="B727" s="175"/>
      <c r="C727" s="453" t="s">
        <v>106</v>
      </c>
      <c r="D727" s="160" t="s">
        <v>50</v>
      </c>
      <c r="E727" s="160">
        <v>0.17799999999999999</v>
      </c>
      <c r="F727" s="147">
        <f>E727*F723</f>
        <v>0.35599999999999998</v>
      </c>
      <c r="G727" s="146"/>
      <c r="H727" s="147"/>
      <c r="I727" s="148"/>
      <c r="J727" s="147"/>
      <c r="K727" s="148"/>
      <c r="L727" s="147"/>
      <c r="M727" s="523"/>
    </row>
    <row r="728" spans="1:13" ht="15.75" x14ac:dyDescent="0.25">
      <c r="A728" s="682"/>
      <c r="B728" s="16"/>
      <c r="C728" s="178" t="s">
        <v>378</v>
      </c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94.5" x14ac:dyDescent="0.25">
      <c r="A729" s="403">
        <v>1</v>
      </c>
      <c r="B729" s="121" t="s">
        <v>313</v>
      </c>
      <c r="C729" s="69" t="s">
        <v>379</v>
      </c>
      <c r="D729" s="36" t="s">
        <v>170</v>
      </c>
      <c r="E729" s="36"/>
      <c r="F729" s="123">
        <v>4.2</v>
      </c>
      <c r="G729" s="179"/>
      <c r="H729" s="57"/>
      <c r="I729" s="180"/>
      <c r="J729" s="57"/>
      <c r="K729" s="180"/>
      <c r="L729" s="57"/>
      <c r="M729" s="181"/>
    </row>
    <row r="730" spans="1:13" x14ac:dyDescent="0.25">
      <c r="A730" s="115"/>
      <c r="B730" s="453"/>
      <c r="C730" s="216" t="s">
        <v>56</v>
      </c>
      <c r="D730" s="146" t="s">
        <v>60</v>
      </c>
      <c r="E730" s="146">
        <f>3.88*1.15</f>
        <v>4.4619999999999997</v>
      </c>
      <c r="F730" s="147">
        <f>E730*F729</f>
        <v>18.740400000000001</v>
      </c>
      <c r="G730" s="146"/>
      <c r="H730" s="147"/>
      <c r="I730" s="148"/>
      <c r="J730" s="147"/>
      <c r="K730" s="148"/>
      <c r="L730" s="147"/>
      <c r="M730" s="89"/>
    </row>
    <row r="731" spans="1:13" ht="27" x14ac:dyDescent="0.25">
      <c r="A731" s="454">
        <v>2</v>
      </c>
      <c r="B731" s="373" t="s">
        <v>315</v>
      </c>
      <c r="C731" s="54" t="s">
        <v>380</v>
      </c>
      <c r="D731" s="274" t="s">
        <v>170</v>
      </c>
      <c r="E731" s="35"/>
      <c r="F731" s="36">
        <v>0.83199999999999996</v>
      </c>
      <c r="G731" s="382"/>
      <c r="H731" s="123"/>
      <c r="I731" s="123"/>
      <c r="J731" s="123"/>
      <c r="K731" s="123"/>
      <c r="L731" s="123"/>
      <c r="M731" s="123"/>
    </row>
    <row r="732" spans="1:13" x14ac:dyDescent="0.25">
      <c r="A732" s="164"/>
      <c r="B732" s="97"/>
      <c r="C732" s="310" t="s">
        <v>183</v>
      </c>
      <c r="D732" s="311" t="s">
        <v>46</v>
      </c>
      <c r="E732" s="286">
        <f>0.89*1.15</f>
        <v>1.0234999999999999</v>
      </c>
      <c r="F732" s="99">
        <f>E732*F731</f>
        <v>0.85155199999999986</v>
      </c>
      <c r="G732" s="83"/>
      <c r="H732" s="26"/>
      <c r="I732" s="76"/>
      <c r="J732" s="26"/>
      <c r="K732" s="76"/>
      <c r="L732" s="26"/>
      <c r="M732" s="26"/>
    </row>
    <row r="733" spans="1:13" x14ac:dyDescent="0.25">
      <c r="A733" s="164"/>
      <c r="B733" s="97"/>
      <c r="C733" s="310" t="s">
        <v>184</v>
      </c>
      <c r="D733" s="311" t="s">
        <v>122</v>
      </c>
      <c r="E733" s="286">
        <f>0.37*1.25</f>
        <v>0.46250000000000002</v>
      </c>
      <c r="F733" s="99">
        <f>E733*F731</f>
        <v>0.38479999999999998</v>
      </c>
      <c r="G733" s="40"/>
      <c r="H733" s="26"/>
      <c r="I733" s="76"/>
      <c r="J733" s="26"/>
      <c r="K733" s="76"/>
      <c r="L733" s="26"/>
      <c r="M733" s="26"/>
    </row>
    <row r="734" spans="1:13" x14ac:dyDescent="0.25">
      <c r="A734" s="164"/>
      <c r="B734" s="97"/>
      <c r="C734" s="268" t="s">
        <v>381</v>
      </c>
      <c r="D734" s="97" t="s">
        <v>170</v>
      </c>
      <c r="E734" s="83">
        <v>1.1499999999999999</v>
      </c>
      <c r="F734" s="83">
        <f>E734*F731</f>
        <v>0.95679999999999987</v>
      </c>
      <c r="G734" s="40"/>
      <c r="H734" s="26"/>
      <c r="I734" s="76"/>
      <c r="J734" s="214"/>
      <c r="K734" s="76"/>
      <c r="L734" s="26"/>
      <c r="M734" s="26"/>
    </row>
    <row r="735" spans="1:13" x14ac:dyDescent="0.25">
      <c r="A735" s="145"/>
      <c r="B735" s="273"/>
      <c r="C735" s="63" t="s">
        <v>62</v>
      </c>
      <c r="D735" s="64" t="s">
        <v>50</v>
      </c>
      <c r="E735" s="65">
        <v>0.02</v>
      </c>
      <c r="F735" s="66">
        <f>E735*F731</f>
        <v>1.6639999999999999E-2</v>
      </c>
      <c r="G735" s="524"/>
      <c r="H735" s="525"/>
      <c r="I735" s="64"/>
      <c r="J735" s="262"/>
      <c r="K735" s="457"/>
      <c r="L735" s="457"/>
      <c r="M735" s="263"/>
    </row>
    <row r="736" spans="1:13" ht="27" x14ac:dyDescent="0.25">
      <c r="A736" s="698">
        <v>3</v>
      </c>
      <c r="B736" s="283" t="s">
        <v>382</v>
      </c>
      <c r="C736" s="69" t="s">
        <v>383</v>
      </c>
      <c r="D736" s="36" t="s">
        <v>170</v>
      </c>
      <c r="E736" s="36"/>
      <c r="F736" s="123">
        <v>3.3</v>
      </c>
      <c r="G736" s="285"/>
      <c r="H736" s="526"/>
      <c r="I736" s="180"/>
      <c r="J736" s="526"/>
      <c r="K736" s="180"/>
      <c r="L736" s="526"/>
      <c r="M736" s="526"/>
    </row>
    <row r="737" spans="1:13" x14ac:dyDescent="0.25">
      <c r="A737" s="109"/>
      <c r="B737" s="132"/>
      <c r="C737" s="310" t="s">
        <v>183</v>
      </c>
      <c r="D737" s="311" t="s">
        <v>46</v>
      </c>
      <c r="E737" s="89">
        <f>6.66*1.15</f>
        <v>7.6589999999999998</v>
      </c>
      <c r="F737" s="89">
        <f>E737*F736</f>
        <v>25.274699999999999</v>
      </c>
      <c r="G737" s="47"/>
      <c r="H737" s="89"/>
      <c r="I737" s="92"/>
      <c r="J737" s="89"/>
      <c r="K737" s="92"/>
      <c r="L737" s="89"/>
      <c r="M737" s="89"/>
    </row>
    <row r="738" spans="1:13" x14ac:dyDescent="0.25">
      <c r="A738" s="109"/>
      <c r="B738" s="20"/>
      <c r="C738" s="310" t="s">
        <v>184</v>
      </c>
      <c r="D738" s="311" t="s">
        <v>122</v>
      </c>
      <c r="E738" s="40">
        <f>0.59*1.25</f>
        <v>0.73749999999999993</v>
      </c>
      <c r="F738" s="40">
        <f>E738*F736</f>
        <v>2.4337499999999999</v>
      </c>
      <c r="G738" s="40"/>
      <c r="H738" s="26"/>
      <c r="I738" s="76"/>
      <c r="J738" s="528"/>
      <c r="K738" s="76"/>
      <c r="L738" s="26"/>
      <c r="M738" s="26"/>
    </row>
    <row r="739" spans="1:13" x14ac:dyDescent="0.25">
      <c r="A739" s="689"/>
      <c r="B739" s="271"/>
      <c r="C739" s="268" t="s">
        <v>384</v>
      </c>
      <c r="D739" s="97" t="s">
        <v>170</v>
      </c>
      <c r="E739" s="83">
        <v>1.0149999999999999</v>
      </c>
      <c r="F739" s="83">
        <f>E739*F736</f>
        <v>3.3494999999999995</v>
      </c>
      <c r="G739" s="455"/>
      <c r="H739" s="456"/>
      <c r="I739" s="97"/>
      <c r="J739" s="255"/>
      <c r="K739" s="529"/>
      <c r="L739" s="529"/>
      <c r="M739" s="26"/>
    </row>
    <row r="740" spans="1:13" x14ac:dyDescent="0.25">
      <c r="A740" s="109"/>
      <c r="B740" s="20"/>
      <c r="C740" s="74" t="s">
        <v>171</v>
      </c>
      <c r="D740" s="40" t="s">
        <v>65</v>
      </c>
      <c r="E740" s="40">
        <v>1.6</v>
      </c>
      <c r="F740" s="26">
        <f>E740*F736</f>
        <v>5.28</v>
      </c>
      <c r="G740" s="40"/>
      <c r="H740" s="26"/>
      <c r="I740" s="26"/>
      <c r="J740" s="77"/>
      <c r="K740" s="76"/>
      <c r="L740" s="26"/>
      <c r="M740" s="77"/>
    </row>
    <row r="741" spans="1:13" x14ac:dyDescent="0.25">
      <c r="A741" s="109"/>
      <c r="B741" s="20"/>
      <c r="C741" s="74" t="s">
        <v>385</v>
      </c>
      <c r="D741" s="40" t="s">
        <v>170</v>
      </c>
      <c r="E741" s="40">
        <v>1.83E-2</v>
      </c>
      <c r="F741" s="26">
        <f>E741*F736</f>
        <v>6.0389999999999999E-2</v>
      </c>
      <c r="G741" s="40"/>
      <c r="H741" s="26"/>
      <c r="I741" s="76"/>
      <c r="J741" s="26"/>
      <c r="K741" s="76"/>
      <c r="L741" s="26"/>
      <c r="M741" s="26"/>
    </row>
    <row r="742" spans="1:13" x14ac:dyDescent="0.25">
      <c r="A742" s="115"/>
      <c r="B742" s="29"/>
      <c r="C742" s="80" t="s">
        <v>386</v>
      </c>
      <c r="D742" s="34" t="s">
        <v>50</v>
      </c>
      <c r="E742" s="34">
        <v>0.4</v>
      </c>
      <c r="F742" s="34">
        <f>E742*F736</f>
        <v>1.32</v>
      </c>
      <c r="G742" s="34"/>
      <c r="H742" s="32"/>
      <c r="I742" s="33"/>
      <c r="J742" s="32"/>
      <c r="K742" s="33"/>
      <c r="L742" s="32"/>
      <c r="M742" s="32"/>
    </row>
    <row r="743" spans="1:13" ht="54" x14ac:dyDescent="0.25">
      <c r="A743" s="767">
        <v>4</v>
      </c>
      <c r="B743" s="530" t="s">
        <v>140</v>
      </c>
      <c r="C743" s="21" t="s">
        <v>387</v>
      </c>
      <c r="D743" s="531" t="s">
        <v>308</v>
      </c>
      <c r="E743" s="47"/>
      <c r="F743" s="532">
        <f>F746*0.0053+F747*0.003+F748*0.015</f>
        <v>0.83724399999999988</v>
      </c>
      <c r="G743" s="70"/>
      <c r="H743" s="71"/>
      <c r="I743" s="181"/>
      <c r="J743" s="71"/>
      <c r="K743" s="70"/>
      <c r="L743" s="71"/>
      <c r="M743" s="71"/>
    </row>
    <row r="744" spans="1:13" x14ac:dyDescent="0.25">
      <c r="A744" s="767"/>
      <c r="B744" s="97"/>
      <c r="C744" s="310" t="s">
        <v>183</v>
      </c>
      <c r="D744" s="311" t="s">
        <v>46</v>
      </c>
      <c r="E744" s="83">
        <f>53.8*1.1*1.15</f>
        <v>68.056999999999988</v>
      </c>
      <c r="F744" s="533">
        <f>E744*F743</f>
        <v>56.980314907999983</v>
      </c>
      <c r="G744" s="83"/>
      <c r="H744" s="127"/>
      <c r="I744" s="253"/>
      <c r="J744" s="254"/>
      <c r="K744" s="254"/>
      <c r="L744" s="254"/>
      <c r="M744" s="214"/>
    </row>
    <row r="745" spans="1:13" x14ac:dyDescent="0.25">
      <c r="A745" s="767"/>
      <c r="B745" s="97"/>
      <c r="C745" s="310" t="s">
        <v>184</v>
      </c>
      <c r="D745" s="311" t="s">
        <v>122</v>
      </c>
      <c r="E745" s="83">
        <f>18.4*1.25</f>
        <v>23</v>
      </c>
      <c r="F745" s="533">
        <f>E745*F743</f>
        <v>19.256611999999997</v>
      </c>
      <c r="G745" s="40"/>
      <c r="H745" s="26"/>
      <c r="I745" s="76"/>
      <c r="J745" s="26"/>
      <c r="K745" s="76"/>
      <c r="L745" s="26"/>
      <c r="M745" s="214"/>
    </row>
    <row r="746" spans="1:13" ht="27" x14ac:dyDescent="0.25">
      <c r="A746" s="767"/>
      <c r="B746" s="97"/>
      <c r="C746" s="46" t="s">
        <v>388</v>
      </c>
      <c r="D746" s="256" t="s">
        <v>147</v>
      </c>
      <c r="E746" s="83"/>
      <c r="F746" s="257">
        <f>26*2.8</f>
        <v>72.8</v>
      </c>
      <c r="G746" s="40"/>
      <c r="H746" s="26"/>
      <c r="I746" s="76"/>
      <c r="J746" s="26"/>
      <c r="K746" s="76"/>
      <c r="L746" s="26"/>
      <c r="M746" s="214"/>
    </row>
    <row r="747" spans="1:13" ht="27" x14ac:dyDescent="0.25">
      <c r="A747" s="767"/>
      <c r="B747" s="97"/>
      <c r="C747" s="338" t="s">
        <v>389</v>
      </c>
      <c r="D747" s="534" t="s">
        <v>147</v>
      </c>
      <c r="E747" s="83"/>
      <c r="F747" s="535">
        <f>50*3</f>
        <v>150</v>
      </c>
      <c r="G747" s="47"/>
      <c r="H747" s="89"/>
      <c r="I747" s="92"/>
      <c r="J747" s="89"/>
      <c r="K747" s="92"/>
      <c r="L747" s="89"/>
      <c r="M747" s="258"/>
    </row>
    <row r="748" spans="1:13" ht="27.75" customHeight="1" x14ac:dyDescent="0.25">
      <c r="A748" s="767"/>
      <c r="B748" s="97"/>
      <c r="C748" s="460" t="s">
        <v>390</v>
      </c>
      <c r="D748" s="536" t="s">
        <v>81</v>
      </c>
      <c r="E748" s="47"/>
      <c r="F748" s="537">
        <f>0.06*0.06*26</f>
        <v>9.3600000000000003E-2</v>
      </c>
      <c r="G748" s="47"/>
      <c r="H748" s="89"/>
      <c r="I748" s="91"/>
      <c r="J748" s="91"/>
      <c r="K748" s="91"/>
      <c r="L748" s="89"/>
      <c r="M748" s="214"/>
    </row>
    <row r="749" spans="1:13" x14ac:dyDescent="0.25">
      <c r="A749" s="767"/>
      <c r="B749" s="64"/>
      <c r="C749" s="100" t="s">
        <v>470</v>
      </c>
      <c r="D749" s="64" t="s">
        <v>50</v>
      </c>
      <c r="E749" s="65">
        <v>2.78</v>
      </c>
      <c r="F749" s="538">
        <f>E749*F743</f>
        <v>2.3275383199999995</v>
      </c>
      <c r="G749" s="34"/>
      <c r="H749" s="32"/>
      <c r="I749" s="539"/>
      <c r="J749" s="262"/>
      <c r="K749" s="33"/>
      <c r="L749" s="32"/>
      <c r="M749" s="214"/>
    </row>
    <row r="750" spans="1:13" ht="67.5" x14ac:dyDescent="0.25">
      <c r="A750" s="767"/>
      <c r="B750" s="768" t="s">
        <v>195</v>
      </c>
      <c r="C750" s="69" t="s">
        <v>196</v>
      </c>
      <c r="D750" s="36" t="s">
        <v>65</v>
      </c>
      <c r="E750" s="55"/>
      <c r="F750" s="364">
        <v>45</v>
      </c>
      <c r="G750" s="57"/>
      <c r="H750" s="285"/>
      <c r="I750" s="57"/>
      <c r="J750" s="285"/>
      <c r="K750" s="57"/>
      <c r="L750" s="285"/>
      <c r="M750" s="285"/>
    </row>
    <row r="751" spans="1:13" x14ac:dyDescent="0.25">
      <c r="A751" s="403">
        <v>5</v>
      </c>
      <c r="B751" s="769"/>
      <c r="C751" s="310" t="s">
        <v>183</v>
      </c>
      <c r="D751" s="311" t="s">
        <v>46</v>
      </c>
      <c r="E751" s="26">
        <f>0.68*1.15</f>
        <v>0.78200000000000003</v>
      </c>
      <c r="F751" s="26">
        <f>E751*F750</f>
        <v>35.19</v>
      </c>
      <c r="G751" s="86"/>
      <c r="H751" s="77"/>
      <c r="I751" s="77"/>
      <c r="J751" s="77"/>
      <c r="K751" s="77"/>
      <c r="L751" s="77"/>
      <c r="M751" s="77"/>
    </row>
    <row r="752" spans="1:13" x14ac:dyDescent="0.25">
      <c r="A752" s="109"/>
      <c r="B752" s="769"/>
      <c r="C752" s="310" t="s">
        <v>184</v>
      </c>
      <c r="D752" s="311" t="s">
        <v>122</v>
      </c>
      <c r="E752" s="87">
        <f>0.00038*1.25</f>
        <v>4.7500000000000005E-4</v>
      </c>
      <c r="F752" s="269">
        <f>E752*F750</f>
        <v>2.1375000000000002E-2</v>
      </c>
      <c r="G752" s="40"/>
      <c r="H752" s="26"/>
      <c r="I752" s="76"/>
      <c r="J752" s="26"/>
      <c r="K752" s="76"/>
      <c r="L752" s="269"/>
      <c r="M752" s="26"/>
    </row>
    <row r="753" spans="1:13" ht="27" x14ac:dyDescent="0.25">
      <c r="A753" s="109"/>
      <c r="B753" s="769"/>
      <c r="C753" s="74" t="s">
        <v>197</v>
      </c>
      <c r="D753" s="40" t="s">
        <v>75</v>
      </c>
      <c r="E753" s="40">
        <v>2.7E-2</v>
      </c>
      <c r="F753" s="26">
        <f>E753*F750</f>
        <v>1.2150000000000001</v>
      </c>
      <c r="G753" s="40"/>
      <c r="H753" s="26"/>
      <c r="I753" s="76"/>
      <c r="J753" s="26"/>
      <c r="K753" s="76"/>
      <c r="L753" s="26"/>
      <c r="M753" s="26"/>
    </row>
    <row r="754" spans="1:13" ht="27" x14ac:dyDescent="0.25">
      <c r="A754" s="109"/>
      <c r="B754" s="20"/>
      <c r="C754" s="74" t="s">
        <v>198</v>
      </c>
      <c r="D754" s="40" t="s">
        <v>75</v>
      </c>
      <c r="E754" s="40">
        <v>0.246</v>
      </c>
      <c r="F754" s="26">
        <f>E754*F750</f>
        <v>11.07</v>
      </c>
      <c r="G754" s="40"/>
      <c r="H754" s="26"/>
      <c r="I754" s="76"/>
      <c r="J754" s="26"/>
      <c r="K754" s="76"/>
      <c r="L754" s="26"/>
      <c r="M754" s="26"/>
    </row>
    <row r="755" spans="1:13" x14ac:dyDescent="0.25">
      <c r="A755" s="109"/>
      <c r="B755" s="29"/>
      <c r="C755" s="80" t="s">
        <v>77</v>
      </c>
      <c r="D755" s="34" t="s">
        <v>50</v>
      </c>
      <c r="E755" s="34">
        <v>1.9E-3</v>
      </c>
      <c r="F755" s="81">
        <f>E755*F750</f>
        <v>8.5500000000000007E-2</v>
      </c>
      <c r="G755" s="34"/>
      <c r="H755" s="32"/>
      <c r="I755" s="33"/>
      <c r="J755" s="32"/>
      <c r="K755" s="33"/>
      <c r="L755" s="32"/>
      <c r="M755" s="32"/>
    </row>
    <row r="756" spans="1:13" ht="94.5" x14ac:dyDescent="0.25">
      <c r="A756" s="115"/>
      <c r="B756" s="68" t="s">
        <v>391</v>
      </c>
      <c r="C756" s="69" t="s">
        <v>392</v>
      </c>
      <c r="D756" s="36" t="s">
        <v>65</v>
      </c>
      <c r="E756" s="55"/>
      <c r="F756" s="36">
        <v>100</v>
      </c>
      <c r="G756" s="70"/>
      <c r="H756" s="71"/>
      <c r="I756" s="70"/>
      <c r="J756" s="71"/>
      <c r="K756" s="70"/>
      <c r="L756" s="71"/>
      <c r="M756" s="71"/>
    </row>
    <row r="757" spans="1:13" x14ac:dyDescent="0.25">
      <c r="A757" s="403">
        <v>6</v>
      </c>
      <c r="B757" s="73"/>
      <c r="C757" s="310" t="s">
        <v>183</v>
      </c>
      <c r="D757" s="311" t="s">
        <v>46</v>
      </c>
      <c r="E757" s="26">
        <f>0.94*1.15</f>
        <v>1.081</v>
      </c>
      <c r="F757" s="26">
        <f>F756*E757</f>
        <v>108.1</v>
      </c>
      <c r="G757" s="83"/>
      <c r="H757" s="26"/>
      <c r="I757" s="76"/>
      <c r="J757" s="26"/>
      <c r="K757" s="76"/>
      <c r="L757" s="26"/>
      <c r="M757" s="77"/>
    </row>
    <row r="758" spans="1:13" x14ac:dyDescent="0.25">
      <c r="A758" s="109"/>
      <c r="B758" s="73"/>
      <c r="C758" s="310" t="s">
        <v>184</v>
      </c>
      <c r="D758" s="311" t="s">
        <v>122</v>
      </c>
      <c r="E758" s="40">
        <f>0.098*1.25</f>
        <v>0.1225</v>
      </c>
      <c r="F758" s="269">
        <f>F756*E758</f>
        <v>12.25</v>
      </c>
      <c r="G758" s="40"/>
      <c r="H758" s="26"/>
      <c r="I758" s="76"/>
      <c r="J758" s="26"/>
      <c r="K758" s="76"/>
      <c r="L758" s="26"/>
      <c r="M758" s="77"/>
    </row>
    <row r="759" spans="1:13" ht="54" x14ac:dyDescent="0.25">
      <c r="A759" s="109"/>
      <c r="B759" s="73"/>
      <c r="C759" s="88" t="s">
        <v>393</v>
      </c>
      <c r="D759" s="527" t="s">
        <v>65</v>
      </c>
      <c r="E759" s="47">
        <v>1.25</v>
      </c>
      <c r="F759" s="89">
        <f>F756*E759</f>
        <v>125</v>
      </c>
      <c r="G759" s="47"/>
      <c r="H759" s="89"/>
      <c r="I759" s="89"/>
      <c r="J759" s="91"/>
      <c r="K759" s="92"/>
      <c r="L759" s="89"/>
      <c r="M759" s="91"/>
    </row>
    <row r="760" spans="1:13" x14ac:dyDescent="0.25">
      <c r="A760" s="109"/>
      <c r="B760" s="73"/>
      <c r="C760" s="74" t="s">
        <v>394</v>
      </c>
      <c r="D760" s="527" t="s">
        <v>75</v>
      </c>
      <c r="E760" s="40">
        <v>7.0000000000000007E-2</v>
      </c>
      <c r="F760" s="26">
        <f>E760*F756</f>
        <v>7.0000000000000009</v>
      </c>
      <c r="G760" s="40"/>
      <c r="H760" s="26"/>
      <c r="I760" s="26"/>
      <c r="J760" s="77"/>
      <c r="K760" s="76"/>
      <c r="L760" s="26"/>
      <c r="M760" s="77"/>
    </row>
    <row r="761" spans="1:13" x14ac:dyDescent="0.25">
      <c r="A761" s="109"/>
      <c r="B761" s="73"/>
      <c r="C761" s="80" t="s">
        <v>62</v>
      </c>
      <c r="D761" s="527" t="s">
        <v>50</v>
      </c>
      <c r="E761" s="40">
        <v>5.6000000000000001E-2</v>
      </c>
      <c r="F761" s="26">
        <f>F756*E761</f>
        <v>5.6000000000000005</v>
      </c>
      <c r="G761" s="40"/>
      <c r="H761" s="26"/>
      <c r="I761" s="76"/>
      <c r="J761" s="26"/>
      <c r="K761" s="76"/>
      <c r="L761" s="26"/>
      <c r="M761" s="26"/>
    </row>
    <row r="762" spans="1:13" ht="15.75" x14ac:dyDescent="0.25">
      <c r="A762" s="109"/>
      <c r="B762" s="16"/>
      <c r="C762" s="178" t="s">
        <v>395</v>
      </c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40.5" x14ac:dyDescent="0.25">
      <c r="A763" s="719">
        <v>1</v>
      </c>
      <c r="B763" s="718" t="s">
        <v>124</v>
      </c>
      <c r="C763" s="211" t="s">
        <v>396</v>
      </c>
      <c r="D763" s="212" t="s">
        <v>65</v>
      </c>
      <c r="E763" s="212"/>
      <c r="F763" s="213">
        <v>44</v>
      </c>
      <c r="G763" s="83"/>
      <c r="H763" s="26"/>
      <c r="I763" s="97"/>
      <c r="J763" s="214"/>
      <c r="K763" s="215"/>
      <c r="L763" s="60"/>
      <c r="M763" s="61"/>
    </row>
    <row r="764" spans="1:13" x14ac:dyDescent="0.25">
      <c r="A764" s="115"/>
      <c r="B764" s="160"/>
      <c r="C764" s="310" t="s">
        <v>183</v>
      </c>
      <c r="D764" s="311" t="s">
        <v>46</v>
      </c>
      <c r="E764" s="146">
        <v>0.61099999999999999</v>
      </c>
      <c r="F764" s="147">
        <f>E764*F763</f>
        <v>26.884</v>
      </c>
      <c r="G764" s="146"/>
      <c r="H764" s="147"/>
      <c r="I764" s="148"/>
      <c r="J764" s="147"/>
      <c r="K764" s="148"/>
      <c r="L764" s="147"/>
      <c r="M764" s="147"/>
    </row>
    <row r="765" spans="1:13" ht="27" x14ac:dyDescent="0.25">
      <c r="A765" s="109">
        <v>2</v>
      </c>
      <c r="B765" s="373" t="s">
        <v>70</v>
      </c>
      <c r="C765" s="94" t="s">
        <v>397</v>
      </c>
      <c r="D765" s="274" t="s">
        <v>65</v>
      </c>
      <c r="E765" s="35"/>
      <c r="F765" s="123">
        <v>44</v>
      </c>
      <c r="G765" s="56"/>
      <c r="H765" s="57"/>
      <c r="I765" s="58"/>
      <c r="J765" s="59"/>
      <c r="K765" s="60"/>
      <c r="L765" s="60"/>
      <c r="M765" s="61"/>
    </row>
    <row r="766" spans="1:13" x14ac:dyDescent="0.25">
      <c r="A766" s="403"/>
      <c r="B766" s="164"/>
      <c r="C766" s="310" t="s">
        <v>183</v>
      </c>
      <c r="D766" s="311" t="s">
        <v>46</v>
      </c>
      <c r="E766" s="47">
        <v>0.25800000000000001</v>
      </c>
      <c r="F766" s="89">
        <f>E766*F765</f>
        <v>11.352</v>
      </c>
      <c r="G766" s="91"/>
      <c r="H766" s="89"/>
      <c r="I766" s="92"/>
      <c r="J766" s="89"/>
      <c r="K766" s="92"/>
      <c r="L766" s="89"/>
      <c r="M766" s="89"/>
    </row>
    <row r="767" spans="1:13" x14ac:dyDescent="0.25">
      <c r="A767" s="109"/>
      <c r="B767" s="145"/>
      <c r="C767" s="310" t="s">
        <v>184</v>
      </c>
      <c r="D767" s="311" t="s">
        <v>122</v>
      </c>
      <c r="E767" s="146">
        <v>1.6000000000000001E-3</v>
      </c>
      <c r="F767" s="146">
        <f>E767*F765</f>
        <v>7.0400000000000004E-2</v>
      </c>
      <c r="G767" s="146"/>
      <c r="H767" s="147"/>
      <c r="I767" s="148"/>
      <c r="J767" s="147"/>
      <c r="K767" s="148"/>
      <c r="L767" s="147"/>
      <c r="M767" s="147"/>
    </row>
    <row r="768" spans="1:13" ht="40.5" x14ac:dyDescent="0.25">
      <c r="A768" s="716">
        <v>3</v>
      </c>
      <c r="B768" s="717" t="s">
        <v>265</v>
      </c>
      <c r="C768" s="69" t="s">
        <v>398</v>
      </c>
      <c r="D768" s="36" t="s">
        <v>65</v>
      </c>
      <c r="E768" s="55"/>
      <c r="F768" s="364">
        <v>44</v>
      </c>
      <c r="G768" s="179"/>
      <c r="H768" s="57"/>
      <c r="I768" s="180"/>
      <c r="J768" s="57"/>
      <c r="K768" s="180"/>
      <c r="L768" s="57"/>
      <c r="M768" s="181"/>
    </row>
    <row r="769" spans="1:13" x14ac:dyDescent="0.25">
      <c r="A769" s="109"/>
      <c r="B769" s="20" t="s">
        <v>399</v>
      </c>
      <c r="C769" s="310" t="s">
        <v>183</v>
      </c>
      <c r="D769" s="311" t="s">
        <v>46</v>
      </c>
      <c r="E769" s="26">
        <f>1.069*1.1</f>
        <v>1.1758999999999999</v>
      </c>
      <c r="F769" s="26">
        <f>E769*F768</f>
        <v>51.739599999999996</v>
      </c>
      <c r="G769" s="40"/>
      <c r="H769" s="26"/>
      <c r="I769" s="76"/>
      <c r="J769" s="26"/>
      <c r="K769" s="76"/>
      <c r="L769" s="26"/>
      <c r="M769" s="26"/>
    </row>
    <row r="770" spans="1:13" x14ac:dyDescent="0.25">
      <c r="A770" s="109"/>
      <c r="B770" s="394"/>
      <c r="C770" s="310" t="s">
        <v>184</v>
      </c>
      <c r="D770" s="311" t="s">
        <v>122</v>
      </c>
      <c r="E770" s="269">
        <f>0.0242*1.1</f>
        <v>2.6620000000000001E-2</v>
      </c>
      <c r="F770" s="26">
        <f>E770*F768</f>
        <v>1.1712800000000001</v>
      </c>
      <c r="G770" s="40"/>
      <c r="H770" s="26"/>
      <c r="I770" s="76"/>
      <c r="J770" s="26"/>
      <c r="K770" s="76"/>
      <c r="L770" s="26"/>
      <c r="M770" s="26"/>
    </row>
    <row r="771" spans="1:13" x14ac:dyDescent="0.25">
      <c r="A771" s="109"/>
      <c r="B771" s="395"/>
      <c r="C771" s="74" t="s">
        <v>492</v>
      </c>
      <c r="D771" s="40" t="s">
        <v>83</v>
      </c>
      <c r="E771" s="155">
        <v>2.5499999999999998E-2</v>
      </c>
      <c r="F771" s="26">
        <f>E771*F768</f>
        <v>1.1219999999999999</v>
      </c>
      <c r="G771" s="34"/>
      <c r="H771" s="32"/>
      <c r="I771" s="33"/>
      <c r="J771" s="128"/>
      <c r="K771" s="128"/>
      <c r="L771" s="128"/>
      <c r="M771" s="128"/>
    </row>
    <row r="772" spans="1:13" ht="24.75" customHeight="1" x14ac:dyDescent="0.25">
      <c r="A772" s="716">
        <v>4</v>
      </c>
      <c r="B772" s="763" t="s">
        <v>268</v>
      </c>
      <c r="C772" s="84" t="s">
        <v>269</v>
      </c>
      <c r="D772" s="36" t="s">
        <v>65</v>
      </c>
      <c r="E772" s="55"/>
      <c r="F772" s="364">
        <v>44</v>
      </c>
      <c r="G772" s="179"/>
      <c r="H772" s="57"/>
      <c r="I772" s="180"/>
      <c r="J772" s="57"/>
      <c r="K772" s="180"/>
      <c r="L772" s="57"/>
      <c r="M772" s="181"/>
    </row>
    <row r="773" spans="1:13" x14ac:dyDescent="0.25">
      <c r="A773" s="109"/>
      <c r="B773" s="771"/>
      <c r="C773" s="310" t="s">
        <v>183</v>
      </c>
      <c r="D773" s="311" t="s">
        <v>46</v>
      </c>
      <c r="E773" s="26">
        <v>0.28699999999999998</v>
      </c>
      <c r="F773" s="26">
        <f>E773*F772</f>
        <v>12.627999999999998</v>
      </c>
      <c r="G773" s="40"/>
      <c r="H773" s="77"/>
      <c r="I773" s="76"/>
      <c r="J773" s="26"/>
      <c r="K773" s="76"/>
      <c r="L773" s="26"/>
      <c r="M773" s="77"/>
    </row>
    <row r="774" spans="1:13" x14ac:dyDescent="0.25">
      <c r="A774" s="109"/>
      <c r="B774" s="771"/>
      <c r="C774" s="310" t="s">
        <v>184</v>
      </c>
      <c r="D774" s="311" t="s">
        <v>122</v>
      </c>
      <c r="E774" s="40">
        <v>0.1</v>
      </c>
      <c r="F774" s="26">
        <f>E774*F772</f>
        <v>4.4000000000000004</v>
      </c>
      <c r="G774" s="40"/>
      <c r="H774" s="26"/>
      <c r="I774" s="76"/>
      <c r="J774" s="26"/>
      <c r="K774" s="76"/>
      <c r="L774" s="77"/>
      <c r="M774" s="26"/>
    </row>
    <row r="775" spans="1:13" x14ac:dyDescent="0.25">
      <c r="A775" s="109"/>
      <c r="B775" s="771"/>
      <c r="C775" s="74" t="s">
        <v>270</v>
      </c>
      <c r="D775" s="40" t="s">
        <v>75</v>
      </c>
      <c r="E775" s="40">
        <v>3.96</v>
      </c>
      <c r="F775" s="77">
        <f>E775*F772</f>
        <v>174.24</v>
      </c>
      <c r="G775" s="40"/>
      <c r="H775" s="26"/>
      <c r="I775" s="76"/>
      <c r="J775" s="77"/>
      <c r="K775" s="77"/>
      <c r="L775" s="77"/>
      <c r="M775" s="77"/>
    </row>
    <row r="776" spans="1:13" x14ac:dyDescent="0.25">
      <c r="A776" s="109"/>
      <c r="B776" s="771"/>
      <c r="C776" s="74" t="s">
        <v>271</v>
      </c>
      <c r="D776" s="40" t="s">
        <v>75</v>
      </c>
      <c r="E776" s="40">
        <v>0.15</v>
      </c>
      <c r="F776" s="26">
        <f>E776*F772</f>
        <v>6.6</v>
      </c>
      <c r="G776" s="40"/>
      <c r="H776" s="26"/>
      <c r="I776" s="76"/>
      <c r="J776" s="77"/>
      <c r="K776" s="77"/>
      <c r="L776" s="77"/>
      <c r="M776" s="77"/>
    </row>
    <row r="777" spans="1:13" x14ac:dyDescent="0.25">
      <c r="A777" s="731"/>
      <c r="B777" s="720"/>
      <c r="C777" s="80" t="s">
        <v>77</v>
      </c>
      <c r="D777" s="34" t="s">
        <v>50</v>
      </c>
      <c r="E777" s="34">
        <v>4.1999999999999997E-3</v>
      </c>
      <c r="F777" s="81">
        <f>E777*F772</f>
        <v>0.18479999999999999</v>
      </c>
      <c r="G777" s="34"/>
      <c r="H777" s="32"/>
      <c r="I777" s="33"/>
      <c r="J777" s="32"/>
      <c r="K777" s="33"/>
      <c r="L777" s="32"/>
      <c r="M777" s="32"/>
    </row>
    <row r="778" spans="1:13" ht="40.5" x14ac:dyDescent="0.25">
      <c r="A778" s="715">
        <v>5</v>
      </c>
      <c r="B778" s="718" t="s">
        <v>400</v>
      </c>
      <c r="C778" s="211" t="s">
        <v>401</v>
      </c>
      <c r="D778" s="212" t="s">
        <v>65</v>
      </c>
      <c r="E778" s="363"/>
      <c r="F778" s="363">
        <v>180</v>
      </c>
      <c r="G778" s="56"/>
      <c r="H778" s="57"/>
      <c r="I778" s="58"/>
      <c r="J778" s="59"/>
      <c r="K778" s="60"/>
      <c r="L778" s="60"/>
      <c r="M778" s="61"/>
    </row>
    <row r="779" spans="1:13" x14ac:dyDescent="0.25">
      <c r="A779" s="715"/>
      <c r="B779" s="718"/>
      <c r="C779" s="310" t="s">
        <v>183</v>
      </c>
      <c r="D779" s="311" t="s">
        <v>46</v>
      </c>
      <c r="E779" s="40">
        <v>0.47699999999999998</v>
      </c>
      <c r="F779" s="26">
        <f>E779*F778</f>
        <v>85.86</v>
      </c>
      <c r="G779" s="40"/>
      <c r="H779" s="26"/>
      <c r="I779" s="76"/>
      <c r="J779" s="26"/>
      <c r="K779" s="76"/>
      <c r="L779" s="26"/>
      <c r="M779" s="26"/>
    </row>
    <row r="780" spans="1:13" x14ac:dyDescent="0.25">
      <c r="A780" s="715"/>
      <c r="B780" s="720"/>
      <c r="C780" s="310" t="s">
        <v>184</v>
      </c>
      <c r="D780" s="311" t="s">
        <v>122</v>
      </c>
      <c r="E780" s="34">
        <v>2.0500000000000001E-2</v>
      </c>
      <c r="F780" s="32">
        <f>E780*F778</f>
        <v>3.69</v>
      </c>
      <c r="G780" s="83"/>
      <c r="H780" s="26"/>
      <c r="I780" s="76"/>
      <c r="J780" s="26"/>
      <c r="K780" s="76"/>
      <c r="L780" s="26"/>
      <c r="M780" s="26"/>
    </row>
    <row r="781" spans="1:13" ht="27" x14ac:dyDescent="0.25">
      <c r="A781" s="715"/>
      <c r="B781" s="718" t="s">
        <v>126</v>
      </c>
      <c r="C781" s="69" t="s">
        <v>402</v>
      </c>
      <c r="D781" s="212" t="s">
        <v>65</v>
      </c>
      <c r="E781" s="363"/>
      <c r="F781" s="363">
        <v>180</v>
      </c>
      <c r="G781" s="56"/>
      <c r="H781" s="57"/>
      <c r="I781" s="58"/>
      <c r="J781" s="59"/>
      <c r="K781" s="60"/>
      <c r="L781" s="60"/>
      <c r="M781" s="61"/>
    </row>
    <row r="782" spans="1:13" x14ac:dyDescent="0.25">
      <c r="A782" s="715"/>
      <c r="B782" s="718"/>
      <c r="C782" s="310" t="s">
        <v>183</v>
      </c>
      <c r="D782" s="311" t="s">
        <v>46</v>
      </c>
      <c r="E782" s="40">
        <v>0.23799999999999999</v>
      </c>
      <c r="F782" s="26">
        <f>E782*F781</f>
        <v>42.839999999999996</v>
      </c>
      <c r="G782" s="40"/>
      <c r="H782" s="26"/>
      <c r="I782" s="76"/>
      <c r="J782" s="26"/>
      <c r="K782" s="76"/>
      <c r="L782" s="26"/>
      <c r="M782" s="26"/>
    </row>
    <row r="783" spans="1:13" x14ac:dyDescent="0.25">
      <c r="A783" s="731"/>
      <c r="B783" s="720"/>
      <c r="C783" s="310" t="s">
        <v>184</v>
      </c>
      <c r="D783" s="311" t="s">
        <v>122</v>
      </c>
      <c r="E783" s="34">
        <v>3.9199999999999999E-2</v>
      </c>
      <c r="F783" s="32">
        <f>E783*F781</f>
        <v>7.056</v>
      </c>
      <c r="G783" s="83"/>
      <c r="H783" s="26"/>
      <c r="I783" s="76"/>
      <c r="J783" s="26"/>
      <c r="K783" s="76"/>
      <c r="L783" s="26"/>
      <c r="M783" s="26"/>
    </row>
    <row r="784" spans="1:13" ht="40.5" x14ac:dyDescent="0.25">
      <c r="A784" s="715">
        <v>6</v>
      </c>
      <c r="B784" s="721" t="s">
        <v>403</v>
      </c>
      <c r="C784" s="69" t="s">
        <v>404</v>
      </c>
      <c r="D784" s="363" t="s">
        <v>65</v>
      </c>
      <c r="E784" s="540"/>
      <c r="F784" s="71">
        <v>180</v>
      </c>
      <c r="G784" s="70"/>
      <c r="H784" s="71"/>
      <c r="I784" s="70"/>
      <c r="J784" s="71"/>
      <c r="K784" s="70"/>
      <c r="L784" s="71"/>
      <c r="M784" s="71"/>
    </row>
    <row r="785" spans="1:13" x14ac:dyDescent="0.25">
      <c r="A785" s="715"/>
      <c r="B785" s="722"/>
      <c r="C785" s="310" t="s">
        <v>183</v>
      </c>
      <c r="D785" s="311" t="s">
        <v>46</v>
      </c>
      <c r="E785" s="26">
        <v>1</v>
      </c>
      <c r="F785" s="26">
        <f>F784*E785</f>
        <v>180</v>
      </c>
      <c r="G785" s="40"/>
      <c r="H785" s="77"/>
      <c r="I785" s="76"/>
      <c r="J785" s="26"/>
      <c r="K785" s="76"/>
      <c r="L785" s="26"/>
      <c r="M785" s="77"/>
    </row>
    <row r="786" spans="1:13" x14ac:dyDescent="0.25">
      <c r="A786" s="715"/>
      <c r="B786" s="722"/>
      <c r="C786" s="310" t="s">
        <v>184</v>
      </c>
      <c r="D786" s="311" t="s">
        <v>122</v>
      </c>
      <c r="E786" s="40">
        <f>0.174*1.25</f>
        <v>0.21749999999999997</v>
      </c>
      <c r="F786" s="26">
        <f>F784*E786</f>
        <v>39.149999999999991</v>
      </c>
      <c r="G786" s="40"/>
      <c r="H786" s="77"/>
      <c r="I786" s="76"/>
      <c r="J786" s="26"/>
      <c r="K786" s="76"/>
      <c r="L786" s="26"/>
      <c r="M786" s="26"/>
    </row>
    <row r="787" spans="1:13" x14ac:dyDescent="0.25">
      <c r="A787" s="715"/>
      <c r="B787" s="722"/>
      <c r="C787" s="74" t="s">
        <v>405</v>
      </c>
      <c r="D787" s="40" t="s">
        <v>170</v>
      </c>
      <c r="E787" s="269">
        <f>0.051*1.05</f>
        <v>5.355E-2</v>
      </c>
      <c r="F787" s="26">
        <f>F784*E787</f>
        <v>9.6389999999999993</v>
      </c>
      <c r="G787" s="40"/>
      <c r="H787" s="77"/>
      <c r="I787" s="76"/>
      <c r="J787" s="26"/>
      <c r="K787" s="76"/>
      <c r="L787" s="26"/>
      <c r="M787" s="77"/>
    </row>
    <row r="788" spans="1:13" x14ac:dyDescent="0.25">
      <c r="A788" s="731"/>
      <c r="B788" s="723"/>
      <c r="C788" s="80" t="s">
        <v>62</v>
      </c>
      <c r="D788" s="34" t="s">
        <v>50</v>
      </c>
      <c r="E788" s="34">
        <v>6.6400000000000001E-2</v>
      </c>
      <c r="F788" s="32">
        <f>F784*E788</f>
        <v>11.952</v>
      </c>
      <c r="G788" s="34"/>
      <c r="H788" s="128"/>
      <c r="I788" s="33"/>
      <c r="J788" s="32"/>
      <c r="K788" s="33"/>
      <c r="L788" s="32"/>
      <c r="M788" s="128"/>
    </row>
    <row r="789" spans="1:13" ht="54" x14ac:dyDescent="0.25">
      <c r="A789" s="715">
        <v>7</v>
      </c>
      <c r="B789" s="721" t="s">
        <v>130</v>
      </c>
      <c r="C789" s="69" t="s">
        <v>131</v>
      </c>
      <c r="D789" s="36" t="s">
        <v>65</v>
      </c>
      <c r="E789" s="55"/>
      <c r="F789" s="123">
        <v>180</v>
      </c>
      <c r="G789" s="70"/>
      <c r="H789" s="71"/>
      <c r="I789" s="70"/>
      <c r="J789" s="71"/>
      <c r="K789" s="70"/>
      <c r="L789" s="71"/>
      <c r="M789" s="71"/>
    </row>
    <row r="790" spans="1:13" x14ac:dyDescent="0.25">
      <c r="A790" s="715"/>
      <c r="B790" s="722"/>
      <c r="C790" s="310" t="s">
        <v>183</v>
      </c>
      <c r="D790" s="311" t="s">
        <v>46</v>
      </c>
      <c r="E790" s="26">
        <f>2.42*1.15</f>
        <v>2.7829999999999999</v>
      </c>
      <c r="F790" s="26">
        <f>F789*E790</f>
        <v>500.94</v>
      </c>
      <c r="G790" s="40"/>
      <c r="H790" s="77"/>
      <c r="I790" s="76"/>
      <c r="J790" s="26"/>
      <c r="K790" s="76"/>
      <c r="L790" s="26"/>
      <c r="M790" s="77"/>
    </row>
    <row r="791" spans="1:13" x14ac:dyDescent="0.25">
      <c r="A791" s="715"/>
      <c r="B791" s="722"/>
      <c r="C791" s="310" t="s">
        <v>184</v>
      </c>
      <c r="D791" s="311" t="s">
        <v>122</v>
      </c>
      <c r="E791" s="87">
        <f>0.045*1.25</f>
        <v>5.6249999999999994E-2</v>
      </c>
      <c r="F791" s="26">
        <f>F789*E791</f>
        <v>10.124999999999998</v>
      </c>
      <c r="G791" s="40"/>
      <c r="H791" s="77"/>
      <c r="I791" s="76"/>
      <c r="J791" s="26"/>
      <c r="K791" s="76"/>
      <c r="L791" s="26"/>
      <c r="M791" s="77"/>
    </row>
    <row r="792" spans="1:13" ht="27" x14ac:dyDescent="0.25">
      <c r="A792" s="715"/>
      <c r="B792" s="722"/>
      <c r="C792" s="141" t="s">
        <v>489</v>
      </c>
      <c r="D792" s="47" t="s">
        <v>65</v>
      </c>
      <c r="E792" s="89">
        <v>1.02</v>
      </c>
      <c r="F792" s="89">
        <f>F789*E792</f>
        <v>183.6</v>
      </c>
      <c r="G792" s="47"/>
      <c r="H792" s="91"/>
      <c r="I792" s="91"/>
      <c r="J792" s="89"/>
      <c r="K792" s="92"/>
      <c r="L792" s="89"/>
      <c r="M792" s="91"/>
    </row>
    <row r="793" spans="1:13" x14ac:dyDescent="0.25">
      <c r="A793" s="715"/>
      <c r="B793" s="722"/>
      <c r="C793" s="74" t="s">
        <v>133</v>
      </c>
      <c r="D793" s="40" t="s">
        <v>75</v>
      </c>
      <c r="E793" s="40">
        <v>4.5</v>
      </c>
      <c r="F793" s="26">
        <f>F789*E793</f>
        <v>810</v>
      </c>
      <c r="G793" s="40"/>
      <c r="H793" s="77"/>
      <c r="I793" s="76"/>
      <c r="J793" s="26"/>
      <c r="K793" s="76"/>
      <c r="L793" s="26"/>
      <c r="M793" s="77"/>
    </row>
    <row r="794" spans="1:13" x14ac:dyDescent="0.25">
      <c r="A794" s="731"/>
      <c r="B794" s="723"/>
      <c r="C794" s="80" t="s">
        <v>62</v>
      </c>
      <c r="D794" s="34" t="s">
        <v>50</v>
      </c>
      <c r="E794" s="34">
        <v>4.2999999999999997E-2</v>
      </c>
      <c r="F794" s="32">
        <f>F789*E794</f>
        <v>7.7399999999999993</v>
      </c>
      <c r="G794" s="34"/>
      <c r="H794" s="128"/>
      <c r="I794" s="33"/>
      <c r="J794" s="32"/>
      <c r="K794" s="33"/>
      <c r="L794" s="32"/>
      <c r="M794" s="32"/>
    </row>
    <row r="795" spans="1:13" ht="40.5" x14ac:dyDescent="0.25">
      <c r="A795" s="715">
        <v>8</v>
      </c>
      <c r="B795" s="718" t="s">
        <v>124</v>
      </c>
      <c r="C795" s="211" t="s">
        <v>406</v>
      </c>
      <c r="D795" s="23" t="s">
        <v>65</v>
      </c>
      <c r="E795" s="23"/>
      <c r="F795" s="24">
        <v>22</v>
      </c>
      <c r="G795" s="47"/>
      <c r="H795" s="89"/>
      <c r="I795" s="164"/>
      <c r="J795" s="258"/>
      <c r="K795" s="678"/>
      <c r="L795" s="679"/>
      <c r="M795" s="680"/>
    </row>
    <row r="796" spans="1:13" x14ac:dyDescent="0.25">
      <c r="A796" s="731"/>
      <c r="B796" s="724"/>
      <c r="C796" s="310" t="s">
        <v>183</v>
      </c>
      <c r="D796" s="311" t="s">
        <v>46</v>
      </c>
      <c r="E796" s="146">
        <v>0.61099999999999999</v>
      </c>
      <c r="F796" s="147">
        <f>E796*F795</f>
        <v>13.442</v>
      </c>
      <c r="G796" s="146"/>
      <c r="H796" s="147"/>
      <c r="I796" s="148"/>
      <c r="J796" s="147"/>
      <c r="K796" s="148"/>
      <c r="L796" s="147"/>
      <c r="M796" s="147"/>
    </row>
    <row r="797" spans="1:13" ht="81" x14ac:dyDescent="0.25">
      <c r="A797" s="715">
        <v>9</v>
      </c>
      <c r="B797" s="725" t="s">
        <v>407</v>
      </c>
      <c r="C797" s="69" t="s">
        <v>408</v>
      </c>
      <c r="D797" s="36" t="s">
        <v>65</v>
      </c>
      <c r="E797" s="35"/>
      <c r="F797" s="123">
        <v>22</v>
      </c>
      <c r="G797" s="57"/>
      <c r="H797" s="285"/>
      <c r="I797" s="57"/>
      <c r="J797" s="285"/>
      <c r="K797" s="57"/>
      <c r="L797" s="285"/>
      <c r="M797" s="285"/>
    </row>
    <row r="798" spans="1:13" x14ac:dyDescent="0.25">
      <c r="A798" s="715"/>
      <c r="B798" s="718"/>
      <c r="C798" s="310" t="s">
        <v>183</v>
      </c>
      <c r="D798" s="311" t="s">
        <v>46</v>
      </c>
      <c r="E798" s="26">
        <v>1</v>
      </c>
      <c r="F798" s="26">
        <f>F797*E798</f>
        <v>22</v>
      </c>
      <c r="G798" s="40"/>
      <c r="H798" s="77"/>
      <c r="I798" s="76"/>
      <c r="J798" s="26"/>
      <c r="K798" s="76"/>
      <c r="L798" s="26"/>
      <c r="M798" s="77"/>
    </row>
    <row r="799" spans="1:13" x14ac:dyDescent="0.25">
      <c r="A799" s="715"/>
      <c r="B799" s="718"/>
      <c r="C799" s="310" t="s">
        <v>184</v>
      </c>
      <c r="D799" s="311" t="s">
        <v>122</v>
      </c>
      <c r="E799" s="40">
        <v>4.2999999999999997E-2</v>
      </c>
      <c r="F799" s="26">
        <f>F797*E799</f>
        <v>0.94599999999999995</v>
      </c>
      <c r="G799" s="40"/>
      <c r="H799" s="26"/>
      <c r="I799" s="76"/>
      <c r="J799" s="26"/>
      <c r="K799" s="76"/>
      <c r="L799" s="26"/>
      <c r="M799" s="26"/>
    </row>
    <row r="800" spans="1:13" x14ac:dyDescent="0.25">
      <c r="A800" s="715"/>
      <c r="B800" s="718"/>
      <c r="C800" s="74" t="s">
        <v>409</v>
      </c>
      <c r="D800" s="40" t="s">
        <v>75</v>
      </c>
      <c r="E800" s="40">
        <v>5.5</v>
      </c>
      <c r="F800" s="77">
        <f>F797*E800</f>
        <v>121</v>
      </c>
      <c r="G800" s="40"/>
      <c r="H800" s="26"/>
      <c r="I800" s="76"/>
      <c r="J800" s="26"/>
      <c r="K800" s="76"/>
      <c r="L800" s="26"/>
      <c r="M800" s="26"/>
    </row>
    <row r="801" spans="1:13" x14ac:dyDescent="0.25">
      <c r="A801" s="715"/>
      <c r="B801" s="718"/>
      <c r="C801" s="74" t="s">
        <v>410</v>
      </c>
      <c r="D801" s="40" t="s">
        <v>65</v>
      </c>
      <c r="E801" s="26">
        <v>1.01</v>
      </c>
      <c r="F801" s="77">
        <f>F797*E801</f>
        <v>22.22</v>
      </c>
      <c r="G801" s="40"/>
      <c r="H801" s="26"/>
      <c r="I801" s="76"/>
      <c r="J801" s="26"/>
      <c r="K801" s="76"/>
      <c r="L801" s="26"/>
      <c r="M801" s="26"/>
    </row>
    <row r="802" spans="1:13" x14ac:dyDescent="0.25">
      <c r="A802" s="731"/>
      <c r="B802" s="718"/>
      <c r="C802" s="80" t="s">
        <v>77</v>
      </c>
      <c r="D802" s="40" t="s">
        <v>50</v>
      </c>
      <c r="E802" s="40">
        <v>0.24</v>
      </c>
      <c r="F802" s="269">
        <f>F797*E802</f>
        <v>5.2799999999999994</v>
      </c>
      <c r="G802" s="40"/>
      <c r="H802" s="26"/>
      <c r="I802" s="76"/>
      <c r="J802" s="26"/>
      <c r="K802" s="76"/>
      <c r="L802" s="26"/>
      <c r="M802" s="26"/>
    </row>
    <row r="803" spans="1:13" ht="81" x14ac:dyDescent="0.25">
      <c r="A803" s="715">
        <v>10</v>
      </c>
      <c r="B803" s="765" t="s">
        <v>111</v>
      </c>
      <c r="C803" s="69" t="s">
        <v>411</v>
      </c>
      <c r="D803" s="36" t="s">
        <v>113</v>
      </c>
      <c r="E803" s="36"/>
      <c r="F803" s="123">
        <v>18</v>
      </c>
      <c r="G803" s="179"/>
      <c r="H803" s="57"/>
      <c r="I803" s="180"/>
      <c r="J803" s="57"/>
      <c r="K803" s="180"/>
      <c r="L803" s="57"/>
      <c r="M803" s="181"/>
    </row>
    <row r="804" spans="1:13" x14ac:dyDescent="0.25">
      <c r="A804" s="715"/>
      <c r="B804" s="770"/>
      <c r="C804" s="310" t="s">
        <v>183</v>
      </c>
      <c r="D804" s="311" t="s">
        <v>46</v>
      </c>
      <c r="E804" s="40">
        <v>1.0349999999999999</v>
      </c>
      <c r="F804" s="26">
        <f>E804*F803</f>
        <v>18.63</v>
      </c>
      <c r="G804" s="40"/>
      <c r="H804" s="26"/>
      <c r="I804" s="76"/>
      <c r="J804" s="26"/>
      <c r="K804" s="76"/>
      <c r="L804" s="26"/>
      <c r="M804" s="26"/>
    </row>
    <row r="805" spans="1:13" ht="27" x14ac:dyDescent="0.25">
      <c r="A805" s="731"/>
      <c r="B805" s="718"/>
      <c r="C805" s="74" t="s">
        <v>282</v>
      </c>
      <c r="D805" s="34" t="s">
        <v>122</v>
      </c>
      <c r="E805" s="40">
        <v>0.11</v>
      </c>
      <c r="F805" s="26">
        <f>E805*F803</f>
        <v>1.98</v>
      </c>
      <c r="G805" s="40"/>
      <c r="H805" s="26"/>
      <c r="I805" s="76"/>
      <c r="J805" s="26"/>
      <c r="K805" s="76"/>
      <c r="L805" s="26"/>
      <c r="M805" s="26"/>
    </row>
    <row r="806" spans="1:13" ht="67.5" x14ac:dyDescent="0.25">
      <c r="A806" s="715">
        <v>11</v>
      </c>
      <c r="B806" s="765" t="s">
        <v>195</v>
      </c>
      <c r="C806" s="69" t="s">
        <v>196</v>
      </c>
      <c r="D806" s="36" t="s">
        <v>65</v>
      </c>
      <c r="E806" s="55"/>
      <c r="F806" s="364">
        <v>18</v>
      </c>
      <c r="G806" s="57"/>
      <c r="H806" s="285"/>
      <c r="I806" s="57"/>
      <c r="J806" s="285"/>
      <c r="K806" s="57"/>
      <c r="L806" s="285"/>
      <c r="M806" s="285"/>
    </row>
    <row r="807" spans="1:13" x14ac:dyDescent="0.25">
      <c r="A807" s="715"/>
      <c r="B807" s="770"/>
      <c r="C807" s="310" t="s">
        <v>183</v>
      </c>
      <c r="D807" s="311" t="s">
        <v>46</v>
      </c>
      <c r="E807" s="26">
        <f>0.68*1.15</f>
        <v>0.78200000000000003</v>
      </c>
      <c r="F807" s="26">
        <f>E807*F806</f>
        <v>14.076000000000001</v>
      </c>
      <c r="G807" s="86"/>
      <c r="H807" s="77"/>
      <c r="I807" s="77"/>
      <c r="J807" s="77"/>
      <c r="K807" s="77"/>
      <c r="L807" s="77"/>
      <c r="M807" s="77"/>
    </row>
    <row r="808" spans="1:13" x14ac:dyDescent="0.25">
      <c r="A808" s="715"/>
      <c r="B808" s="770"/>
      <c r="C808" s="310" t="s">
        <v>184</v>
      </c>
      <c r="D808" s="311" t="s">
        <v>122</v>
      </c>
      <c r="E808" s="87">
        <f>0.00038*1.25</f>
        <v>4.7500000000000005E-4</v>
      </c>
      <c r="F808" s="269">
        <f>E808*F806</f>
        <v>8.5500000000000003E-3</v>
      </c>
      <c r="G808" s="40"/>
      <c r="H808" s="26"/>
      <c r="I808" s="76"/>
      <c r="J808" s="26"/>
      <c r="K808" s="76"/>
      <c r="L808" s="269"/>
      <c r="M808" s="26"/>
    </row>
    <row r="809" spans="1:13" ht="27" x14ac:dyDescent="0.25">
      <c r="A809" s="715"/>
      <c r="B809" s="770"/>
      <c r="C809" s="74" t="s">
        <v>197</v>
      </c>
      <c r="D809" s="40" t="s">
        <v>75</v>
      </c>
      <c r="E809" s="40">
        <v>2.7E-2</v>
      </c>
      <c r="F809" s="26">
        <f>E809*F806</f>
        <v>0.48599999999999999</v>
      </c>
      <c r="G809" s="40"/>
      <c r="H809" s="26"/>
      <c r="I809" s="76"/>
      <c r="J809" s="26"/>
      <c r="K809" s="76"/>
      <c r="L809" s="26"/>
      <c r="M809" s="26"/>
    </row>
    <row r="810" spans="1:13" ht="27" x14ac:dyDescent="0.25">
      <c r="A810" s="715"/>
      <c r="B810" s="718"/>
      <c r="C810" s="74" t="s">
        <v>198</v>
      </c>
      <c r="D810" s="40" t="s">
        <v>75</v>
      </c>
      <c r="E810" s="40">
        <v>0.246</v>
      </c>
      <c r="F810" s="26">
        <f>E810*F806</f>
        <v>4.4279999999999999</v>
      </c>
      <c r="G810" s="40"/>
      <c r="H810" s="26"/>
      <c r="I810" s="76"/>
      <c r="J810" s="26"/>
      <c r="K810" s="76"/>
      <c r="L810" s="26"/>
      <c r="M810" s="26"/>
    </row>
    <row r="811" spans="1:13" x14ac:dyDescent="0.25">
      <c r="A811" s="731"/>
      <c r="B811" s="720"/>
      <c r="C811" s="80" t="s">
        <v>77</v>
      </c>
      <c r="D811" s="34" t="s">
        <v>50</v>
      </c>
      <c r="E811" s="34">
        <v>1.9E-3</v>
      </c>
      <c r="F811" s="81">
        <f>E811*F806</f>
        <v>3.4200000000000001E-2</v>
      </c>
      <c r="G811" s="34"/>
      <c r="H811" s="32"/>
      <c r="I811" s="33"/>
      <c r="J811" s="32"/>
      <c r="K811" s="33"/>
      <c r="L811" s="32"/>
      <c r="M811" s="32"/>
    </row>
    <row r="812" spans="1:13" ht="40.5" x14ac:dyDescent="0.25">
      <c r="A812" s="715">
        <v>12</v>
      </c>
      <c r="B812" s="718" t="s">
        <v>412</v>
      </c>
      <c r="C812" s="211" t="s">
        <v>413</v>
      </c>
      <c r="D812" s="212" t="s">
        <v>65</v>
      </c>
      <c r="E812" s="363"/>
      <c r="F812" s="363">
        <v>35</v>
      </c>
      <c r="G812" s="56"/>
      <c r="H812" s="57"/>
      <c r="I812" s="58"/>
      <c r="J812" s="59"/>
      <c r="K812" s="60"/>
      <c r="L812" s="60"/>
      <c r="M812" s="61"/>
    </row>
    <row r="813" spans="1:13" x14ac:dyDescent="0.25">
      <c r="A813" s="715"/>
      <c r="B813" s="718"/>
      <c r="C813" s="310" t="s">
        <v>183</v>
      </c>
      <c r="D813" s="311" t="s">
        <v>46</v>
      </c>
      <c r="E813" s="40">
        <v>0.32200000000000001</v>
      </c>
      <c r="F813" s="26">
        <f>E813*F812</f>
        <v>11.27</v>
      </c>
      <c r="G813" s="40"/>
      <c r="H813" s="26"/>
      <c r="I813" s="76"/>
      <c r="J813" s="26"/>
      <c r="K813" s="76"/>
      <c r="L813" s="26"/>
      <c r="M813" s="26"/>
    </row>
    <row r="814" spans="1:13" x14ac:dyDescent="0.25">
      <c r="A814" s="731"/>
      <c r="B814" s="720"/>
      <c r="C814" s="310" t="s">
        <v>184</v>
      </c>
      <c r="D814" s="311" t="s">
        <v>122</v>
      </c>
      <c r="E814" s="34">
        <v>0.186</v>
      </c>
      <c r="F814" s="32">
        <f>E814*F812</f>
        <v>6.51</v>
      </c>
      <c r="G814" s="83"/>
      <c r="H814" s="26"/>
      <c r="I814" s="76"/>
      <c r="J814" s="26"/>
      <c r="K814" s="76"/>
      <c r="L814" s="26"/>
      <c r="M814" s="26"/>
    </row>
    <row r="815" spans="1:13" ht="27" x14ac:dyDescent="0.25">
      <c r="A815" s="715">
        <v>13</v>
      </c>
      <c r="B815" s="726" t="s">
        <v>70</v>
      </c>
      <c r="C815" s="94" t="s">
        <v>397</v>
      </c>
      <c r="D815" s="274" t="s">
        <v>65</v>
      </c>
      <c r="E815" s="35"/>
      <c r="F815" s="123">
        <v>35</v>
      </c>
      <c r="G815" s="56"/>
      <c r="H815" s="57"/>
      <c r="I815" s="58"/>
      <c r="J815" s="59"/>
      <c r="K815" s="60"/>
      <c r="L815" s="60"/>
      <c r="M815" s="61"/>
    </row>
    <row r="816" spans="1:13" x14ac:dyDescent="0.25">
      <c r="A816" s="715"/>
      <c r="B816" s="727"/>
      <c r="C816" s="310" t="s">
        <v>183</v>
      </c>
      <c r="D816" s="311" t="s">
        <v>46</v>
      </c>
      <c r="E816" s="47">
        <v>0.25800000000000001</v>
      </c>
      <c r="F816" s="89">
        <f>E816*F815</f>
        <v>9.0300000000000011</v>
      </c>
      <c r="G816" s="91"/>
      <c r="H816" s="89"/>
      <c r="I816" s="92"/>
      <c r="J816" s="89"/>
      <c r="K816" s="92"/>
      <c r="L816" s="89"/>
      <c r="M816" s="89"/>
    </row>
    <row r="817" spans="1:13" x14ac:dyDescent="0.25">
      <c r="A817" s="731"/>
      <c r="B817" s="728"/>
      <c r="C817" s="310" t="s">
        <v>184</v>
      </c>
      <c r="D817" s="311" t="s">
        <v>122</v>
      </c>
      <c r="E817" s="146">
        <v>1.6000000000000001E-3</v>
      </c>
      <c r="F817" s="146">
        <f>E817*F815</f>
        <v>5.6000000000000001E-2</v>
      </c>
      <c r="G817" s="146"/>
      <c r="H817" s="147"/>
      <c r="I817" s="148"/>
      <c r="J817" s="147"/>
      <c r="K817" s="148"/>
      <c r="L817" s="147"/>
      <c r="M817" s="147"/>
    </row>
    <row r="818" spans="1:13" ht="40.5" x14ac:dyDescent="0.25">
      <c r="A818" s="715">
        <v>14</v>
      </c>
      <c r="B818" s="763" t="s">
        <v>414</v>
      </c>
      <c r="C818" s="69" t="s">
        <v>415</v>
      </c>
      <c r="D818" s="36" t="s">
        <v>65</v>
      </c>
      <c r="E818" s="55"/>
      <c r="F818" s="364">
        <v>35</v>
      </c>
      <c r="G818" s="179"/>
      <c r="H818" s="57"/>
      <c r="I818" s="180"/>
      <c r="J818" s="57"/>
      <c r="K818" s="180"/>
      <c r="L818" s="57"/>
      <c r="M818" s="181"/>
    </row>
    <row r="819" spans="1:13" x14ac:dyDescent="0.25">
      <c r="A819" s="715"/>
      <c r="B819" s="764"/>
      <c r="C819" s="310" t="s">
        <v>183</v>
      </c>
      <c r="D819" s="311" t="s">
        <v>46</v>
      </c>
      <c r="E819" s="26">
        <f>1.32*1.15</f>
        <v>1.518</v>
      </c>
      <c r="F819" s="26">
        <f>E819*F818</f>
        <v>53.13</v>
      </c>
      <c r="G819" s="40"/>
      <c r="H819" s="77"/>
      <c r="I819" s="76"/>
      <c r="J819" s="26"/>
      <c r="K819" s="76"/>
      <c r="L819" s="26"/>
      <c r="M819" s="77"/>
    </row>
    <row r="820" spans="1:13" x14ac:dyDescent="0.25">
      <c r="A820" s="715"/>
      <c r="B820" s="764"/>
      <c r="C820" s="310" t="s">
        <v>184</v>
      </c>
      <c r="D820" s="311" t="s">
        <v>122</v>
      </c>
      <c r="E820" s="40">
        <f>0.038*1.25</f>
        <v>4.7500000000000001E-2</v>
      </c>
      <c r="F820" s="269">
        <f>E820*F818</f>
        <v>1.6625000000000001</v>
      </c>
      <c r="G820" s="40"/>
      <c r="H820" s="26"/>
      <c r="I820" s="76"/>
      <c r="J820" s="26"/>
      <c r="K820" s="76"/>
      <c r="L820" s="26"/>
      <c r="M820" s="26"/>
    </row>
    <row r="821" spans="1:13" ht="18" customHeight="1" x14ac:dyDescent="0.25">
      <c r="A821" s="715"/>
      <c r="B821" s="764"/>
      <c r="C821" s="74" t="s">
        <v>492</v>
      </c>
      <c r="D821" s="40" t="s">
        <v>170</v>
      </c>
      <c r="E821" s="40">
        <v>2.9000000000000001E-2</v>
      </c>
      <c r="F821" s="269">
        <f>E821*F818</f>
        <v>1.0150000000000001</v>
      </c>
      <c r="G821" s="40"/>
      <c r="H821" s="26"/>
      <c r="I821" s="76"/>
      <c r="J821" s="77"/>
      <c r="K821" s="76"/>
      <c r="L821" s="26"/>
      <c r="M821" s="26"/>
    </row>
    <row r="822" spans="1:13" x14ac:dyDescent="0.25">
      <c r="A822" s="731"/>
      <c r="B822" s="720"/>
      <c r="C822" s="80" t="s">
        <v>77</v>
      </c>
      <c r="D822" s="34" t="s">
        <v>50</v>
      </c>
      <c r="E822" s="34">
        <v>0.03</v>
      </c>
      <c r="F822" s="81">
        <f>E822*F818</f>
        <v>1.05</v>
      </c>
      <c r="G822" s="34"/>
      <c r="H822" s="32"/>
      <c r="I822" s="33"/>
      <c r="J822" s="32"/>
      <c r="K822" s="33"/>
      <c r="L822" s="32"/>
      <c r="M822" s="32"/>
    </row>
    <row r="823" spans="1:13" ht="31.5" customHeight="1" x14ac:dyDescent="0.25">
      <c r="A823" s="715">
        <v>15</v>
      </c>
      <c r="B823" s="763" t="s">
        <v>268</v>
      </c>
      <c r="C823" s="84" t="s">
        <v>269</v>
      </c>
      <c r="D823" s="36" t="s">
        <v>65</v>
      </c>
      <c r="E823" s="55"/>
      <c r="F823" s="364">
        <v>35</v>
      </c>
      <c r="G823" s="179"/>
      <c r="H823" s="57"/>
      <c r="I823" s="180"/>
      <c r="J823" s="57"/>
      <c r="K823" s="180"/>
      <c r="L823" s="57"/>
      <c r="M823" s="181"/>
    </row>
    <row r="824" spans="1:13" x14ac:dyDescent="0.25">
      <c r="A824" s="715"/>
      <c r="B824" s="764"/>
      <c r="C824" s="310" t="s">
        <v>183</v>
      </c>
      <c r="D824" s="311" t="s">
        <v>46</v>
      </c>
      <c r="E824" s="26">
        <v>0.28699999999999998</v>
      </c>
      <c r="F824" s="26">
        <f>E824*F823</f>
        <v>10.045</v>
      </c>
      <c r="G824" s="40"/>
      <c r="H824" s="77"/>
      <c r="I824" s="76"/>
      <c r="J824" s="26"/>
      <c r="K824" s="76"/>
      <c r="L824" s="26"/>
      <c r="M824" s="77"/>
    </row>
    <row r="825" spans="1:13" x14ac:dyDescent="0.25">
      <c r="A825" s="715"/>
      <c r="B825" s="764"/>
      <c r="C825" s="310" t="s">
        <v>184</v>
      </c>
      <c r="D825" s="311" t="s">
        <v>122</v>
      </c>
      <c r="E825" s="40">
        <v>0.1</v>
      </c>
      <c r="F825" s="26">
        <f>E825*F823</f>
        <v>3.5</v>
      </c>
      <c r="G825" s="40"/>
      <c r="H825" s="26"/>
      <c r="I825" s="76"/>
      <c r="J825" s="26"/>
      <c r="K825" s="76"/>
      <c r="L825" s="77"/>
      <c r="M825" s="26"/>
    </row>
    <row r="826" spans="1:13" x14ac:dyDescent="0.25">
      <c r="A826" s="715"/>
      <c r="B826" s="764"/>
      <c r="C826" s="74" t="s">
        <v>270</v>
      </c>
      <c r="D826" s="40" t="s">
        <v>75</v>
      </c>
      <c r="E826" s="40">
        <v>3.96</v>
      </c>
      <c r="F826" s="77">
        <f>E826*F823</f>
        <v>138.6</v>
      </c>
      <c r="G826" s="40"/>
      <c r="H826" s="26"/>
      <c r="I826" s="76"/>
      <c r="J826" s="77"/>
      <c r="K826" s="77"/>
      <c r="L826" s="77"/>
      <c r="M826" s="77"/>
    </row>
    <row r="827" spans="1:13" x14ac:dyDescent="0.25">
      <c r="A827" s="715"/>
      <c r="B827" s="764"/>
      <c r="C827" s="74" t="s">
        <v>271</v>
      </c>
      <c r="D827" s="40" t="s">
        <v>75</v>
      </c>
      <c r="E827" s="40">
        <v>0.15</v>
      </c>
      <c r="F827" s="26">
        <f>E827*F823</f>
        <v>5.25</v>
      </c>
      <c r="G827" s="40"/>
      <c r="H827" s="26"/>
      <c r="I827" s="76"/>
      <c r="J827" s="77"/>
      <c r="K827" s="77"/>
      <c r="L827" s="77"/>
      <c r="M827" s="77"/>
    </row>
    <row r="828" spans="1:13" x14ac:dyDescent="0.25">
      <c r="A828" s="731"/>
      <c r="B828" s="718"/>
      <c r="C828" s="80" t="s">
        <v>77</v>
      </c>
      <c r="D828" s="40" t="s">
        <v>50</v>
      </c>
      <c r="E828" s="40">
        <v>4.1999999999999997E-3</v>
      </c>
      <c r="F828" s="269">
        <f>E828*F823</f>
        <v>0.14699999999999999</v>
      </c>
      <c r="G828" s="40"/>
      <c r="H828" s="26"/>
      <c r="I828" s="76"/>
      <c r="J828" s="26"/>
      <c r="K828" s="76"/>
      <c r="L828" s="26"/>
      <c r="M828" s="26"/>
    </row>
    <row r="829" spans="1:13" ht="40.5" x14ac:dyDescent="0.25">
      <c r="A829" s="715">
        <v>16</v>
      </c>
      <c r="B829" s="765" t="s">
        <v>416</v>
      </c>
      <c r="C829" s="69" t="s">
        <v>417</v>
      </c>
      <c r="D829" s="36" t="s">
        <v>308</v>
      </c>
      <c r="E829" s="36"/>
      <c r="F829" s="123">
        <v>15</v>
      </c>
      <c r="G829" s="179"/>
      <c r="H829" s="57"/>
      <c r="I829" s="180"/>
      <c r="J829" s="57"/>
      <c r="K829" s="180"/>
      <c r="L829" s="57"/>
      <c r="M829" s="181"/>
    </row>
    <row r="830" spans="1:13" x14ac:dyDescent="0.25">
      <c r="A830" s="731"/>
      <c r="B830" s="766"/>
      <c r="C830" s="310" t="s">
        <v>183</v>
      </c>
      <c r="D830" s="311" t="s">
        <v>46</v>
      </c>
      <c r="E830" s="32">
        <f>0.67*1.15</f>
        <v>0.77049999999999996</v>
      </c>
      <c r="F830" s="32">
        <f>E830*F829</f>
        <v>11.557499999999999</v>
      </c>
      <c r="G830" s="34"/>
      <c r="H830" s="32"/>
      <c r="I830" s="33"/>
      <c r="J830" s="32"/>
      <c r="K830" s="33"/>
      <c r="L830" s="32"/>
      <c r="M830" s="32"/>
    </row>
    <row r="831" spans="1:13" ht="27" x14ac:dyDescent="0.25">
      <c r="A831" s="715">
        <v>17</v>
      </c>
      <c r="B831" s="726" t="s">
        <v>418</v>
      </c>
      <c r="C831" s="54" t="s">
        <v>419</v>
      </c>
      <c r="D831" s="274" t="s">
        <v>308</v>
      </c>
      <c r="E831" s="36"/>
      <c r="F831" s="123">
        <v>15</v>
      </c>
      <c r="G831" s="382"/>
      <c r="H831" s="541"/>
      <c r="I831" s="123"/>
      <c r="J831" s="541"/>
      <c r="K831" s="382"/>
      <c r="L831" s="541"/>
      <c r="M831" s="541"/>
    </row>
    <row r="832" spans="1:13" x14ac:dyDescent="0.25">
      <c r="A832" s="727"/>
      <c r="B832" s="729"/>
      <c r="C832" s="63" t="s">
        <v>420</v>
      </c>
      <c r="D832" s="542" t="s">
        <v>308</v>
      </c>
      <c r="E832" s="65">
        <v>1</v>
      </c>
      <c r="F832" s="261">
        <f>E832*F831</f>
        <v>15</v>
      </c>
      <c r="G832" s="65"/>
      <c r="H832" s="261"/>
      <c r="I832" s="64"/>
      <c r="J832" s="64"/>
      <c r="K832" s="261"/>
      <c r="L832" s="261"/>
      <c r="M832" s="262"/>
    </row>
    <row r="833" spans="1:13" x14ac:dyDescent="0.25">
      <c r="A833" s="728"/>
      <c r="B833" s="730"/>
      <c r="C833" s="543" t="s">
        <v>22</v>
      </c>
      <c r="D833" s="544"/>
      <c r="E833" s="545"/>
      <c r="F833" s="546"/>
      <c r="G833" s="547"/>
      <c r="H833" s="548"/>
      <c r="I833" s="549"/>
      <c r="J833" s="548"/>
      <c r="K833" s="550"/>
      <c r="L833" s="548"/>
      <c r="M833" s="548"/>
    </row>
    <row r="834" spans="1:13" ht="27" x14ac:dyDescent="0.25">
      <c r="A834" s="146"/>
      <c r="B834" s="552"/>
      <c r="C834" s="553" t="s">
        <v>421</v>
      </c>
      <c r="D834" s="554" t="s">
        <v>511</v>
      </c>
      <c r="E834" s="555"/>
      <c r="F834" s="556"/>
      <c r="G834" s="543"/>
      <c r="H834" s="549"/>
      <c r="I834" s="549"/>
      <c r="J834" s="557"/>
      <c r="K834" s="543"/>
      <c r="L834" s="558"/>
      <c r="M834" s="559"/>
    </row>
    <row r="835" spans="1:13" x14ac:dyDescent="0.25">
      <c r="A835" s="551"/>
      <c r="B835" s="560"/>
      <c r="C835" s="543" t="s">
        <v>422</v>
      </c>
      <c r="D835" s="544"/>
      <c r="E835" s="545"/>
      <c r="F835" s="546"/>
      <c r="G835" s="551"/>
      <c r="H835" s="561"/>
      <c r="I835" s="561"/>
      <c r="J835" s="562"/>
      <c r="K835" s="563"/>
      <c r="L835" s="563"/>
      <c r="M835" s="564"/>
    </row>
    <row r="836" spans="1:13" x14ac:dyDescent="0.25">
      <c r="A836" s="674"/>
      <c r="B836" s="552"/>
      <c r="C836" s="565" t="s">
        <v>423</v>
      </c>
      <c r="D836" s="554" t="s">
        <v>511</v>
      </c>
      <c r="E836" s="554"/>
      <c r="F836" s="566"/>
      <c r="G836" s="543"/>
      <c r="H836" s="567"/>
      <c r="I836" s="558"/>
      <c r="J836" s="543"/>
      <c r="K836" s="543"/>
      <c r="L836" s="543"/>
      <c r="M836" s="564"/>
    </row>
    <row r="837" spans="1:13" x14ac:dyDescent="0.25">
      <c r="A837" s="551"/>
      <c r="B837" s="552"/>
      <c r="C837" s="543" t="s">
        <v>422</v>
      </c>
      <c r="D837" s="568"/>
      <c r="E837" s="568"/>
      <c r="F837" s="546"/>
      <c r="G837" s="551"/>
      <c r="H837" s="569"/>
      <c r="I837" s="570"/>
      <c r="J837" s="551"/>
      <c r="K837" s="551"/>
      <c r="L837" s="551"/>
      <c r="M837" s="564"/>
    </row>
    <row r="838" spans="1:13" x14ac:dyDescent="0.25">
      <c r="A838" s="674"/>
      <c r="B838" s="552"/>
      <c r="C838" s="565" t="s">
        <v>424</v>
      </c>
      <c r="D838" s="554" t="s">
        <v>511</v>
      </c>
      <c r="E838" s="554"/>
      <c r="F838" s="566"/>
      <c r="G838" s="543"/>
      <c r="H838" s="567"/>
      <c r="I838" s="558"/>
      <c r="J838" s="543"/>
      <c r="K838" s="543"/>
      <c r="L838" s="543"/>
      <c r="M838" s="564"/>
    </row>
    <row r="839" spans="1:13" x14ac:dyDescent="0.25">
      <c r="A839" s="551"/>
      <c r="B839" s="552"/>
      <c r="C839" s="543" t="s">
        <v>22</v>
      </c>
      <c r="D839" s="544"/>
      <c r="E839" s="545"/>
      <c r="F839" s="546"/>
      <c r="G839" s="551"/>
      <c r="H839" s="569"/>
      <c r="I839" s="570"/>
      <c r="J839" s="551"/>
      <c r="K839" s="551"/>
      <c r="L839" s="551"/>
      <c r="M839" s="564"/>
    </row>
    <row r="840" spans="1:13" x14ac:dyDescent="0.25">
      <c r="A840" s="674"/>
    </row>
  </sheetData>
  <mergeCells count="58">
    <mergeCell ref="B27:B31"/>
    <mergeCell ref="A1:M1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M7"/>
    <mergeCell ref="A2:M2"/>
    <mergeCell ref="A3:M3"/>
    <mergeCell ref="A4:M4"/>
    <mergeCell ref="B5:D5"/>
    <mergeCell ref="B524:B526"/>
    <mergeCell ref="B236:B238"/>
    <mergeCell ref="B35:B37"/>
    <mergeCell ref="B73:B74"/>
    <mergeCell ref="A86:A90"/>
    <mergeCell ref="B104:B106"/>
    <mergeCell ref="B183:B184"/>
    <mergeCell ref="B186:B189"/>
    <mergeCell ref="B192:B193"/>
    <mergeCell ref="B195:B197"/>
    <mergeCell ref="B202:B204"/>
    <mergeCell ref="B211:B213"/>
    <mergeCell ref="B221:B225"/>
    <mergeCell ref="B465:B467"/>
    <mergeCell ref="B474:B476"/>
    <mergeCell ref="B480:B483"/>
    <mergeCell ref="B484:B487"/>
    <mergeCell ref="B502:B506"/>
    <mergeCell ref="B253:B255"/>
    <mergeCell ref="B268:B272"/>
    <mergeCell ref="B290:B294"/>
    <mergeCell ref="B388:B390"/>
    <mergeCell ref="B397:B399"/>
    <mergeCell ref="B704:B705"/>
    <mergeCell ref="B707:B710"/>
    <mergeCell ref="B714:B715"/>
    <mergeCell ref="B717:B720"/>
    <mergeCell ref="B528:B529"/>
    <mergeCell ref="B531:B534"/>
    <mergeCell ref="B569:B570"/>
    <mergeCell ref="B579:B580"/>
    <mergeCell ref="B582:B585"/>
    <mergeCell ref="B701:B702"/>
    <mergeCell ref="B565:B568"/>
    <mergeCell ref="B823:B827"/>
    <mergeCell ref="B829:B830"/>
    <mergeCell ref="A743:A750"/>
    <mergeCell ref="B750:B753"/>
    <mergeCell ref="B803:B804"/>
    <mergeCell ref="B806:B809"/>
    <mergeCell ref="B818:B821"/>
    <mergeCell ref="B772:B77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zoomScale="60" zoomScaleNormal="87" workbookViewId="0">
      <selection activeCell="X56" sqref="X56"/>
    </sheetView>
  </sheetViews>
  <sheetFormatPr defaultRowHeight="15" x14ac:dyDescent="0.25"/>
  <cols>
    <col min="1" max="1" width="3.28515625" customWidth="1"/>
    <col min="2" max="2" width="7.7109375" customWidth="1"/>
    <col min="3" max="3" width="38.140625" customWidth="1"/>
    <col min="5" max="5" width="9.140625" customWidth="1"/>
    <col min="7" max="7" width="6.7109375" customWidth="1"/>
    <col min="8" max="8" width="7.42578125" customWidth="1"/>
    <col min="9" max="9" width="9.42578125" customWidth="1"/>
    <col min="10" max="10" width="10.85546875" customWidth="1"/>
    <col min="11" max="11" width="7.42578125" customWidth="1"/>
    <col min="12" max="12" width="12" customWidth="1"/>
    <col min="13" max="13" width="9.5703125" customWidth="1"/>
  </cols>
  <sheetData>
    <row r="1" spans="1:13" ht="38.25" customHeight="1" x14ac:dyDescent="0.25">
      <c r="A1" s="752" t="s">
        <v>503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2" spans="1:13" x14ac:dyDescent="0.25">
      <c r="A2" s="789" t="s">
        <v>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</row>
    <row r="3" spans="1:13" x14ac:dyDescent="0.25">
      <c r="A3" s="790" t="s">
        <v>466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3" x14ac:dyDescent="0.25">
      <c r="A4" s="1"/>
      <c r="B4" s="762" t="s">
        <v>502</v>
      </c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13"/>
    </row>
    <row r="5" spans="1:13" x14ac:dyDescent="0.25">
      <c r="A5" s="1"/>
      <c r="B5" s="13"/>
      <c r="C5" s="13"/>
      <c r="D5" s="13"/>
      <c r="E5" s="13"/>
      <c r="F5" s="571"/>
      <c r="G5" s="571"/>
      <c r="H5" s="571"/>
      <c r="I5" s="571"/>
      <c r="J5" s="796"/>
      <c r="K5" s="796"/>
      <c r="L5" s="13"/>
      <c r="M5" s="13"/>
    </row>
    <row r="6" spans="1:13" x14ac:dyDescent="0.25">
      <c r="A6" s="1"/>
      <c r="B6" s="700"/>
      <c r="C6" s="700"/>
      <c r="D6" s="13"/>
      <c r="E6" s="13"/>
      <c r="F6" s="571"/>
      <c r="G6" s="571"/>
      <c r="H6" s="571"/>
      <c r="I6" s="571"/>
      <c r="J6" s="702"/>
      <c r="K6" s="702"/>
      <c r="L6" s="13"/>
      <c r="M6" s="13"/>
    </row>
    <row r="7" spans="1:13" ht="25.5" customHeight="1" x14ac:dyDescent="0.25">
      <c r="A7" s="785" t="s">
        <v>27</v>
      </c>
      <c r="B7" s="785" t="s">
        <v>28</v>
      </c>
      <c r="C7" s="785" t="s">
        <v>29</v>
      </c>
      <c r="D7" s="785" t="s">
        <v>30</v>
      </c>
      <c r="E7" s="785" t="s">
        <v>31</v>
      </c>
      <c r="F7" s="785" t="s">
        <v>32</v>
      </c>
      <c r="G7" s="794" t="s">
        <v>34</v>
      </c>
      <c r="H7" s="795"/>
      <c r="I7" s="787" t="s">
        <v>33</v>
      </c>
      <c r="J7" s="788"/>
      <c r="K7" s="787" t="s">
        <v>35</v>
      </c>
      <c r="L7" s="788"/>
      <c r="M7" s="785" t="s">
        <v>36</v>
      </c>
    </row>
    <row r="8" spans="1:13" ht="30" x14ac:dyDescent="0.25">
      <c r="A8" s="786"/>
      <c r="B8" s="786"/>
      <c r="C8" s="786"/>
      <c r="D8" s="786"/>
      <c r="E8" s="786"/>
      <c r="F8" s="786"/>
      <c r="G8" s="14" t="s">
        <v>37</v>
      </c>
      <c r="H8" s="14" t="s">
        <v>38</v>
      </c>
      <c r="I8" s="14" t="s">
        <v>37</v>
      </c>
      <c r="J8" s="14" t="s">
        <v>38</v>
      </c>
      <c r="K8" s="14" t="s">
        <v>37</v>
      </c>
      <c r="L8" s="14" t="s">
        <v>39</v>
      </c>
      <c r="M8" s="786"/>
    </row>
    <row r="9" spans="1:13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</row>
    <row r="10" spans="1:13" ht="54" x14ac:dyDescent="0.25">
      <c r="A10" s="283">
        <v>1</v>
      </c>
      <c r="B10" s="572" t="s">
        <v>425</v>
      </c>
      <c r="C10" s="94" t="s">
        <v>426</v>
      </c>
      <c r="D10" s="193" t="s">
        <v>83</v>
      </c>
      <c r="E10" s="573"/>
      <c r="F10" s="193">
        <v>726</v>
      </c>
      <c r="G10" s="574"/>
      <c r="H10" s="575"/>
      <c r="I10" s="576"/>
      <c r="J10" s="575"/>
      <c r="K10" s="574"/>
      <c r="L10" s="575"/>
      <c r="M10" s="575"/>
    </row>
    <row r="11" spans="1:13" x14ac:dyDescent="0.25">
      <c r="A11" s="20"/>
      <c r="B11" s="577"/>
      <c r="C11" s="200" t="s">
        <v>143</v>
      </c>
      <c r="D11" s="201" t="s">
        <v>46</v>
      </c>
      <c r="E11" s="201">
        <f>0.034*1.15</f>
        <v>3.9100000000000003E-2</v>
      </c>
      <c r="F11" s="202">
        <f>E11*F10</f>
        <v>28.386600000000001</v>
      </c>
      <c r="G11" s="201"/>
      <c r="H11" s="202"/>
      <c r="I11" s="203"/>
      <c r="J11" s="202"/>
      <c r="K11" s="203"/>
      <c r="L11" s="202"/>
      <c r="M11" s="202"/>
    </row>
    <row r="12" spans="1:13" x14ac:dyDescent="0.25">
      <c r="A12" s="20"/>
      <c r="B12" s="577"/>
      <c r="C12" s="200" t="s">
        <v>427</v>
      </c>
      <c r="D12" s="201" t="s">
        <v>428</v>
      </c>
      <c r="E12" s="201">
        <f>0.0803*1.25</f>
        <v>0.10037499999999999</v>
      </c>
      <c r="F12" s="202">
        <f>E12*F10</f>
        <v>72.872249999999994</v>
      </c>
      <c r="G12" s="201"/>
      <c r="H12" s="202"/>
      <c r="I12" s="203"/>
      <c r="J12" s="202"/>
      <c r="K12" s="203"/>
      <c r="L12" s="202"/>
      <c r="M12" s="371"/>
    </row>
    <row r="13" spans="1:13" x14ac:dyDescent="0.25">
      <c r="A13" s="20"/>
      <c r="B13" s="372"/>
      <c r="C13" s="200" t="s">
        <v>429</v>
      </c>
      <c r="D13" s="201" t="s">
        <v>428</v>
      </c>
      <c r="E13" s="201">
        <f>0.0056*1.25</f>
        <v>7.0000000000000001E-3</v>
      </c>
      <c r="F13" s="202">
        <f>E13*F10</f>
        <v>5.0819999999999999</v>
      </c>
      <c r="G13" s="201"/>
      <c r="H13" s="202"/>
      <c r="I13" s="203"/>
      <c r="J13" s="202"/>
      <c r="K13" s="203"/>
      <c r="L13" s="202"/>
      <c r="M13" s="202"/>
    </row>
    <row r="14" spans="1:13" ht="33.75" customHeight="1" x14ac:dyDescent="0.25">
      <c r="A14" s="454">
        <v>2</v>
      </c>
      <c r="B14" s="454" t="s">
        <v>430</v>
      </c>
      <c r="C14" s="94" t="s">
        <v>431</v>
      </c>
      <c r="D14" s="578" t="s">
        <v>170</v>
      </c>
      <c r="E14" s="579"/>
      <c r="F14" s="580">
        <v>10</v>
      </c>
      <c r="G14" s="581"/>
      <c r="H14" s="582"/>
      <c r="I14" s="583"/>
      <c r="J14" s="582"/>
      <c r="K14" s="584"/>
      <c r="L14" s="584"/>
      <c r="M14" s="584"/>
    </row>
    <row r="15" spans="1:13" x14ac:dyDescent="0.25">
      <c r="A15" s="145"/>
      <c r="B15" s="585"/>
      <c r="C15" s="586" t="s">
        <v>56</v>
      </c>
      <c r="D15" s="145" t="s">
        <v>103</v>
      </c>
      <c r="E15" s="587">
        <f>3.37*1.15</f>
        <v>3.8754999999999997</v>
      </c>
      <c r="F15" s="588">
        <f>F14*E15</f>
        <v>38.754999999999995</v>
      </c>
      <c r="G15" s="473"/>
      <c r="H15" s="480"/>
      <c r="I15" s="589"/>
      <c r="J15" s="590"/>
      <c r="K15" s="590"/>
      <c r="L15" s="590"/>
      <c r="M15" s="480"/>
    </row>
    <row r="16" spans="1:13" ht="27" x14ac:dyDescent="0.25">
      <c r="A16" s="454">
        <v>3</v>
      </c>
      <c r="B16" s="373" t="s">
        <v>418</v>
      </c>
      <c r="C16" s="54" t="s">
        <v>504</v>
      </c>
      <c r="D16" s="274" t="s">
        <v>308</v>
      </c>
      <c r="E16" s="36"/>
      <c r="F16" s="591">
        <f>(F10+F14)*1.8</f>
        <v>1324.8</v>
      </c>
      <c r="G16" s="382"/>
      <c r="H16" s="541"/>
      <c r="I16" s="123"/>
      <c r="J16" s="541"/>
      <c r="K16" s="382"/>
      <c r="L16" s="541"/>
      <c r="M16" s="541"/>
    </row>
    <row r="17" spans="1:13" x14ac:dyDescent="0.25">
      <c r="A17" s="64"/>
      <c r="B17" s="64"/>
      <c r="C17" s="63" t="s">
        <v>420</v>
      </c>
      <c r="D17" s="542" t="s">
        <v>308</v>
      </c>
      <c r="E17" s="65">
        <v>1</v>
      </c>
      <c r="F17" s="261">
        <f>E17*F16</f>
        <v>1324.8</v>
      </c>
      <c r="G17" s="65"/>
      <c r="H17" s="261"/>
      <c r="I17" s="64"/>
      <c r="J17" s="64"/>
      <c r="K17" s="261"/>
      <c r="L17" s="261"/>
      <c r="M17" s="262"/>
    </row>
    <row r="18" spans="1:13" ht="27" x14ac:dyDescent="0.25">
      <c r="A18" s="67">
        <v>4</v>
      </c>
      <c r="B18" s="768" t="s">
        <v>432</v>
      </c>
      <c r="C18" s="69" t="s">
        <v>433</v>
      </c>
      <c r="D18" s="179" t="s">
        <v>55</v>
      </c>
      <c r="E18" s="363"/>
      <c r="F18" s="363">
        <v>378</v>
      </c>
      <c r="G18" s="179"/>
      <c r="H18" s="57"/>
      <c r="I18" s="180"/>
      <c r="J18" s="57"/>
      <c r="K18" s="180"/>
      <c r="L18" s="57"/>
      <c r="M18" s="181"/>
    </row>
    <row r="19" spans="1:13" x14ac:dyDescent="0.25">
      <c r="A19" s="78"/>
      <c r="B19" s="769"/>
      <c r="C19" s="74" t="s">
        <v>434</v>
      </c>
      <c r="D19" s="40" t="s">
        <v>60</v>
      </c>
      <c r="E19" s="40">
        <v>0.9</v>
      </c>
      <c r="F19" s="34">
        <f>E19*F18</f>
        <v>340.2</v>
      </c>
      <c r="G19" s="33"/>
      <c r="H19" s="32"/>
      <c r="I19" s="33"/>
      <c r="J19" s="32"/>
      <c r="K19" s="33"/>
      <c r="L19" s="32"/>
      <c r="M19" s="32"/>
    </row>
    <row r="20" spans="1:13" ht="40.5" x14ac:dyDescent="0.25">
      <c r="A20" s="283">
        <v>5</v>
      </c>
      <c r="B20" s="68" t="s">
        <v>435</v>
      </c>
      <c r="C20" s="69" t="s">
        <v>436</v>
      </c>
      <c r="D20" s="36" t="s">
        <v>437</v>
      </c>
      <c r="E20" s="36"/>
      <c r="F20" s="123">
        <v>378</v>
      </c>
      <c r="G20" s="70"/>
      <c r="H20" s="592"/>
      <c r="I20" s="70"/>
      <c r="J20" s="592"/>
      <c r="K20" s="70"/>
      <c r="L20" s="592"/>
      <c r="M20" s="592"/>
    </row>
    <row r="21" spans="1:13" x14ac:dyDescent="0.25">
      <c r="A21" s="20"/>
      <c r="B21" s="134"/>
      <c r="C21" s="74" t="s">
        <v>59</v>
      </c>
      <c r="D21" s="40" t="s">
        <v>60</v>
      </c>
      <c r="E21" s="40">
        <f>0.74*1.15</f>
        <v>0.85099999999999998</v>
      </c>
      <c r="F21" s="26">
        <f>E21*F20</f>
        <v>321.678</v>
      </c>
      <c r="G21" s="76"/>
      <c r="H21" s="26"/>
      <c r="I21" s="76"/>
      <c r="J21" s="26"/>
      <c r="K21" s="76"/>
      <c r="L21" s="26"/>
      <c r="M21" s="26"/>
    </row>
    <row r="22" spans="1:13" x14ac:dyDescent="0.25">
      <c r="A22" s="20"/>
      <c r="B22" s="134"/>
      <c r="C22" s="74" t="s">
        <v>438</v>
      </c>
      <c r="D22" s="40" t="s">
        <v>50</v>
      </c>
      <c r="E22" s="87">
        <f>0.0071*1.15</f>
        <v>8.1650000000000004E-3</v>
      </c>
      <c r="F22" s="269">
        <f>E22*F20</f>
        <v>3.0863700000000001</v>
      </c>
      <c r="G22" s="40"/>
      <c r="H22" s="26"/>
      <c r="I22" s="76"/>
      <c r="J22" s="26"/>
      <c r="K22" s="76"/>
      <c r="L22" s="26"/>
      <c r="M22" s="26"/>
    </row>
    <row r="23" spans="1:13" x14ac:dyDescent="0.25">
      <c r="A23" s="20"/>
      <c r="B23" s="134"/>
      <c r="C23" s="74" t="s">
        <v>439</v>
      </c>
      <c r="D23" s="40" t="s">
        <v>322</v>
      </c>
      <c r="E23" s="40">
        <v>1</v>
      </c>
      <c r="F23" s="26">
        <f>E23*F20</f>
        <v>378</v>
      </c>
      <c r="G23" s="40"/>
      <c r="H23" s="26"/>
      <c r="I23" s="156"/>
      <c r="J23" s="26"/>
      <c r="K23" s="76"/>
      <c r="L23" s="26"/>
      <c r="M23" s="26"/>
    </row>
    <row r="24" spans="1:13" x14ac:dyDescent="0.25">
      <c r="A24" s="20"/>
      <c r="B24" s="134"/>
      <c r="C24" s="74" t="s">
        <v>440</v>
      </c>
      <c r="D24" s="40" t="s">
        <v>170</v>
      </c>
      <c r="E24" s="40">
        <v>3.9E-2</v>
      </c>
      <c r="F24" s="26">
        <f>E24*F20</f>
        <v>14.741999999999999</v>
      </c>
      <c r="G24" s="40"/>
      <c r="H24" s="26"/>
      <c r="I24" s="157"/>
      <c r="J24" s="26"/>
      <c r="K24" s="76"/>
      <c r="L24" s="26"/>
      <c r="M24" s="26"/>
    </row>
    <row r="25" spans="1:13" x14ac:dyDescent="0.25">
      <c r="A25" s="20"/>
      <c r="B25" s="134"/>
      <c r="C25" s="74" t="s">
        <v>267</v>
      </c>
      <c r="D25" s="40" t="s">
        <v>170</v>
      </c>
      <c r="E25" s="40">
        <v>5.9999999999999995E-4</v>
      </c>
      <c r="F25" s="269">
        <f>E25*F20</f>
        <v>0.22679999999999997</v>
      </c>
      <c r="G25" s="40"/>
      <c r="H25" s="26"/>
      <c r="I25" s="76"/>
      <c r="J25" s="26"/>
      <c r="K25" s="76"/>
      <c r="L25" s="26"/>
      <c r="M25" s="26"/>
    </row>
    <row r="26" spans="1:13" x14ac:dyDescent="0.25">
      <c r="A26" s="29"/>
      <c r="B26" s="31"/>
      <c r="C26" s="80" t="s">
        <v>77</v>
      </c>
      <c r="D26" s="34" t="s">
        <v>50</v>
      </c>
      <c r="E26" s="34">
        <v>0.4</v>
      </c>
      <c r="F26" s="81">
        <f>E26*F20</f>
        <v>151.20000000000002</v>
      </c>
      <c r="G26" s="34"/>
      <c r="H26" s="32"/>
      <c r="I26" s="33"/>
      <c r="J26" s="32"/>
      <c r="K26" s="33"/>
      <c r="L26" s="32"/>
      <c r="M26" s="32"/>
    </row>
    <row r="27" spans="1:13" ht="40.5" x14ac:dyDescent="0.25">
      <c r="A27" s="593">
        <v>6</v>
      </c>
      <c r="B27" s="179" t="s">
        <v>441</v>
      </c>
      <c r="C27" s="84" t="s">
        <v>442</v>
      </c>
      <c r="D27" s="36" t="s">
        <v>65</v>
      </c>
      <c r="E27" s="381"/>
      <c r="F27" s="594">
        <v>1452</v>
      </c>
      <c r="G27" s="595"/>
      <c r="H27" s="596"/>
      <c r="I27" s="597"/>
      <c r="J27" s="596"/>
      <c r="K27" s="597"/>
      <c r="L27" s="596"/>
      <c r="M27" s="598"/>
    </row>
    <row r="28" spans="1:13" x14ac:dyDescent="0.25">
      <c r="A28" s="599"/>
      <c r="B28" s="42"/>
      <c r="C28" s="74" t="s">
        <v>59</v>
      </c>
      <c r="D28" s="40" t="s">
        <v>60</v>
      </c>
      <c r="E28" s="40">
        <f>(0.04+0.00064*13)*1.15*1.2</f>
        <v>6.6681599999999994E-2</v>
      </c>
      <c r="F28" s="26">
        <f>E28*F27</f>
        <v>96.821683199999995</v>
      </c>
      <c r="G28" s="76"/>
      <c r="H28" s="26"/>
      <c r="I28" s="76"/>
      <c r="J28" s="269"/>
      <c r="K28" s="76"/>
      <c r="L28" s="269"/>
      <c r="M28" s="600"/>
    </row>
    <row r="29" spans="1:13" x14ac:dyDescent="0.25">
      <c r="A29" s="599"/>
      <c r="B29" s="42"/>
      <c r="C29" s="74" t="s">
        <v>443</v>
      </c>
      <c r="D29" s="40" t="s">
        <v>132</v>
      </c>
      <c r="E29" s="40">
        <f>0.00405*1.25*1.2</f>
        <v>6.0749999999999988E-3</v>
      </c>
      <c r="F29" s="26">
        <f>E29*F27</f>
        <v>8.8208999999999982</v>
      </c>
      <c r="G29" s="40"/>
      <c r="H29" s="269"/>
      <c r="I29" s="76"/>
      <c r="J29" s="269"/>
      <c r="K29" s="26"/>
      <c r="L29" s="269"/>
      <c r="M29" s="600"/>
    </row>
    <row r="30" spans="1:13" x14ac:dyDescent="0.25">
      <c r="A30" s="599"/>
      <c r="B30" s="40"/>
      <c r="C30" s="74" t="s">
        <v>444</v>
      </c>
      <c r="D30" s="383" t="s">
        <v>157</v>
      </c>
      <c r="E30" s="40">
        <f>0.00258*1.25*1.2</f>
        <v>3.8699999999999993E-3</v>
      </c>
      <c r="F30" s="26">
        <f>E30*F27</f>
        <v>5.6192399999999987</v>
      </c>
      <c r="G30" s="40"/>
      <c r="H30" s="269"/>
      <c r="I30" s="76"/>
      <c r="J30" s="269"/>
      <c r="K30" s="76"/>
      <c r="L30" s="269"/>
      <c r="M30" s="600"/>
    </row>
    <row r="31" spans="1:13" x14ac:dyDescent="0.25">
      <c r="A31" s="601"/>
      <c r="B31" s="42"/>
      <c r="C31" s="74" t="s">
        <v>445</v>
      </c>
      <c r="D31" s="40" t="s">
        <v>132</v>
      </c>
      <c r="E31" s="40">
        <f>(0.0123+0.0089+0.00076*2*3)*1.25*1.2</f>
        <v>3.8640000000000001E-2</v>
      </c>
      <c r="F31" s="26">
        <f>E31*F27</f>
        <v>56.10528</v>
      </c>
      <c r="G31" s="40"/>
      <c r="H31" s="269"/>
      <c r="I31" s="76"/>
      <c r="J31" s="269"/>
      <c r="K31" s="26"/>
      <c r="L31" s="269"/>
      <c r="M31" s="600"/>
    </row>
    <row r="32" spans="1:13" x14ac:dyDescent="0.25">
      <c r="A32" s="20"/>
      <c r="B32" s="20"/>
      <c r="C32" s="74" t="s">
        <v>446</v>
      </c>
      <c r="D32" s="40" t="s">
        <v>157</v>
      </c>
      <c r="E32" s="40">
        <f>0.00414*1.25*1.2</f>
        <v>6.2099999999999985E-3</v>
      </c>
      <c r="F32" s="26">
        <f>E32*F28</f>
        <v>0.60126265267199985</v>
      </c>
      <c r="G32" s="139"/>
      <c r="H32" s="26"/>
      <c r="I32" s="76"/>
      <c r="J32" s="26"/>
      <c r="K32" s="76"/>
      <c r="L32" s="26"/>
      <c r="M32" s="600"/>
    </row>
    <row r="33" spans="1:13" x14ac:dyDescent="0.25">
      <c r="A33" s="20"/>
      <c r="B33" s="20"/>
      <c r="C33" s="74" t="s">
        <v>447</v>
      </c>
      <c r="D33" s="40" t="s">
        <v>170</v>
      </c>
      <c r="E33" s="40">
        <f>0.25*1.25</f>
        <v>0.3125</v>
      </c>
      <c r="F33" s="26">
        <f>E33*F27</f>
        <v>453.75</v>
      </c>
      <c r="G33" s="139"/>
      <c r="H33" s="26"/>
      <c r="I33" s="602"/>
      <c r="J33" s="26"/>
      <c r="K33" s="76"/>
      <c r="L33" s="26"/>
      <c r="M33" s="600"/>
    </row>
    <row r="34" spans="1:13" x14ac:dyDescent="0.25">
      <c r="A34" s="29"/>
      <c r="B34" s="29"/>
      <c r="C34" s="80" t="s">
        <v>448</v>
      </c>
      <c r="D34" s="34" t="s">
        <v>170</v>
      </c>
      <c r="E34" s="34">
        <v>0.1</v>
      </c>
      <c r="F34" s="32">
        <f>E34*F28</f>
        <v>9.6821683200000006</v>
      </c>
      <c r="G34" s="603"/>
      <c r="H34" s="32"/>
      <c r="I34" s="603"/>
      <c r="J34" s="32"/>
      <c r="K34" s="33"/>
      <c r="L34" s="32"/>
      <c r="M34" s="600"/>
    </row>
    <row r="35" spans="1:13" ht="40.5" x14ac:dyDescent="0.25">
      <c r="A35" s="599">
        <v>7</v>
      </c>
      <c r="B35" s="179" t="s">
        <v>441</v>
      </c>
      <c r="C35" s="84" t="s">
        <v>449</v>
      </c>
      <c r="D35" s="36" t="s">
        <v>65</v>
      </c>
      <c r="E35" s="381"/>
      <c r="F35" s="594">
        <v>1452</v>
      </c>
      <c r="G35" s="595"/>
      <c r="H35" s="596"/>
      <c r="I35" s="597"/>
      <c r="J35" s="596"/>
      <c r="K35" s="597"/>
      <c r="L35" s="596"/>
      <c r="M35" s="598"/>
    </row>
    <row r="36" spans="1:13" x14ac:dyDescent="0.25">
      <c r="A36" s="599"/>
      <c r="B36" s="42"/>
      <c r="C36" s="74" t="s">
        <v>59</v>
      </c>
      <c r="D36" s="40" t="s">
        <v>60</v>
      </c>
      <c r="E36" s="87">
        <f>(0.04+0.00064*3)*1.15*1.2</f>
        <v>5.7849599999999987E-2</v>
      </c>
      <c r="F36" s="269">
        <f>E36*F35</f>
        <v>83.997619199999988</v>
      </c>
      <c r="G36" s="76"/>
      <c r="H36" s="269"/>
      <c r="I36" s="76"/>
      <c r="J36" s="269"/>
      <c r="K36" s="76"/>
      <c r="L36" s="269"/>
      <c r="M36" s="600"/>
    </row>
    <row r="37" spans="1:13" x14ac:dyDescent="0.25">
      <c r="A37" s="599"/>
      <c r="B37" s="42"/>
      <c r="C37" s="74" t="s">
        <v>443</v>
      </c>
      <c r="D37" s="40" t="s">
        <v>132</v>
      </c>
      <c r="E37" s="87">
        <f>0.00405*1.25*1.2</f>
        <v>6.0749999999999988E-3</v>
      </c>
      <c r="F37" s="269">
        <f>E37*F35</f>
        <v>8.8208999999999982</v>
      </c>
      <c r="G37" s="40"/>
      <c r="H37" s="269"/>
      <c r="I37" s="76"/>
      <c r="J37" s="269"/>
      <c r="K37" s="26"/>
      <c r="L37" s="26"/>
      <c r="M37" s="600"/>
    </row>
    <row r="38" spans="1:13" x14ac:dyDescent="0.25">
      <c r="A38" s="599"/>
      <c r="B38" s="40"/>
      <c r="C38" s="74" t="s">
        <v>444</v>
      </c>
      <c r="D38" s="383" t="s">
        <v>157</v>
      </c>
      <c r="E38" s="87">
        <f>0.00258*1.25*1.2</f>
        <v>3.8699999999999993E-3</v>
      </c>
      <c r="F38" s="269">
        <f>E38*F35</f>
        <v>5.6192399999999987</v>
      </c>
      <c r="G38" s="40"/>
      <c r="H38" s="269"/>
      <c r="I38" s="76"/>
      <c r="J38" s="269"/>
      <c r="K38" s="76"/>
      <c r="L38" s="26"/>
      <c r="M38" s="600"/>
    </row>
    <row r="39" spans="1:13" x14ac:dyDescent="0.25">
      <c r="A39" s="601"/>
      <c r="B39" s="42"/>
      <c r="C39" s="74" t="s">
        <v>445</v>
      </c>
      <c r="D39" s="40" t="s">
        <v>132</v>
      </c>
      <c r="E39" s="87">
        <f>(0.0123+0.0089+0.00076*2*3)*1.25*1.2</f>
        <v>3.8640000000000001E-2</v>
      </c>
      <c r="F39" s="269">
        <f>E39*F35</f>
        <v>56.10528</v>
      </c>
      <c r="G39" s="40"/>
      <c r="H39" s="269"/>
      <c r="I39" s="76"/>
      <c r="J39" s="269"/>
      <c r="K39" s="76"/>
      <c r="L39" s="26"/>
      <c r="M39" s="600"/>
    </row>
    <row r="40" spans="1:13" x14ac:dyDescent="0.25">
      <c r="A40" s="20"/>
      <c r="B40" s="20"/>
      <c r="C40" s="74" t="s">
        <v>446</v>
      </c>
      <c r="D40" s="40" t="s">
        <v>157</v>
      </c>
      <c r="E40" s="87">
        <f>0.00414*1.25*1.2</f>
        <v>6.2099999999999985E-3</v>
      </c>
      <c r="F40" s="269">
        <f>E40*F36</f>
        <v>0.52162521523199978</v>
      </c>
      <c r="G40" s="139"/>
      <c r="H40" s="26"/>
      <c r="I40" s="76"/>
      <c r="J40" s="26"/>
      <c r="K40" s="76"/>
      <c r="L40" s="26"/>
      <c r="M40" s="600"/>
    </row>
    <row r="41" spans="1:13" x14ac:dyDescent="0.25">
      <c r="A41" s="20"/>
      <c r="B41" s="20"/>
      <c r="C41" s="74" t="s">
        <v>450</v>
      </c>
      <c r="D41" s="40" t="s">
        <v>170</v>
      </c>
      <c r="E41" s="87">
        <f>0.15*1.25</f>
        <v>0.1875</v>
      </c>
      <c r="F41" s="269">
        <f>E41*F35</f>
        <v>272.25</v>
      </c>
      <c r="G41" s="139"/>
      <c r="H41" s="26"/>
      <c r="I41" s="602"/>
      <c r="J41" s="26"/>
      <c r="K41" s="76"/>
      <c r="L41" s="26"/>
      <c r="M41" s="600"/>
    </row>
    <row r="42" spans="1:13" x14ac:dyDescent="0.25">
      <c r="A42" s="29"/>
      <c r="B42" s="29"/>
      <c r="C42" s="80" t="s">
        <v>448</v>
      </c>
      <c r="D42" s="34" t="s">
        <v>170</v>
      </c>
      <c r="E42" s="34">
        <v>0.1</v>
      </c>
      <c r="F42" s="81">
        <f>E42*F36</f>
        <v>8.3997619199999995</v>
      </c>
      <c r="G42" s="603"/>
      <c r="H42" s="32"/>
      <c r="I42" s="603"/>
      <c r="J42" s="32"/>
      <c r="K42" s="33"/>
      <c r="L42" s="32"/>
      <c r="M42" s="600"/>
    </row>
    <row r="43" spans="1:13" ht="40.5" customHeight="1" x14ac:dyDescent="0.25">
      <c r="A43" s="604" t="s">
        <v>19</v>
      </c>
      <c r="B43" s="605"/>
      <c r="C43" s="606" t="s">
        <v>451</v>
      </c>
      <c r="D43" s="607" t="s">
        <v>81</v>
      </c>
      <c r="E43" s="608"/>
      <c r="F43" s="609">
        <v>1452</v>
      </c>
      <c r="G43" s="610"/>
      <c r="H43" s="611"/>
      <c r="I43" s="610"/>
      <c r="J43" s="612"/>
      <c r="K43" s="613"/>
      <c r="L43" s="612"/>
      <c r="M43" s="612"/>
    </row>
    <row r="44" spans="1:13" x14ac:dyDescent="0.25">
      <c r="A44" s="599"/>
      <c r="B44" s="42"/>
      <c r="C44" s="74" t="s">
        <v>59</v>
      </c>
      <c r="D44" s="40" t="s">
        <v>60</v>
      </c>
      <c r="E44" s="269">
        <f>0.0167*1.15*1.2</f>
        <v>2.3045999999999994E-2</v>
      </c>
      <c r="F44" s="269">
        <f>E44*F43</f>
        <v>33.462791999999993</v>
      </c>
      <c r="G44" s="76"/>
      <c r="H44" s="269"/>
      <c r="I44" s="76"/>
      <c r="J44" s="269"/>
      <c r="K44" s="76"/>
      <c r="L44" s="269"/>
      <c r="M44" s="600"/>
    </row>
    <row r="45" spans="1:13" x14ac:dyDescent="0.25">
      <c r="A45" s="614"/>
      <c r="B45" s="615"/>
      <c r="C45" s="616" t="s">
        <v>452</v>
      </c>
      <c r="D45" s="617" t="s">
        <v>145</v>
      </c>
      <c r="E45" s="618">
        <v>0.01</v>
      </c>
      <c r="F45" s="619">
        <f>E45*F43</f>
        <v>14.52</v>
      </c>
      <c r="G45" s="620"/>
      <c r="H45" s="621"/>
      <c r="I45" s="620"/>
      <c r="J45" s="622"/>
      <c r="K45" s="623"/>
      <c r="L45" s="622"/>
      <c r="M45" s="622"/>
    </row>
    <row r="46" spans="1:13" x14ac:dyDescent="0.25">
      <c r="A46" s="614"/>
      <c r="B46" s="615"/>
      <c r="C46" s="616" t="s">
        <v>453</v>
      </c>
      <c r="D46" s="624" t="s">
        <v>308</v>
      </c>
      <c r="E46" s="681">
        <v>7.3499999999999998E-4</v>
      </c>
      <c r="F46" s="619">
        <f>E46*F43</f>
        <v>1.0672200000000001</v>
      </c>
      <c r="G46" s="620"/>
      <c r="H46" s="621"/>
      <c r="I46" s="620"/>
      <c r="J46" s="622"/>
      <c r="K46" s="623"/>
      <c r="L46" s="622"/>
      <c r="M46" s="622"/>
    </row>
    <row r="47" spans="1:13" x14ac:dyDescent="0.25">
      <c r="A47" s="625"/>
      <c r="B47" s="626"/>
      <c r="C47" s="80" t="s">
        <v>77</v>
      </c>
      <c r="D47" s="34" t="s">
        <v>50</v>
      </c>
      <c r="E47" s="627">
        <v>1.1999999999999999E-3</v>
      </c>
      <c r="F47" s="628">
        <f>E47*F43</f>
        <v>1.7423999999999999</v>
      </c>
      <c r="G47" s="629"/>
      <c r="H47" s="630"/>
      <c r="I47" s="629"/>
      <c r="J47" s="622"/>
      <c r="K47" s="631"/>
      <c r="L47" s="632"/>
      <c r="M47" s="622"/>
    </row>
    <row r="48" spans="1:13" ht="54" x14ac:dyDescent="0.25">
      <c r="A48" s="633">
        <v>9</v>
      </c>
      <c r="B48" s="792" t="s">
        <v>454</v>
      </c>
      <c r="C48" s="606" t="s">
        <v>455</v>
      </c>
      <c r="D48" s="634" t="s">
        <v>505</v>
      </c>
      <c r="E48" s="635"/>
      <c r="F48" s="635">
        <v>1.452</v>
      </c>
      <c r="G48" s="70"/>
      <c r="H48" s="592"/>
      <c r="I48" s="70"/>
      <c r="J48" s="592"/>
      <c r="K48" s="70"/>
      <c r="L48" s="592"/>
      <c r="M48" s="592"/>
    </row>
    <row r="49" spans="1:13" x14ac:dyDescent="0.25">
      <c r="A49" s="636"/>
      <c r="B49" s="793"/>
      <c r="C49" s="637" t="s">
        <v>56</v>
      </c>
      <c r="D49" s="638" t="s">
        <v>60</v>
      </c>
      <c r="E49" s="387">
        <f>(37.5+0.07*4)*1.15*1.2</f>
        <v>52.136399999999995</v>
      </c>
      <c r="F49" s="387">
        <f>E49*F48</f>
        <v>75.70205279999999</v>
      </c>
      <c r="G49" s="76"/>
      <c r="H49" s="387"/>
      <c r="I49" s="389"/>
      <c r="J49" s="387"/>
      <c r="K49" s="389"/>
      <c r="L49" s="387"/>
      <c r="M49" s="388"/>
    </row>
    <row r="50" spans="1:13" x14ac:dyDescent="0.25">
      <c r="A50" s="636"/>
      <c r="B50" s="793"/>
      <c r="C50" s="637" t="s">
        <v>456</v>
      </c>
      <c r="D50" s="638" t="s">
        <v>457</v>
      </c>
      <c r="E50" s="638">
        <f>6.02*1.25*1.2</f>
        <v>9.0299999999999994</v>
      </c>
      <c r="F50" s="387">
        <f>E50*F48</f>
        <v>13.111559999999999</v>
      </c>
      <c r="G50" s="638"/>
      <c r="H50" s="26"/>
      <c r="I50" s="389"/>
      <c r="J50" s="387"/>
      <c r="K50" s="389"/>
      <c r="L50" s="387"/>
      <c r="M50" s="26"/>
    </row>
    <row r="51" spans="1:13" x14ac:dyDescent="0.25">
      <c r="A51" s="636"/>
      <c r="B51" s="793"/>
      <c r="C51" s="637" t="s">
        <v>458</v>
      </c>
      <c r="D51" s="638" t="s">
        <v>457</v>
      </c>
      <c r="E51" s="638">
        <f>14.8*1.25*1.2</f>
        <v>22.2</v>
      </c>
      <c r="F51" s="387">
        <f>E51*F48</f>
        <v>32.234400000000001</v>
      </c>
      <c r="G51" s="40"/>
      <c r="H51" s="26"/>
      <c r="I51" s="76"/>
      <c r="J51" s="26"/>
      <c r="K51" s="76"/>
      <c r="L51" s="26"/>
      <c r="M51" s="26"/>
    </row>
    <row r="52" spans="1:13" x14ac:dyDescent="0.25">
      <c r="A52" s="636"/>
      <c r="B52" s="793"/>
      <c r="C52" s="637" t="s">
        <v>68</v>
      </c>
      <c r="D52" s="638" t="s">
        <v>50</v>
      </c>
      <c r="E52" s="638">
        <f>2.3*1.25*1.2</f>
        <v>3.4499999999999997</v>
      </c>
      <c r="F52" s="387">
        <f>E52*F48</f>
        <v>5.0093999999999994</v>
      </c>
      <c r="G52" s="638"/>
      <c r="H52" s="387"/>
      <c r="I52" s="389"/>
      <c r="J52" s="387"/>
      <c r="K52" s="389"/>
      <c r="L52" s="387"/>
      <c r="M52" s="388"/>
    </row>
    <row r="53" spans="1:13" ht="27" x14ac:dyDescent="0.25">
      <c r="A53" s="636"/>
      <c r="B53" s="639"/>
      <c r="C53" s="637" t="s">
        <v>459</v>
      </c>
      <c r="D53" s="638" t="s">
        <v>308</v>
      </c>
      <c r="E53" s="638">
        <f>97.4+12.1*4</f>
        <v>145.80000000000001</v>
      </c>
      <c r="F53" s="387">
        <f>E53*F48</f>
        <v>211.70160000000001</v>
      </c>
      <c r="G53" s="638"/>
      <c r="H53" s="387"/>
      <c r="I53" s="640"/>
      <c r="J53" s="388"/>
      <c r="K53" s="389"/>
      <c r="L53" s="387"/>
      <c r="M53" s="388"/>
    </row>
    <row r="54" spans="1:13" x14ac:dyDescent="0.25">
      <c r="A54" s="636"/>
      <c r="B54" s="639"/>
      <c r="C54" s="637" t="s">
        <v>62</v>
      </c>
      <c r="D54" s="638" t="s">
        <v>50</v>
      </c>
      <c r="E54" s="638">
        <f>14.5+0.2*4</f>
        <v>15.3</v>
      </c>
      <c r="F54" s="387">
        <f>E54*F48</f>
        <v>22.215600000000002</v>
      </c>
      <c r="G54" s="638"/>
      <c r="H54" s="387"/>
      <c r="I54" s="389"/>
      <c r="J54" s="388"/>
      <c r="K54" s="389"/>
      <c r="L54" s="387"/>
      <c r="M54" s="388"/>
    </row>
    <row r="55" spans="1:13" ht="54" x14ac:dyDescent="0.25">
      <c r="A55" s="633">
        <v>10</v>
      </c>
      <c r="B55" s="792" t="s">
        <v>454</v>
      </c>
      <c r="C55" s="641" t="s">
        <v>460</v>
      </c>
      <c r="D55" s="634" t="s">
        <v>505</v>
      </c>
      <c r="E55" s="635"/>
      <c r="F55" s="635">
        <v>1.452</v>
      </c>
      <c r="G55" s="70"/>
      <c r="H55" s="592"/>
      <c r="I55" s="70"/>
      <c r="J55" s="592"/>
      <c r="K55" s="70"/>
      <c r="L55" s="592"/>
      <c r="M55" s="592"/>
    </row>
    <row r="56" spans="1:13" x14ac:dyDescent="0.25">
      <c r="A56" s="636"/>
      <c r="B56" s="793"/>
      <c r="C56" s="637" t="s">
        <v>56</v>
      </c>
      <c r="D56" s="638" t="s">
        <v>60</v>
      </c>
      <c r="E56" s="387">
        <f>37.5*1.15*1.2</f>
        <v>51.75</v>
      </c>
      <c r="F56" s="387">
        <f>E56*F55</f>
        <v>75.140999999999991</v>
      </c>
      <c r="G56" s="76"/>
      <c r="H56" s="387"/>
      <c r="I56" s="389"/>
      <c r="J56" s="387"/>
      <c r="K56" s="389"/>
      <c r="L56" s="387"/>
      <c r="M56" s="387"/>
    </row>
    <row r="57" spans="1:13" x14ac:dyDescent="0.25">
      <c r="A57" s="636"/>
      <c r="B57" s="793"/>
      <c r="C57" s="637" t="s">
        <v>456</v>
      </c>
      <c r="D57" s="638" t="s">
        <v>457</v>
      </c>
      <c r="E57" s="638">
        <f>6.02*1.25*1.2</f>
        <v>9.0299999999999994</v>
      </c>
      <c r="F57" s="387">
        <f>E57*F55</f>
        <v>13.111559999999999</v>
      </c>
      <c r="G57" s="638"/>
      <c r="H57" s="26"/>
      <c r="I57" s="389"/>
      <c r="J57" s="387"/>
      <c r="K57" s="389"/>
      <c r="L57" s="387"/>
      <c r="M57" s="26"/>
    </row>
    <row r="58" spans="1:13" x14ac:dyDescent="0.25">
      <c r="A58" s="636"/>
      <c r="B58" s="793"/>
      <c r="C58" s="637" t="s">
        <v>461</v>
      </c>
      <c r="D58" s="638" t="s">
        <v>457</v>
      </c>
      <c r="E58" s="638">
        <f>14.8*1.25*1.2</f>
        <v>22.2</v>
      </c>
      <c r="F58" s="387">
        <f>E58*F55</f>
        <v>32.234400000000001</v>
      </c>
      <c r="G58" s="40"/>
      <c r="H58" s="26"/>
      <c r="I58" s="76"/>
      <c r="J58" s="26"/>
      <c r="K58" s="76"/>
      <c r="L58" s="26"/>
      <c r="M58" s="26"/>
    </row>
    <row r="59" spans="1:13" x14ac:dyDescent="0.25">
      <c r="A59" s="636"/>
      <c r="B59" s="793"/>
      <c r="C59" s="637" t="s">
        <v>135</v>
      </c>
      <c r="D59" s="638" t="s">
        <v>50</v>
      </c>
      <c r="E59" s="638">
        <f>2.3*1.25*1.2</f>
        <v>3.4499999999999997</v>
      </c>
      <c r="F59" s="387">
        <f>E59*F55</f>
        <v>5.0093999999999994</v>
      </c>
      <c r="G59" s="638"/>
      <c r="H59" s="387"/>
      <c r="I59" s="389"/>
      <c r="J59" s="387"/>
      <c r="K59" s="389"/>
      <c r="L59" s="387"/>
      <c r="M59" s="387"/>
    </row>
    <row r="60" spans="1:13" ht="27" x14ac:dyDescent="0.25">
      <c r="A60" s="636"/>
      <c r="B60" s="639"/>
      <c r="C60" s="637" t="s">
        <v>462</v>
      </c>
      <c r="D60" s="638" t="s">
        <v>308</v>
      </c>
      <c r="E60" s="638">
        <v>97.4</v>
      </c>
      <c r="F60" s="387">
        <f>E60*F55</f>
        <v>141.4248</v>
      </c>
      <c r="G60" s="638"/>
      <c r="H60" s="387"/>
      <c r="I60" s="640"/>
      <c r="J60" s="388"/>
      <c r="K60" s="389"/>
      <c r="L60" s="387"/>
      <c r="M60" s="387"/>
    </row>
    <row r="61" spans="1:13" ht="16.5" x14ac:dyDescent="0.25">
      <c r="A61" s="642"/>
      <c r="B61" s="639"/>
      <c r="C61" s="637" t="s">
        <v>463</v>
      </c>
      <c r="D61" s="638" t="s">
        <v>50</v>
      </c>
      <c r="E61" s="638">
        <v>14.1</v>
      </c>
      <c r="F61" s="387">
        <f>E61*F55</f>
        <v>20.473199999999999</v>
      </c>
      <c r="G61" s="638"/>
      <c r="H61" s="387"/>
      <c r="I61" s="389"/>
      <c r="J61" s="387"/>
      <c r="K61" s="389"/>
      <c r="L61" s="387"/>
      <c r="M61" s="387"/>
    </row>
    <row r="62" spans="1:13" ht="15.75" x14ac:dyDescent="0.3">
      <c r="A62" s="643">
        <v>11</v>
      </c>
      <c r="B62" s="644"/>
      <c r="C62" s="645" t="s">
        <v>422</v>
      </c>
      <c r="D62" s="646"/>
      <c r="E62" s="646"/>
      <c r="F62" s="647"/>
      <c r="G62" s="647"/>
      <c r="H62" s="648"/>
      <c r="I62" s="647"/>
      <c r="J62" s="648"/>
      <c r="K62" s="647"/>
      <c r="L62" s="648"/>
      <c r="M62" s="648"/>
    </row>
    <row r="63" spans="1:13" ht="27" x14ac:dyDescent="0.25">
      <c r="A63" s="649">
        <v>12</v>
      </c>
      <c r="B63" s="650"/>
      <c r="C63" s="651" t="s">
        <v>421</v>
      </c>
      <c r="D63" s="652" t="s">
        <v>511</v>
      </c>
      <c r="E63" s="653"/>
      <c r="F63" s="654"/>
      <c r="G63" s="655"/>
      <c r="H63" s="656"/>
      <c r="I63" s="656"/>
      <c r="J63" s="657"/>
      <c r="K63" s="657"/>
      <c r="L63" s="657"/>
      <c r="M63" s="658"/>
    </row>
    <row r="64" spans="1:13" x14ac:dyDescent="0.25">
      <c r="A64" s="643">
        <v>13</v>
      </c>
      <c r="B64" s="650"/>
      <c r="C64" s="659" t="s">
        <v>422</v>
      </c>
      <c r="D64" s="660"/>
      <c r="E64" s="653"/>
      <c r="F64" s="661"/>
      <c r="G64" s="662"/>
      <c r="H64" s="656"/>
      <c r="I64" s="656"/>
      <c r="J64" s="656"/>
      <c r="K64" s="656"/>
      <c r="L64" s="656"/>
      <c r="M64" s="658"/>
    </row>
    <row r="65" spans="1:13" x14ac:dyDescent="0.25">
      <c r="A65" s="649">
        <v>14</v>
      </c>
      <c r="B65" s="650"/>
      <c r="C65" s="651" t="s">
        <v>423</v>
      </c>
      <c r="D65" s="652" t="s">
        <v>511</v>
      </c>
      <c r="E65" s="652"/>
      <c r="F65" s="654"/>
      <c r="G65" s="655"/>
      <c r="H65" s="657"/>
      <c r="I65" s="657"/>
      <c r="J65" s="657"/>
      <c r="K65" s="657"/>
      <c r="L65" s="657"/>
      <c r="M65" s="658"/>
    </row>
    <row r="66" spans="1:13" x14ac:dyDescent="0.25">
      <c r="A66" s="643">
        <v>15</v>
      </c>
      <c r="B66" s="650"/>
      <c r="C66" s="659" t="s">
        <v>422</v>
      </c>
      <c r="D66" s="663"/>
      <c r="E66" s="663"/>
      <c r="F66" s="661"/>
      <c r="G66" s="662"/>
      <c r="H66" s="662"/>
      <c r="I66" s="662"/>
      <c r="J66" s="662"/>
      <c r="K66" s="662"/>
      <c r="L66" s="662"/>
      <c r="M66" s="658"/>
    </row>
    <row r="67" spans="1:13" x14ac:dyDescent="0.25">
      <c r="A67" s="649">
        <v>16</v>
      </c>
      <c r="B67" s="650"/>
      <c r="C67" s="651" t="s">
        <v>464</v>
      </c>
      <c r="D67" s="652" t="s">
        <v>511</v>
      </c>
      <c r="E67" s="652"/>
      <c r="F67" s="654"/>
      <c r="G67" s="655"/>
      <c r="H67" s="655"/>
      <c r="I67" s="655"/>
      <c r="J67" s="655"/>
      <c r="K67" s="655"/>
      <c r="L67" s="655"/>
      <c r="M67" s="658"/>
    </row>
    <row r="68" spans="1:13" x14ac:dyDescent="0.25">
      <c r="A68" s="643">
        <v>17</v>
      </c>
      <c r="B68" s="650"/>
      <c r="C68" s="659" t="s">
        <v>465</v>
      </c>
      <c r="D68" s="660"/>
      <c r="E68" s="653"/>
      <c r="F68" s="661"/>
      <c r="G68" s="662"/>
      <c r="H68" s="662"/>
      <c r="I68" s="662"/>
      <c r="J68" s="662"/>
      <c r="K68" s="662"/>
      <c r="L68" s="662"/>
      <c r="M68" s="658"/>
    </row>
  </sheetData>
  <mergeCells count="18">
    <mergeCell ref="A1:M1"/>
    <mergeCell ref="A2:M2"/>
    <mergeCell ref="A3:M3"/>
    <mergeCell ref="A7:A8"/>
    <mergeCell ref="B7:B8"/>
    <mergeCell ref="C7:C8"/>
    <mergeCell ref="D7:D8"/>
    <mergeCell ref="B4:L4"/>
    <mergeCell ref="J5:K5"/>
    <mergeCell ref="M7:M8"/>
    <mergeCell ref="B55:B59"/>
    <mergeCell ref="G7:H7"/>
    <mergeCell ref="I7:J7"/>
    <mergeCell ref="K7:L7"/>
    <mergeCell ref="B18:B19"/>
    <mergeCell ref="B48:B52"/>
    <mergeCell ref="F7:F8"/>
    <mergeCell ref="E7:E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</vt:lpstr>
      <vt:lpstr>ადმინ.შენობა</vt:lpstr>
      <vt:lpstr>ტერიტ. კეთილ.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Revaz Sichinava</dc:creator>
  <cp:lastModifiedBy>Ekaterine Dzneladze</cp:lastModifiedBy>
  <cp:lastPrinted>2023-03-06T08:54:17Z</cp:lastPrinted>
  <dcterms:created xsi:type="dcterms:W3CDTF">2023-02-19T09:54:36Z</dcterms:created>
  <dcterms:modified xsi:type="dcterms:W3CDTF">2023-03-06T08:54:31Z</dcterms:modified>
</cp:coreProperties>
</file>