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662"/>
  </bookViews>
  <sheets>
    <sheet name="სანაკრებო" sheetId="4" r:id="rId1"/>
    <sheet name="შენობის მოწყობა" sheetId="14" r:id="rId2"/>
    <sheet name="წყალ-კანალი " sheetId="10" r:id="rId3"/>
    <sheet name="ელექტრობა-სუსტი დენები " sheetId="18" r:id="rId4"/>
    <sheet name="კეთილმოწყობა" sheetId="17" r:id="rId5"/>
  </sheets>
  <externalReferences>
    <externalReference r:id="rId6"/>
  </externalReferences>
  <definedNames>
    <definedName name="_xlnm._FilterDatabase" localSheetId="3" hidden="1">'ელექტრობა-სუსტი დენები '!$A$7:$L$196</definedName>
    <definedName name="_xlnm._FilterDatabase" localSheetId="4" hidden="1">კეთილმოწყობა!$A$10:$L$252</definedName>
    <definedName name="_xlnm._FilterDatabase" localSheetId="1" hidden="1">'შენობის მოწყობა'!$A$6:$IU$274</definedName>
    <definedName name="_xlnm._FilterDatabase" localSheetId="2" hidden="1">'წყალ-კანალი '!$A$10:$L$81</definedName>
    <definedName name="_xlnm.Print_Area" localSheetId="3">'ელექტრობა-სუსტი დენები '!$A$1:$L$196</definedName>
    <definedName name="_xlnm.Print_Area" localSheetId="4">კეთილმოწყობა!$A$1:$L$252</definedName>
    <definedName name="_xlnm.Print_Area" localSheetId="0">სანაკრებო!$A$1:$D$19</definedName>
    <definedName name="_xlnm.Print_Area" localSheetId="1">'შენობის მოწყობა'!$A$1:$L$274</definedName>
    <definedName name="_xlnm.Print_Area" localSheetId="2">'წყალ-კანალი '!$A$1:$L$81</definedName>
    <definedName name="_xlnm.Print_Titles" localSheetId="0">სანაკრებო!$8:$8</definedName>
    <definedName name="tcost" localSheetId="3">#REF!</definedName>
    <definedName name="tcost" localSheetId="4">#REF!</definedName>
    <definedName name="tcost" localSheetId="1">#REF!</definedName>
    <definedName name="tcost" localSheetId="2">#REF!</definedName>
    <definedName name="tcost">#REF!</definedName>
    <definedName name="Total" localSheetId="3">#REF!</definedName>
    <definedName name="Total" localSheetId="4">#REF!</definedName>
    <definedName name="Total" localSheetId="1">#REF!</definedName>
    <definedName name="Total" localSheetId="2">#REF!</definedName>
    <definedName name="Total">#REF!</definedName>
    <definedName name="Total1" localSheetId="3">#REF!</definedName>
    <definedName name="Total1" localSheetId="4">#REF!</definedName>
    <definedName name="Total1" localSheetId="1">#REF!</definedName>
    <definedName name="Total1" localSheetId="2">#REF!</definedName>
    <definedName name="Total1">#REF!</definedName>
    <definedName name="Total2" localSheetId="3">#REF!</definedName>
    <definedName name="Total2" localSheetId="4">#REF!</definedName>
    <definedName name="Total2" localSheetId="1">#REF!</definedName>
    <definedName name="Total2" localSheetId="2">#REF!</definedName>
    <definedName name="Total2">#REF!</definedName>
    <definedName name="Total3" localSheetId="3">#REF!</definedName>
    <definedName name="Total3" localSheetId="4">#REF!</definedName>
    <definedName name="Total3" localSheetId="1">#REF!</definedName>
    <definedName name="Total3" localSheetId="2">#REF!</definedName>
    <definedName name="Total3">#REF!</definedName>
    <definedName name="Total4" localSheetId="3">#REF!</definedName>
    <definedName name="Total4" localSheetId="4">#REF!</definedName>
    <definedName name="Total4" localSheetId="1">#REF!</definedName>
    <definedName name="Total4" localSheetId="2">#REF!</definedName>
    <definedName name="Total4">#REF!</definedName>
    <definedName name="სს" localSheetId="4">#REF!</definedName>
    <definedName name="სს" localSheetId="1">#REF!</definedName>
    <definedName name="სს">#REF!</definedName>
  </definedNames>
  <calcPr calcId="152511"/>
</workbook>
</file>

<file path=xl/calcChain.xml><?xml version="1.0" encoding="utf-8"?>
<calcChain xmlns="http://schemas.openxmlformats.org/spreadsheetml/2006/main">
  <c r="E156" i="17" l="1"/>
  <c r="E149" i="17"/>
  <c r="E51" i="17"/>
  <c r="E53" i="17" s="1"/>
  <c r="K53" i="17" s="1"/>
  <c r="L53" i="17" s="1"/>
  <c r="E69" i="17"/>
  <c r="E71" i="17"/>
  <c r="E113" i="17"/>
  <c r="E142" i="17"/>
  <c r="E139" i="17"/>
  <c r="E135" i="17"/>
  <c r="E124" i="17"/>
  <c r="E106" i="17"/>
  <c r="E50" i="17"/>
  <c r="K50" i="17" s="1"/>
  <c r="L50" i="17" s="1"/>
  <c r="E49" i="17"/>
  <c r="G49" i="17" s="1"/>
  <c r="L49" i="17" s="1"/>
  <c r="E52" i="17" l="1"/>
  <c r="G52" i="17" s="1"/>
  <c r="L52" i="17" s="1"/>
  <c r="E210" i="14"/>
  <c r="E240" i="17" l="1"/>
  <c r="E236" i="17"/>
  <c r="D138" i="17" l="1"/>
  <c r="E160" i="18"/>
  <c r="E60" i="17" l="1"/>
  <c r="E111" i="18"/>
  <c r="I111" i="18" s="1"/>
  <c r="L111" i="18" s="1"/>
  <c r="E110" i="18"/>
  <c r="I110" i="18" s="1"/>
  <c r="L110" i="18" s="1"/>
  <c r="E109" i="18"/>
  <c r="K109" i="18" s="1"/>
  <c r="L109" i="18" s="1"/>
  <c r="E108" i="18"/>
  <c r="G108" i="18" s="1"/>
  <c r="L108" i="18" s="1"/>
  <c r="E85" i="18" l="1"/>
  <c r="I85" i="18" s="1"/>
  <c r="L85" i="18" s="1"/>
  <c r="E84" i="18"/>
  <c r="E83" i="18"/>
  <c r="K83" i="18" s="1"/>
  <c r="L83" i="18" s="1"/>
  <c r="E82" i="18"/>
  <c r="G82" i="18" s="1"/>
  <c r="L82" i="18" s="1"/>
  <c r="E51" i="18"/>
  <c r="E56" i="18"/>
  <c r="E58" i="18" s="1"/>
  <c r="I58" i="18" s="1"/>
  <c r="L58" i="18" s="1"/>
  <c r="I20" i="18"/>
  <c r="L20" i="18" s="1"/>
  <c r="I19" i="18"/>
  <c r="L19" i="18" s="1"/>
  <c r="I18" i="18"/>
  <c r="L18" i="18" s="1"/>
  <c r="I14" i="18"/>
  <c r="L14" i="18" s="1"/>
  <c r="E133" i="18"/>
  <c r="I133" i="18" s="1"/>
  <c r="L133" i="18" s="1"/>
  <c r="E131" i="18"/>
  <c r="G131" i="18" s="1"/>
  <c r="L131" i="18" s="1"/>
  <c r="E170" i="18"/>
  <c r="E166" i="18"/>
  <c r="E184" i="18"/>
  <c r="G184" i="18" s="1"/>
  <c r="L184" i="18" s="1"/>
  <c r="L185" i="18"/>
  <c r="E186" i="18"/>
  <c r="I186" i="18" s="1"/>
  <c r="L186" i="18" s="1"/>
  <c r="E187" i="18"/>
  <c r="I187" i="18" s="1"/>
  <c r="L187" i="18" s="1"/>
  <c r="I84" i="18" l="1"/>
  <c r="L84" i="18" s="1"/>
  <c r="E57" i="18"/>
  <c r="G57" i="18" s="1"/>
  <c r="L57" i="18" s="1"/>
  <c r="E60" i="18"/>
  <c r="I60" i="18" s="1"/>
  <c r="L60" i="18" s="1"/>
  <c r="E59" i="18"/>
  <c r="K59" i="18" s="1"/>
  <c r="L59" i="18" s="1"/>
  <c r="E245" i="17"/>
  <c r="I245" i="17" s="1"/>
  <c r="L245" i="17" s="1"/>
  <c r="E237" i="17"/>
  <c r="I237" i="17" s="1"/>
  <c r="L237" i="17" s="1"/>
  <c r="I236" i="17"/>
  <c r="L236" i="17" s="1"/>
  <c r="E225" i="17"/>
  <c r="E227" i="17" s="1"/>
  <c r="K227" i="17" s="1"/>
  <c r="L227" i="17" s="1"/>
  <c r="E223" i="17"/>
  <c r="E224" i="17" s="1"/>
  <c r="G224" i="17" s="1"/>
  <c r="L224" i="17" s="1"/>
  <c r="E219" i="17"/>
  <c r="E220" i="17" s="1"/>
  <c r="G220" i="17" s="1"/>
  <c r="L220" i="17" s="1"/>
  <c r="E216" i="17"/>
  <c r="E217" i="17" s="1"/>
  <c r="G217" i="17" s="1"/>
  <c r="L217" i="17" s="1"/>
  <c r="E210" i="17"/>
  <c r="E215" i="17" s="1"/>
  <c r="I215" i="17" s="1"/>
  <c r="L215" i="17" s="1"/>
  <c r="I207" i="17"/>
  <c r="L207" i="17" s="1"/>
  <c r="E203" i="17"/>
  <c r="E209" i="17" s="1"/>
  <c r="I209" i="17" s="1"/>
  <c r="L209" i="17" s="1"/>
  <c r="E202" i="17"/>
  <c r="I202" i="17" s="1"/>
  <c r="L202" i="17" s="1"/>
  <c r="E201" i="17"/>
  <c r="I201" i="17" s="1"/>
  <c r="L201" i="17" s="1"/>
  <c r="E200" i="17"/>
  <c r="I200" i="17" s="1"/>
  <c r="L200" i="17" s="1"/>
  <c r="E199" i="17"/>
  <c r="K199" i="17" s="1"/>
  <c r="L199" i="17" s="1"/>
  <c r="E198" i="17"/>
  <c r="G198" i="17" s="1"/>
  <c r="L198" i="17" s="1"/>
  <c r="E196" i="17"/>
  <c r="I196" i="17" s="1"/>
  <c r="L196" i="17" s="1"/>
  <c r="E195" i="17"/>
  <c r="I195" i="17" s="1"/>
  <c r="L195" i="17" s="1"/>
  <c r="D194" i="17"/>
  <c r="E194" i="17" s="1"/>
  <c r="K194" i="17" s="1"/>
  <c r="L194" i="17" s="1"/>
  <c r="E193" i="17"/>
  <c r="G193" i="17" s="1"/>
  <c r="L193" i="17" s="1"/>
  <c r="E191" i="17"/>
  <c r="I191" i="17" s="1"/>
  <c r="L191" i="17" s="1"/>
  <c r="E190" i="17"/>
  <c r="I190" i="17" s="1"/>
  <c r="L190" i="17" s="1"/>
  <c r="E189" i="17"/>
  <c r="I189" i="17" s="1"/>
  <c r="L189" i="17" s="1"/>
  <c r="E188" i="17"/>
  <c r="K188" i="17" s="1"/>
  <c r="L188" i="17" s="1"/>
  <c r="E187" i="17"/>
  <c r="G187" i="17" s="1"/>
  <c r="L187" i="17" s="1"/>
  <c r="E183" i="17"/>
  <c r="I183" i="17" s="1"/>
  <c r="L183" i="17" s="1"/>
  <c r="E182" i="17"/>
  <c r="I182" i="17" s="1"/>
  <c r="L182" i="17" s="1"/>
  <c r="E181" i="17"/>
  <c r="E174" i="17"/>
  <c r="I174" i="17" s="1"/>
  <c r="L174" i="17" s="1"/>
  <c r="E168" i="17"/>
  <c r="E169" i="17" s="1"/>
  <c r="G169" i="17" s="1"/>
  <c r="L169" i="17" s="1"/>
  <c r="E166" i="17"/>
  <c r="I166" i="17" s="1"/>
  <c r="L166" i="17" s="1"/>
  <c r="E165" i="17"/>
  <c r="I165" i="17" s="1"/>
  <c r="L165" i="17" s="1"/>
  <c r="E164" i="17"/>
  <c r="K164" i="17" s="1"/>
  <c r="L164" i="17" s="1"/>
  <c r="E163" i="17"/>
  <c r="G163" i="17" s="1"/>
  <c r="L163" i="17" s="1"/>
  <c r="D161" i="17"/>
  <c r="E161" i="17" s="1"/>
  <c r="K161" i="17" s="1"/>
  <c r="L161" i="17" s="1"/>
  <c r="D160" i="17"/>
  <c r="E160" i="17" s="1"/>
  <c r="G160" i="17" s="1"/>
  <c r="L160" i="17" s="1"/>
  <c r="E157" i="17"/>
  <c r="G157" i="17" s="1"/>
  <c r="L157" i="17" s="1"/>
  <c r="E158" i="17"/>
  <c r="I158" i="17" s="1"/>
  <c r="L158" i="17" s="1"/>
  <c r="E153" i="17"/>
  <c r="G153" i="17" s="1"/>
  <c r="L153" i="17" s="1"/>
  <c r="E151" i="17"/>
  <c r="K151" i="17" s="1"/>
  <c r="L151" i="17" s="1"/>
  <c r="E154" i="17"/>
  <c r="E155" i="17" s="1"/>
  <c r="G155" i="17" s="1"/>
  <c r="L155" i="17" s="1"/>
  <c r="E147" i="17"/>
  <c r="I147" i="17" s="1"/>
  <c r="L147" i="17" s="1"/>
  <c r="E145" i="17"/>
  <c r="I145" i="17" s="1"/>
  <c r="L145" i="17" s="1"/>
  <c r="E144" i="17"/>
  <c r="K144" i="17" s="1"/>
  <c r="L144" i="17" s="1"/>
  <c r="E146" i="17"/>
  <c r="I146" i="17" s="1"/>
  <c r="L146" i="17" s="1"/>
  <c r="I139" i="17"/>
  <c r="L139" i="17" s="1"/>
  <c r="I137" i="17"/>
  <c r="L137" i="17" s="1"/>
  <c r="I136" i="17"/>
  <c r="L136" i="17" s="1"/>
  <c r="E126" i="17"/>
  <c r="E132" i="17" s="1"/>
  <c r="I132" i="17" s="1"/>
  <c r="L132" i="17" s="1"/>
  <c r="E125" i="17"/>
  <c r="G125" i="17" s="1"/>
  <c r="L125" i="17" s="1"/>
  <c r="D122" i="17"/>
  <c r="E122" i="17" s="1"/>
  <c r="K122" i="17" s="1"/>
  <c r="L122" i="17" s="1"/>
  <c r="D121" i="17"/>
  <c r="E121" i="17" s="1"/>
  <c r="G121" i="17" s="1"/>
  <c r="L121" i="17" s="1"/>
  <c r="E118" i="17"/>
  <c r="E119" i="17" s="1"/>
  <c r="G119" i="17" s="1"/>
  <c r="L119" i="17" s="1"/>
  <c r="E117" i="17"/>
  <c r="G117" i="17" s="1"/>
  <c r="L117" i="17" s="1"/>
  <c r="E115" i="17"/>
  <c r="K115" i="17" s="1"/>
  <c r="L115" i="17" s="1"/>
  <c r="E114" i="17"/>
  <c r="G114" i="17" s="1"/>
  <c r="L114" i="17" s="1"/>
  <c r="E111" i="17"/>
  <c r="I111" i="17" s="1"/>
  <c r="L111" i="17" s="1"/>
  <c r="E109" i="17"/>
  <c r="K109" i="17" s="1"/>
  <c r="L109" i="17" s="1"/>
  <c r="E107" i="17"/>
  <c r="G107" i="17" s="1"/>
  <c r="L107" i="17" s="1"/>
  <c r="E105" i="17"/>
  <c r="I105" i="17" s="1"/>
  <c r="L105" i="17" s="1"/>
  <c r="E104" i="17"/>
  <c r="I104" i="17" s="1"/>
  <c r="L104" i="17" s="1"/>
  <c r="E103" i="17"/>
  <c r="I103" i="17" s="1"/>
  <c r="L103" i="17" s="1"/>
  <c r="E102" i="17"/>
  <c r="K102" i="17" s="1"/>
  <c r="L102" i="17" s="1"/>
  <c r="E101" i="17"/>
  <c r="G101" i="17" s="1"/>
  <c r="L101" i="17" s="1"/>
  <c r="E97" i="17"/>
  <c r="I97" i="17" s="1"/>
  <c r="L97" i="17" s="1"/>
  <c r="E96" i="17"/>
  <c r="I96" i="17" s="1"/>
  <c r="L96" i="17" s="1"/>
  <c r="E95" i="17"/>
  <c r="I95" i="17" s="1"/>
  <c r="L95" i="17" s="1"/>
  <c r="E94" i="17"/>
  <c r="I94" i="17" s="1"/>
  <c r="L94" i="17" s="1"/>
  <c r="E85" i="17"/>
  <c r="I85" i="17" s="1"/>
  <c r="L85" i="17" s="1"/>
  <c r="I84" i="17"/>
  <c r="L84" i="17" s="1"/>
  <c r="E82" i="17"/>
  <c r="G82" i="17" s="1"/>
  <c r="L82" i="17" s="1"/>
  <c r="E81" i="17"/>
  <c r="E86" i="17" s="1"/>
  <c r="I86" i="17" s="1"/>
  <c r="L86" i="17" s="1"/>
  <c r="E79" i="17"/>
  <c r="E80" i="17" s="1"/>
  <c r="G80" i="17" s="1"/>
  <c r="L80" i="17" s="1"/>
  <c r="E77" i="17"/>
  <c r="I77" i="17" s="1"/>
  <c r="L77" i="17" s="1"/>
  <c r="E76" i="17"/>
  <c r="I76" i="17" s="1"/>
  <c r="L76" i="17" s="1"/>
  <c r="E70" i="17"/>
  <c r="G70" i="17" s="1"/>
  <c r="L70" i="17" s="1"/>
  <c r="I63" i="17"/>
  <c r="L63" i="17" s="1"/>
  <c r="I62" i="17"/>
  <c r="L62" i="17" s="1"/>
  <c r="D59" i="17"/>
  <c r="E59" i="17" s="1"/>
  <c r="I59" i="17" s="1"/>
  <c r="L59" i="17" s="1"/>
  <c r="D58" i="17"/>
  <c r="E58" i="17" s="1"/>
  <c r="K58" i="17" s="1"/>
  <c r="L58" i="17" s="1"/>
  <c r="D57" i="17"/>
  <c r="E57" i="17" s="1"/>
  <c r="K57" i="17" s="1"/>
  <c r="L57" i="17" s="1"/>
  <c r="D56" i="17"/>
  <c r="E56" i="17" s="1"/>
  <c r="G56" i="17" s="1"/>
  <c r="L56" i="17" s="1"/>
  <c r="E46" i="17"/>
  <c r="I46" i="17" s="1"/>
  <c r="L46" i="17" s="1"/>
  <c r="E45" i="17"/>
  <c r="K45" i="17" s="1"/>
  <c r="L45" i="17" s="1"/>
  <c r="E44" i="17"/>
  <c r="G44" i="17" s="1"/>
  <c r="L44" i="17" s="1"/>
  <c r="E42" i="17"/>
  <c r="K42" i="17" s="1"/>
  <c r="L42" i="17" s="1"/>
  <c r="E41" i="17"/>
  <c r="I41" i="17" s="1"/>
  <c r="L41" i="17" s="1"/>
  <c r="E40" i="17"/>
  <c r="G40" i="17" s="1"/>
  <c r="L40" i="17" s="1"/>
  <c r="E38" i="17"/>
  <c r="I38" i="17" s="1"/>
  <c r="L38" i="17" s="1"/>
  <c r="I37" i="17"/>
  <c r="L37" i="17" s="1"/>
  <c r="E36" i="17"/>
  <c r="K36" i="17" s="1"/>
  <c r="L36" i="17" s="1"/>
  <c r="E35" i="17"/>
  <c r="G35" i="17" s="1"/>
  <c r="L35" i="17" s="1"/>
  <c r="E32" i="17"/>
  <c r="E33" i="17" s="1"/>
  <c r="G33" i="17" s="1"/>
  <c r="L33" i="17" s="1"/>
  <c r="E31" i="17"/>
  <c r="G31" i="17" s="1"/>
  <c r="L31" i="17" s="1"/>
  <c r="E28" i="17"/>
  <c r="I28" i="17" s="1"/>
  <c r="L28" i="17" s="1"/>
  <c r="E27" i="17"/>
  <c r="K27" i="17" s="1"/>
  <c r="L27" i="17" s="1"/>
  <c r="E26" i="17"/>
  <c r="G26" i="17" s="1"/>
  <c r="L26" i="17" s="1"/>
  <c r="E24" i="17"/>
  <c r="K24" i="17" s="1"/>
  <c r="L24" i="17" s="1"/>
  <c r="E23" i="17"/>
  <c r="I23" i="17" s="1"/>
  <c r="L23" i="17" s="1"/>
  <c r="E22" i="17"/>
  <c r="G22" i="17" s="1"/>
  <c r="L22" i="17" s="1"/>
  <c r="E20" i="17"/>
  <c r="I20" i="17" s="1"/>
  <c r="L20" i="17" s="1"/>
  <c r="I19" i="17"/>
  <c r="L19" i="17" s="1"/>
  <c r="E18" i="17"/>
  <c r="K18" i="17" s="1"/>
  <c r="E17" i="17"/>
  <c r="G17" i="17" s="1"/>
  <c r="L17" i="17" s="1"/>
  <c r="E14" i="17"/>
  <c r="E15" i="17" s="1"/>
  <c r="G15" i="17" s="1"/>
  <c r="L15" i="17" s="1"/>
  <c r="E13" i="17"/>
  <c r="G13" i="17" s="1"/>
  <c r="E182" i="18"/>
  <c r="I182" i="18" s="1"/>
  <c r="L182" i="18" s="1"/>
  <c r="E181" i="18"/>
  <c r="I181" i="18" s="1"/>
  <c r="L181" i="18" s="1"/>
  <c r="L180" i="18"/>
  <c r="E179" i="18"/>
  <c r="K179" i="18" s="1"/>
  <c r="L179" i="18" s="1"/>
  <c r="E178" i="18"/>
  <c r="G178" i="18" s="1"/>
  <c r="L178" i="18" s="1"/>
  <c r="E176" i="18"/>
  <c r="I176" i="18" s="1"/>
  <c r="L176" i="18" s="1"/>
  <c r="E175" i="18"/>
  <c r="I175" i="18" s="1"/>
  <c r="L175" i="18" s="1"/>
  <c r="E174" i="18"/>
  <c r="K174" i="18" s="1"/>
  <c r="L174" i="18" s="1"/>
  <c r="E173" i="18"/>
  <c r="G173" i="18" s="1"/>
  <c r="L173" i="18" s="1"/>
  <c r="E171" i="18"/>
  <c r="I171" i="18" s="1"/>
  <c r="L171" i="18" s="1"/>
  <c r="I170" i="18"/>
  <c r="L170" i="18" s="1"/>
  <c r="E169" i="18"/>
  <c r="I169" i="18" s="1"/>
  <c r="L169" i="18" s="1"/>
  <c r="E168" i="18"/>
  <c r="K168" i="18" s="1"/>
  <c r="L168" i="18" s="1"/>
  <c r="E167" i="18"/>
  <c r="G167" i="18" s="1"/>
  <c r="L167" i="18" s="1"/>
  <c r="I165" i="18"/>
  <c r="I164" i="18"/>
  <c r="L164" i="18" s="1"/>
  <c r="I163" i="18"/>
  <c r="L163" i="18" s="1"/>
  <c r="I162" i="18"/>
  <c r="L162" i="18" s="1"/>
  <c r="E161" i="18"/>
  <c r="G161" i="18" s="1"/>
  <c r="L161" i="18" s="1"/>
  <c r="E159" i="18"/>
  <c r="I159" i="18" s="1"/>
  <c r="L159" i="18" s="1"/>
  <c r="E157" i="18"/>
  <c r="G157" i="18" s="1"/>
  <c r="L157" i="18" s="1"/>
  <c r="E155" i="18"/>
  <c r="I155" i="18" s="1"/>
  <c r="L154" i="18"/>
  <c r="E153" i="18"/>
  <c r="G153" i="18" s="1"/>
  <c r="L153" i="18" s="1"/>
  <c r="E150" i="18"/>
  <c r="I150" i="18" s="1"/>
  <c r="L150" i="18" s="1"/>
  <c r="E149" i="18"/>
  <c r="I149" i="18" s="1"/>
  <c r="L149" i="18" s="1"/>
  <c r="E148" i="18"/>
  <c r="K148" i="18" s="1"/>
  <c r="L148" i="18" s="1"/>
  <c r="E147" i="18"/>
  <c r="G147" i="18" s="1"/>
  <c r="L147" i="18" s="1"/>
  <c r="E145" i="18"/>
  <c r="I145" i="18" s="1"/>
  <c r="L145" i="18" s="1"/>
  <c r="E144" i="18"/>
  <c r="I144" i="18" s="1"/>
  <c r="L144" i="18" s="1"/>
  <c r="E143" i="18"/>
  <c r="G143" i="18" s="1"/>
  <c r="L143" i="18" s="1"/>
  <c r="E141" i="18"/>
  <c r="I141" i="18" s="1"/>
  <c r="L141" i="18" s="1"/>
  <c r="E140" i="18"/>
  <c r="I140" i="18" s="1"/>
  <c r="L140" i="18" s="1"/>
  <c r="E139" i="18"/>
  <c r="G139" i="18" s="1"/>
  <c r="L139" i="18" s="1"/>
  <c r="E137" i="18"/>
  <c r="I137" i="18" s="1"/>
  <c r="L137" i="18" s="1"/>
  <c r="E136" i="18"/>
  <c r="I136" i="18" s="1"/>
  <c r="L136" i="18" s="1"/>
  <c r="E135" i="18"/>
  <c r="G135" i="18" s="1"/>
  <c r="L135" i="18" s="1"/>
  <c r="E129" i="18"/>
  <c r="I129" i="18" s="1"/>
  <c r="L129" i="18" s="1"/>
  <c r="E127" i="18"/>
  <c r="G127" i="18" s="1"/>
  <c r="L127" i="18" s="1"/>
  <c r="E116" i="18"/>
  <c r="I116" i="18" s="1"/>
  <c r="L116" i="18" s="1"/>
  <c r="E115" i="18"/>
  <c r="I115" i="18" s="1"/>
  <c r="E114" i="18"/>
  <c r="K114" i="18" s="1"/>
  <c r="L114" i="18" s="1"/>
  <c r="E113" i="18"/>
  <c r="G113" i="18" s="1"/>
  <c r="L113" i="18" s="1"/>
  <c r="E106" i="18"/>
  <c r="I106" i="18" s="1"/>
  <c r="L106" i="18" s="1"/>
  <c r="E105" i="18"/>
  <c r="I105" i="18" s="1"/>
  <c r="L105" i="18" s="1"/>
  <c r="E104" i="18"/>
  <c r="K104" i="18" s="1"/>
  <c r="L104" i="18" s="1"/>
  <c r="E103" i="18"/>
  <c r="G103" i="18" s="1"/>
  <c r="L103" i="18" s="1"/>
  <c r="E101" i="18"/>
  <c r="I101" i="18" s="1"/>
  <c r="L101" i="18" s="1"/>
  <c r="E100" i="18"/>
  <c r="I100" i="18" s="1"/>
  <c r="L100" i="18" s="1"/>
  <c r="E99" i="18"/>
  <c r="K99" i="18" s="1"/>
  <c r="L99" i="18" s="1"/>
  <c r="E98" i="18"/>
  <c r="G98" i="18" s="1"/>
  <c r="L98" i="18" s="1"/>
  <c r="I96" i="18"/>
  <c r="L96" i="18" s="1"/>
  <c r="E95" i="18"/>
  <c r="I95" i="18" s="1"/>
  <c r="L95" i="18" s="1"/>
  <c r="E94" i="18"/>
  <c r="I94" i="18" s="1"/>
  <c r="L94" i="18" s="1"/>
  <c r="E93" i="18"/>
  <c r="K93" i="18" s="1"/>
  <c r="L93" i="18" s="1"/>
  <c r="E92" i="18"/>
  <c r="G92" i="18" s="1"/>
  <c r="L92" i="18" s="1"/>
  <c r="E90" i="18"/>
  <c r="I90" i="18" s="1"/>
  <c r="L90" i="18" s="1"/>
  <c r="E89" i="18"/>
  <c r="I89" i="18" s="1"/>
  <c r="L89" i="18" s="1"/>
  <c r="E88" i="18"/>
  <c r="K88" i="18" s="1"/>
  <c r="L88" i="18" s="1"/>
  <c r="E87" i="18"/>
  <c r="G87" i="18" s="1"/>
  <c r="L87" i="18" s="1"/>
  <c r="E80" i="18"/>
  <c r="I80" i="18" s="1"/>
  <c r="L80" i="18" s="1"/>
  <c r="E79" i="18"/>
  <c r="I79" i="18" s="1"/>
  <c r="L79" i="18" s="1"/>
  <c r="D78" i="18"/>
  <c r="E78" i="18" s="1"/>
  <c r="K78" i="18" s="1"/>
  <c r="L78" i="18" s="1"/>
  <c r="E77" i="18"/>
  <c r="G77" i="18" s="1"/>
  <c r="L77" i="18" s="1"/>
  <c r="E75" i="18"/>
  <c r="I75" i="18" s="1"/>
  <c r="L75" i="18" s="1"/>
  <c r="E74" i="18"/>
  <c r="I74" i="18" s="1"/>
  <c r="L74" i="18" s="1"/>
  <c r="D73" i="18"/>
  <c r="E73" i="18" s="1"/>
  <c r="K73" i="18" s="1"/>
  <c r="L73" i="18" s="1"/>
  <c r="E72" i="18"/>
  <c r="G72" i="18" s="1"/>
  <c r="L72" i="18" s="1"/>
  <c r="E70" i="18"/>
  <c r="I70" i="18" s="1"/>
  <c r="L70" i="18" s="1"/>
  <c r="E69" i="18"/>
  <c r="I69" i="18" s="1"/>
  <c r="L69" i="18" s="1"/>
  <c r="E68" i="18"/>
  <c r="K68" i="18" s="1"/>
  <c r="L68" i="18" s="1"/>
  <c r="E67" i="18"/>
  <c r="G67" i="18" s="1"/>
  <c r="L67" i="18" s="1"/>
  <c r="E65" i="18"/>
  <c r="I65" i="18" s="1"/>
  <c r="L65" i="18" s="1"/>
  <c r="E64" i="18"/>
  <c r="I64" i="18" s="1"/>
  <c r="L64" i="18" s="1"/>
  <c r="E63" i="18"/>
  <c r="K63" i="18" s="1"/>
  <c r="L63" i="18" s="1"/>
  <c r="E62" i="18"/>
  <c r="G62" i="18" s="1"/>
  <c r="L62" i="18" s="1"/>
  <c r="I49" i="18"/>
  <c r="L49" i="18" s="1"/>
  <c r="E46" i="18"/>
  <c r="E50" i="18" s="1"/>
  <c r="I50" i="18" s="1"/>
  <c r="L50" i="18" s="1"/>
  <c r="I44" i="18"/>
  <c r="L44" i="18" s="1"/>
  <c r="I43" i="18"/>
  <c r="L43" i="18" s="1"/>
  <c r="E40" i="18"/>
  <c r="E45" i="18" s="1"/>
  <c r="I45" i="18" s="1"/>
  <c r="L45" i="18" s="1"/>
  <c r="I38" i="18"/>
  <c r="L38" i="18" s="1"/>
  <c r="E35" i="18"/>
  <c r="E39" i="18" s="1"/>
  <c r="I39" i="18" s="1"/>
  <c r="L39" i="18" s="1"/>
  <c r="E34" i="18"/>
  <c r="I34" i="18" s="1"/>
  <c r="L34" i="18" s="1"/>
  <c r="I33" i="18"/>
  <c r="L33" i="18" s="1"/>
  <c r="I32" i="18"/>
  <c r="L32" i="18" s="1"/>
  <c r="E31" i="18"/>
  <c r="K31" i="18" s="1"/>
  <c r="L31" i="18" s="1"/>
  <c r="E30" i="18"/>
  <c r="G30" i="18" s="1"/>
  <c r="L30" i="18" s="1"/>
  <c r="E28" i="18"/>
  <c r="I28" i="18" s="1"/>
  <c r="L28" i="18" s="1"/>
  <c r="I27" i="18"/>
  <c r="L27" i="18" s="1"/>
  <c r="E26" i="18"/>
  <c r="K26" i="18" s="1"/>
  <c r="L26" i="18" s="1"/>
  <c r="E25" i="18"/>
  <c r="G25" i="18" s="1"/>
  <c r="L25" i="18" s="1"/>
  <c r="I22" i="18"/>
  <c r="L22" i="18" s="1"/>
  <c r="I21" i="18"/>
  <c r="L21" i="18" s="1"/>
  <c r="I13" i="18"/>
  <c r="L13" i="18" s="1"/>
  <c r="I17" i="18"/>
  <c r="L17" i="18" s="1"/>
  <c r="I16" i="18"/>
  <c r="L16" i="18" s="1"/>
  <c r="I15" i="18"/>
  <c r="L15" i="18" s="1"/>
  <c r="I12" i="18"/>
  <c r="E9" i="18"/>
  <c r="E10" i="18" s="1"/>
  <c r="G10" i="18" s="1"/>
  <c r="A3" i="18"/>
  <c r="E74" i="10"/>
  <c r="I74" i="10" s="1"/>
  <c r="L74" i="10" s="1"/>
  <c r="I73" i="10"/>
  <c r="L73" i="10" s="1"/>
  <c r="I72" i="10"/>
  <c r="L72" i="10" s="1"/>
  <c r="E70" i="10"/>
  <c r="K70" i="10" s="1"/>
  <c r="L70" i="10" s="1"/>
  <c r="E69" i="10"/>
  <c r="G69" i="10" s="1"/>
  <c r="L69" i="10" s="1"/>
  <c r="E67" i="10"/>
  <c r="I67" i="10" s="1"/>
  <c r="L67" i="10" s="1"/>
  <c r="E66" i="10"/>
  <c r="I66" i="10" s="1"/>
  <c r="L66" i="10" s="1"/>
  <c r="E65" i="10"/>
  <c r="I65" i="10" s="1"/>
  <c r="L65" i="10" s="1"/>
  <c r="I64" i="10"/>
  <c r="L64" i="10" s="1"/>
  <c r="I63" i="10"/>
  <c r="L63" i="10" s="1"/>
  <c r="E61" i="10"/>
  <c r="K61" i="10" s="1"/>
  <c r="L61" i="10" s="1"/>
  <c r="D60" i="10"/>
  <c r="E60" i="10" s="1"/>
  <c r="G60" i="10" s="1"/>
  <c r="L60" i="10" s="1"/>
  <c r="E57" i="10"/>
  <c r="I57" i="10" s="1"/>
  <c r="L57" i="10" s="1"/>
  <c r="E56" i="10"/>
  <c r="I56" i="10" s="1"/>
  <c r="L56" i="10" s="1"/>
  <c r="E55" i="10"/>
  <c r="I55" i="10" s="1"/>
  <c r="L55" i="10" s="1"/>
  <c r="E54" i="10"/>
  <c r="K54" i="10" s="1"/>
  <c r="L54" i="10" s="1"/>
  <c r="E53" i="10"/>
  <c r="G53" i="10" s="1"/>
  <c r="L53" i="10" s="1"/>
  <c r="I51" i="10"/>
  <c r="L51" i="10" s="1"/>
  <c r="E51" i="10"/>
  <c r="E50" i="10"/>
  <c r="I50" i="10" s="1"/>
  <c r="L50" i="10" s="1"/>
  <c r="E49" i="10"/>
  <c r="I49" i="10" s="1"/>
  <c r="L49" i="10" s="1"/>
  <c r="E48" i="10"/>
  <c r="K48" i="10" s="1"/>
  <c r="L48" i="10" s="1"/>
  <c r="E47" i="10"/>
  <c r="G47" i="10" s="1"/>
  <c r="L47" i="10" s="1"/>
  <c r="E45" i="10"/>
  <c r="I45" i="10" s="1"/>
  <c r="L45" i="10" s="1"/>
  <c r="E44" i="10"/>
  <c r="K44" i="10" s="1"/>
  <c r="L44" i="10" s="1"/>
  <c r="E43" i="10"/>
  <c r="I43" i="10" s="1"/>
  <c r="L43" i="10" s="1"/>
  <c r="E42" i="10"/>
  <c r="G42" i="10" s="1"/>
  <c r="L42" i="10" s="1"/>
  <c r="E40" i="10"/>
  <c r="I40" i="10" s="1"/>
  <c r="L40" i="10" s="1"/>
  <c r="E39" i="10"/>
  <c r="I39" i="10" s="1"/>
  <c r="L39" i="10" s="1"/>
  <c r="E38" i="10"/>
  <c r="K38" i="10" s="1"/>
  <c r="L38" i="10" s="1"/>
  <c r="E37" i="10"/>
  <c r="G37" i="10" s="1"/>
  <c r="L37" i="10" s="1"/>
  <c r="E35" i="10"/>
  <c r="I35" i="10" s="1"/>
  <c r="L35" i="10" s="1"/>
  <c r="E34" i="10"/>
  <c r="I34" i="10" s="1"/>
  <c r="L34" i="10" s="1"/>
  <c r="E33" i="10"/>
  <c r="I33" i="10" s="1"/>
  <c r="L33" i="10" s="1"/>
  <c r="I32" i="10"/>
  <c r="L32" i="10" s="1"/>
  <c r="I31" i="10"/>
  <c r="L31" i="10" s="1"/>
  <c r="E29" i="10"/>
  <c r="K29" i="10" s="1"/>
  <c r="L29" i="10" s="1"/>
  <c r="E28" i="10"/>
  <c r="G28" i="10" s="1"/>
  <c r="L28" i="10" s="1"/>
  <c r="E26" i="10"/>
  <c r="I26" i="10" s="1"/>
  <c r="L26" i="10" s="1"/>
  <c r="E25" i="10"/>
  <c r="I25" i="10" s="1"/>
  <c r="E23" i="10"/>
  <c r="K23" i="10" s="1"/>
  <c r="E22" i="10"/>
  <c r="G22" i="10" s="1"/>
  <c r="E20" i="10"/>
  <c r="I20" i="10" s="1"/>
  <c r="L20" i="10" s="1"/>
  <c r="E19" i="10"/>
  <c r="I19" i="10" s="1"/>
  <c r="L19" i="10" s="1"/>
  <c r="E18" i="10"/>
  <c r="K18" i="10" s="1"/>
  <c r="L18" i="10" s="1"/>
  <c r="E17" i="10"/>
  <c r="G17" i="10" s="1"/>
  <c r="L17" i="10" s="1"/>
  <c r="E15" i="10"/>
  <c r="I15" i="10" s="1"/>
  <c r="L15" i="10" s="1"/>
  <c r="E14" i="10"/>
  <c r="I14" i="10" s="1"/>
  <c r="L14" i="10" s="1"/>
  <c r="E13" i="10"/>
  <c r="K13" i="10" s="1"/>
  <c r="L13" i="10" s="1"/>
  <c r="E12" i="10"/>
  <c r="G12" i="10" s="1"/>
  <c r="L12" i="10" s="1"/>
  <c r="E267" i="14"/>
  <c r="K267" i="14" s="1"/>
  <c r="L267" i="14" s="1"/>
  <c r="E266" i="14"/>
  <c r="G266" i="14" s="1"/>
  <c r="L266" i="14" s="1"/>
  <c r="E264" i="14"/>
  <c r="I264" i="14" s="1"/>
  <c r="L264" i="14" s="1"/>
  <c r="E263" i="14"/>
  <c r="I263" i="14" s="1"/>
  <c r="L263" i="14" s="1"/>
  <c r="E262" i="14"/>
  <c r="I262" i="14" s="1"/>
  <c r="L262" i="14" s="1"/>
  <c r="E261" i="14"/>
  <c r="K261" i="14" s="1"/>
  <c r="L261" i="14" s="1"/>
  <c r="E260" i="14"/>
  <c r="G260" i="14" s="1"/>
  <c r="L260" i="14" s="1"/>
  <c r="E258" i="14"/>
  <c r="I258" i="14" s="1"/>
  <c r="L258" i="14" s="1"/>
  <c r="E257" i="14"/>
  <c r="I257" i="14" s="1"/>
  <c r="L257" i="14" s="1"/>
  <c r="E254" i="14"/>
  <c r="E256" i="14" s="1"/>
  <c r="K256" i="14" s="1"/>
  <c r="L256" i="14" s="1"/>
  <c r="E253" i="14"/>
  <c r="I253" i="14" s="1"/>
  <c r="L253" i="14" s="1"/>
  <c r="E251" i="14"/>
  <c r="G251" i="14" s="1"/>
  <c r="L251" i="14" s="1"/>
  <c r="E250" i="14"/>
  <c r="E252" i="14" s="1"/>
  <c r="I252" i="14" s="1"/>
  <c r="L252" i="14" s="1"/>
  <c r="E246" i="14"/>
  <c r="I246" i="14" s="1"/>
  <c r="L246" i="14" s="1"/>
  <c r="E244" i="14"/>
  <c r="G244" i="14" s="1"/>
  <c r="L244" i="14" s="1"/>
  <c r="E243" i="14"/>
  <c r="E248" i="14" s="1"/>
  <c r="I248" i="14" s="1"/>
  <c r="L248" i="14" s="1"/>
  <c r="E240" i="14"/>
  <c r="E242" i="14" s="1"/>
  <c r="I242" i="14" s="1"/>
  <c r="L242" i="14" s="1"/>
  <c r="E237" i="14"/>
  <c r="E239" i="14" s="1"/>
  <c r="I239" i="14" s="1"/>
  <c r="L239" i="14" s="1"/>
  <c r="E236" i="14"/>
  <c r="I236" i="14" s="1"/>
  <c r="L236" i="14" s="1"/>
  <c r="E235" i="14"/>
  <c r="G235" i="14" s="1"/>
  <c r="L235" i="14" s="1"/>
  <c r="E234" i="14"/>
  <c r="E233" i="14"/>
  <c r="I233" i="14" s="1"/>
  <c r="L233" i="14" s="1"/>
  <c r="L231" i="14"/>
  <c r="E231" i="14"/>
  <c r="E232" i="14" s="1"/>
  <c r="G232" i="14" s="1"/>
  <c r="L232" i="14" s="1"/>
  <c r="E224" i="14"/>
  <c r="I224" i="14" s="1"/>
  <c r="L224" i="14" s="1"/>
  <c r="E221" i="14"/>
  <c r="I221" i="14" s="1"/>
  <c r="L221" i="14" s="1"/>
  <c r="E220" i="14"/>
  <c r="I220" i="14" s="1"/>
  <c r="L220" i="14" s="1"/>
  <c r="E219" i="14"/>
  <c r="K219" i="14" s="1"/>
  <c r="L219" i="14" s="1"/>
  <c r="E217" i="14"/>
  <c r="E218" i="14" s="1"/>
  <c r="G218" i="14" s="1"/>
  <c r="L218" i="14" s="1"/>
  <c r="E215" i="14"/>
  <c r="I215" i="14" s="1"/>
  <c r="L215" i="14" s="1"/>
  <c r="E214" i="14"/>
  <c r="I214" i="14" s="1"/>
  <c r="L214" i="14" s="1"/>
  <c r="E213" i="14"/>
  <c r="I213" i="14" s="1"/>
  <c r="E212" i="14"/>
  <c r="K212" i="14" s="1"/>
  <c r="E211" i="14"/>
  <c r="G211" i="14" s="1"/>
  <c r="E205" i="14"/>
  <c r="G205" i="14" s="1"/>
  <c r="L205" i="14" s="1"/>
  <c r="E204" i="14"/>
  <c r="E207" i="14" s="1"/>
  <c r="I207" i="14" s="1"/>
  <c r="L207" i="14" s="1"/>
  <c r="E201" i="14"/>
  <c r="K201" i="14" s="1"/>
  <c r="L201" i="14" s="1"/>
  <c r="D201" i="14"/>
  <c r="E200" i="14"/>
  <c r="G200" i="14" s="1"/>
  <c r="L200" i="14" s="1"/>
  <c r="E199" i="14"/>
  <c r="E203" i="14" s="1"/>
  <c r="I203" i="14" s="1"/>
  <c r="L203" i="14" s="1"/>
  <c r="E198" i="14"/>
  <c r="I198" i="14" s="1"/>
  <c r="L198" i="14" s="1"/>
  <c r="E197" i="14"/>
  <c r="I197" i="14" s="1"/>
  <c r="L197" i="14" s="1"/>
  <c r="E196" i="14"/>
  <c r="K196" i="14" s="1"/>
  <c r="L196" i="14" s="1"/>
  <c r="E195" i="14"/>
  <c r="G195" i="14" s="1"/>
  <c r="L195" i="14" s="1"/>
  <c r="E194" i="14"/>
  <c r="D188" i="14"/>
  <c r="E180" i="14"/>
  <c r="E183" i="14" s="1"/>
  <c r="I183" i="14" s="1"/>
  <c r="L183" i="14" s="1"/>
  <c r="E159" i="14"/>
  <c r="I159" i="14" s="1"/>
  <c r="L159" i="14" s="1"/>
  <c r="E156" i="14"/>
  <c r="G156" i="14" s="1"/>
  <c r="L156" i="14" s="1"/>
  <c r="E155" i="14"/>
  <c r="E158" i="14" s="1"/>
  <c r="I158" i="14" s="1"/>
  <c r="L158" i="14" s="1"/>
  <c r="D154" i="14"/>
  <c r="D153" i="14"/>
  <c r="D152" i="14"/>
  <c r="D151" i="14"/>
  <c r="D150" i="14"/>
  <c r="E149" i="14"/>
  <c r="E153" i="14" s="1"/>
  <c r="K153" i="14" s="1"/>
  <c r="L153" i="14" s="1"/>
  <c r="E145" i="14"/>
  <c r="E146" i="14" s="1"/>
  <c r="G146" i="14" s="1"/>
  <c r="L146" i="14" s="1"/>
  <c r="E144" i="14"/>
  <c r="K144" i="14" s="1"/>
  <c r="L144" i="14" s="1"/>
  <c r="E143" i="14"/>
  <c r="I143" i="14" s="1"/>
  <c r="L143" i="14" s="1"/>
  <c r="E140" i="14"/>
  <c r="E173" i="14" s="1"/>
  <c r="E139" i="14"/>
  <c r="I139" i="14" s="1"/>
  <c r="L139" i="14" s="1"/>
  <c r="D139" i="14"/>
  <c r="D138" i="14"/>
  <c r="E137" i="14"/>
  <c r="I137" i="14" s="1"/>
  <c r="L137" i="14" s="1"/>
  <c r="D137" i="14"/>
  <c r="D136" i="14"/>
  <c r="E135" i="14"/>
  <c r="G135" i="14" s="1"/>
  <c r="L135" i="14" s="1"/>
  <c r="E134" i="14"/>
  <c r="E138" i="14" s="1"/>
  <c r="I138" i="14" s="1"/>
  <c r="L138" i="14" s="1"/>
  <c r="E133" i="14"/>
  <c r="I133" i="14" s="1"/>
  <c r="L133" i="14" s="1"/>
  <c r="E132" i="14"/>
  <c r="I132" i="14" s="1"/>
  <c r="L132" i="14" s="1"/>
  <c r="E131" i="14"/>
  <c r="I131" i="14" s="1"/>
  <c r="L131" i="14" s="1"/>
  <c r="E130" i="14"/>
  <c r="K130" i="14" s="1"/>
  <c r="L130" i="14" s="1"/>
  <c r="E129" i="14"/>
  <c r="G129" i="14" s="1"/>
  <c r="L129" i="14" s="1"/>
  <c r="E126" i="14"/>
  <c r="I126" i="14" s="1"/>
  <c r="L126" i="14" s="1"/>
  <c r="E125" i="14"/>
  <c r="I125" i="14" s="1"/>
  <c r="L125" i="14" s="1"/>
  <c r="E124" i="14"/>
  <c r="G124" i="14" s="1"/>
  <c r="L124" i="14" s="1"/>
  <c r="E122" i="14"/>
  <c r="I122" i="14" s="1"/>
  <c r="L122" i="14" s="1"/>
  <c r="E121" i="14"/>
  <c r="I121" i="14" s="1"/>
  <c r="L121" i="14" s="1"/>
  <c r="E120" i="14"/>
  <c r="K120" i="14" s="1"/>
  <c r="L120" i="14" s="1"/>
  <c r="E119" i="14"/>
  <c r="G119" i="14" s="1"/>
  <c r="L119" i="14" s="1"/>
  <c r="E117" i="14"/>
  <c r="I117" i="14" s="1"/>
  <c r="L117" i="14" s="1"/>
  <c r="E116" i="14"/>
  <c r="K116" i="14" s="1"/>
  <c r="L116" i="14" s="1"/>
  <c r="E115" i="14"/>
  <c r="G115" i="14" s="1"/>
  <c r="L115" i="14" s="1"/>
  <c r="E113" i="14"/>
  <c r="I113" i="14" s="1"/>
  <c r="L113" i="14" s="1"/>
  <c r="E112" i="14"/>
  <c r="I112" i="14" s="1"/>
  <c r="L112" i="14" s="1"/>
  <c r="E111" i="14"/>
  <c r="K111" i="14" s="1"/>
  <c r="L111" i="14" s="1"/>
  <c r="E110" i="14"/>
  <c r="G110" i="14" s="1"/>
  <c r="L110" i="14" s="1"/>
  <c r="E107" i="14"/>
  <c r="I107" i="14" s="1"/>
  <c r="L107" i="14" s="1"/>
  <c r="E105" i="14"/>
  <c r="G105" i="14" s="1"/>
  <c r="L105" i="14" s="1"/>
  <c r="E104" i="14"/>
  <c r="E106" i="14" s="1"/>
  <c r="K106" i="14" s="1"/>
  <c r="L106" i="14" s="1"/>
  <c r="D103" i="14"/>
  <c r="D102" i="14"/>
  <c r="D101" i="14"/>
  <c r="E99" i="14"/>
  <c r="I99" i="14" s="1"/>
  <c r="L99" i="14" s="1"/>
  <c r="E96" i="14"/>
  <c r="K96" i="14" s="1"/>
  <c r="L96" i="14" s="1"/>
  <c r="E95" i="14"/>
  <c r="G95" i="14" s="1"/>
  <c r="L95" i="14" s="1"/>
  <c r="E94" i="14"/>
  <c r="E98" i="14" s="1"/>
  <c r="I98" i="14" s="1"/>
  <c r="L98" i="14" s="1"/>
  <c r="E93" i="14"/>
  <c r="I93" i="14" s="1"/>
  <c r="L93" i="14" s="1"/>
  <c r="E90" i="14"/>
  <c r="I90" i="14" s="1"/>
  <c r="L90" i="14" s="1"/>
  <c r="E89" i="14"/>
  <c r="I89" i="14" s="1"/>
  <c r="L89" i="14" s="1"/>
  <c r="E88" i="14"/>
  <c r="I88" i="14" s="1"/>
  <c r="L88" i="14" s="1"/>
  <c r="E87" i="14"/>
  <c r="K87" i="14" s="1"/>
  <c r="L87" i="14" s="1"/>
  <c r="E86" i="14"/>
  <c r="G86" i="14" s="1"/>
  <c r="L86" i="14" s="1"/>
  <c r="E85" i="14"/>
  <c r="E92" i="14" s="1"/>
  <c r="I92" i="14" s="1"/>
  <c r="L92" i="14" s="1"/>
  <c r="E83" i="14"/>
  <c r="I83" i="14" s="1"/>
  <c r="L83" i="14" s="1"/>
  <c r="I82" i="14"/>
  <c r="L82" i="14" s="1"/>
  <c r="I81" i="14"/>
  <c r="L81" i="14" s="1"/>
  <c r="E80" i="14"/>
  <c r="I80" i="14" s="1"/>
  <c r="L80" i="14" s="1"/>
  <c r="E79" i="14"/>
  <c r="I79" i="14" s="1"/>
  <c r="L79" i="14" s="1"/>
  <c r="E78" i="14"/>
  <c r="I78" i="14" s="1"/>
  <c r="L78" i="14" s="1"/>
  <c r="E77" i="14"/>
  <c r="I77" i="14" s="1"/>
  <c r="L77" i="14" s="1"/>
  <c r="E76" i="14"/>
  <c r="K76" i="14" s="1"/>
  <c r="L76" i="14" s="1"/>
  <c r="E75" i="14"/>
  <c r="G75" i="14" s="1"/>
  <c r="L75" i="14" s="1"/>
  <c r="E73" i="14"/>
  <c r="I73" i="14" s="1"/>
  <c r="L73" i="14" s="1"/>
  <c r="I72" i="14"/>
  <c r="L72" i="14" s="1"/>
  <c r="I71" i="14"/>
  <c r="L71" i="14" s="1"/>
  <c r="E70" i="14"/>
  <c r="I70" i="14" s="1"/>
  <c r="L70" i="14" s="1"/>
  <c r="E69" i="14"/>
  <c r="I69" i="14" s="1"/>
  <c r="L69" i="14" s="1"/>
  <c r="E68" i="14"/>
  <c r="I68" i="14" s="1"/>
  <c r="L68" i="14" s="1"/>
  <c r="E67" i="14"/>
  <c r="I67" i="14" s="1"/>
  <c r="L67" i="14" s="1"/>
  <c r="E66" i="14"/>
  <c r="I66" i="14" s="1"/>
  <c r="L66" i="14" s="1"/>
  <c r="E65" i="14"/>
  <c r="K65" i="14" s="1"/>
  <c r="L65" i="14" s="1"/>
  <c r="E64" i="14"/>
  <c r="G64" i="14" s="1"/>
  <c r="L64" i="14" s="1"/>
  <c r="E62" i="14"/>
  <c r="I62" i="14" s="1"/>
  <c r="L62" i="14" s="1"/>
  <c r="I61" i="14"/>
  <c r="L61" i="14" s="1"/>
  <c r="I60" i="14"/>
  <c r="L60" i="14" s="1"/>
  <c r="E59" i="14"/>
  <c r="I59" i="14" s="1"/>
  <c r="L59" i="14" s="1"/>
  <c r="E58" i="14"/>
  <c r="I58" i="14" s="1"/>
  <c r="L58" i="14" s="1"/>
  <c r="E57" i="14"/>
  <c r="I57" i="14" s="1"/>
  <c r="L57" i="14" s="1"/>
  <c r="E56" i="14"/>
  <c r="I56" i="14" s="1"/>
  <c r="L56" i="14" s="1"/>
  <c r="E55" i="14"/>
  <c r="I55" i="14" s="1"/>
  <c r="L55" i="14" s="1"/>
  <c r="E54" i="14"/>
  <c r="K54" i="14" s="1"/>
  <c r="L54" i="14" s="1"/>
  <c r="E53" i="14"/>
  <c r="G53" i="14" s="1"/>
  <c r="L53" i="14" s="1"/>
  <c r="E51" i="14"/>
  <c r="I51" i="14" s="1"/>
  <c r="L51" i="14" s="1"/>
  <c r="I50" i="14"/>
  <c r="L50" i="14" s="1"/>
  <c r="E50" i="14"/>
  <c r="I49" i="14"/>
  <c r="L49" i="14" s="1"/>
  <c r="E48" i="14"/>
  <c r="I48" i="14" s="1"/>
  <c r="L48" i="14" s="1"/>
  <c r="D48" i="14"/>
  <c r="E47" i="14"/>
  <c r="I47" i="14" s="1"/>
  <c r="L47" i="14" s="1"/>
  <c r="E46" i="14"/>
  <c r="I46" i="14" s="1"/>
  <c r="L46" i="14" s="1"/>
  <c r="E45" i="14"/>
  <c r="I45" i="14" s="1"/>
  <c r="L45" i="14" s="1"/>
  <c r="E44" i="14"/>
  <c r="I44" i="14" s="1"/>
  <c r="L44" i="14" s="1"/>
  <c r="E43" i="14"/>
  <c r="K43" i="14" s="1"/>
  <c r="L43" i="14" s="1"/>
  <c r="E42" i="14"/>
  <c r="G42" i="14" s="1"/>
  <c r="L42" i="14" s="1"/>
  <c r="E40" i="14"/>
  <c r="I40" i="14" s="1"/>
  <c r="L40" i="14" s="1"/>
  <c r="E39" i="14"/>
  <c r="I39" i="14" s="1"/>
  <c r="L39" i="14" s="1"/>
  <c r="E38" i="14"/>
  <c r="K38" i="14" s="1"/>
  <c r="L38" i="14" s="1"/>
  <c r="E37" i="14"/>
  <c r="G37" i="14" s="1"/>
  <c r="L37" i="14" s="1"/>
  <c r="E35" i="14"/>
  <c r="I35" i="14" s="1"/>
  <c r="L35" i="14" s="1"/>
  <c r="E34" i="14"/>
  <c r="I34" i="14" s="1"/>
  <c r="L34" i="14" s="1"/>
  <c r="E33" i="14"/>
  <c r="G33" i="14" s="1"/>
  <c r="L33" i="14" s="1"/>
  <c r="E31" i="14"/>
  <c r="I31" i="14" s="1"/>
  <c r="L31" i="14" s="1"/>
  <c r="I30" i="14"/>
  <c r="L30" i="14" s="1"/>
  <c r="I29" i="14"/>
  <c r="L29" i="14" s="1"/>
  <c r="E28" i="14"/>
  <c r="I28" i="14" s="1"/>
  <c r="L28" i="14" s="1"/>
  <c r="E27" i="14"/>
  <c r="I27" i="14" s="1"/>
  <c r="L27" i="14" s="1"/>
  <c r="E26" i="14"/>
  <c r="I26" i="14" s="1"/>
  <c r="L26" i="14" s="1"/>
  <c r="E25" i="14"/>
  <c r="K25" i="14" s="1"/>
  <c r="L25" i="14" s="1"/>
  <c r="E24" i="14"/>
  <c r="G24" i="14" s="1"/>
  <c r="L24" i="14" s="1"/>
  <c r="E22" i="14"/>
  <c r="I22" i="14" s="1"/>
  <c r="L22" i="14" s="1"/>
  <c r="E21" i="14"/>
  <c r="I21" i="14" s="1"/>
  <c r="L21" i="14" s="1"/>
  <c r="E20" i="14"/>
  <c r="K20" i="14" s="1"/>
  <c r="L20" i="14" s="1"/>
  <c r="E19" i="14"/>
  <c r="G19" i="14" s="1"/>
  <c r="L19" i="14" s="1"/>
  <c r="E17" i="14"/>
  <c r="I17" i="14" s="1"/>
  <c r="L17" i="14" s="1"/>
  <c r="E13" i="14"/>
  <c r="E14" i="14" s="1"/>
  <c r="G14" i="14" s="1"/>
  <c r="L14" i="14" s="1"/>
  <c r="E11" i="14"/>
  <c r="K11" i="14" s="1"/>
  <c r="L11" i="14" s="1"/>
  <c r="D11" i="14"/>
  <c r="D10" i="14"/>
  <c r="E10" i="14" s="1"/>
  <c r="K10" i="14" s="1"/>
  <c r="L10" i="14" s="1"/>
  <c r="E9" i="14"/>
  <c r="G9" i="14" s="1"/>
  <c r="L9" i="14" s="1"/>
  <c r="D9" i="14"/>
  <c r="E8" i="14"/>
  <c r="G75" i="10" l="1"/>
  <c r="E177" i="14"/>
  <c r="I177" i="14" s="1"/>
  <c r="L177" i="14" s="1"/>
  <c r="E174" i="14"/>
  <c r="G174" i="14" s="1"/>
  <c r="L174" i="14" s="1"/>
  <c r="E179" i="14"/>
  <c r="I179" i="14" s="1"/>
  <c r="L179" i="14" s="1"/>
  <c r="E176" i="14"/>
  <c r="I176" i="14" s="1"/>
  <c r="L176" i="14" s="1"/>
  <c r="E178" i="14"/>
  <c r="I178" i="14" s="1"/>
  <c r="L178" i="14" s="1"/>
  <c r="E175" i="14"/>
  <c r="K175" i="14" s="1"/>
  <c r="L175" i="14" s="1"/>
  <c r="E91" i="14"/>
  <c r="I91" i="14" s="1"/>
  <c r="L91" i="14" s="1"/>
  <c r="E97" i="14"/>
  <c r="I97" i="14" s="1"/>
  <c r="L97" i="14" s="1"/>
  <c r="E108" i="14"/>
  <c r="I108" i="14" s="1"/>
  <c r="L108" i="14" s="1"/>
  <c r="E157" i="14"/>
  <c r="K157" i="14" s="1"/>
  <c r="L157" i="14" s="1"/>
  <c r="E181" i="14"/>
  <c r="G181" i="14" s="1"/>
  <c r="L181" i="14" s="1"/>
  <c r="E202" i="14"/>
  <c r="I202" i="14" s="1"/>
  <c r="L202" i="14" s="1"/>
  <c r="E208" i="14"/>
  <c r="I208" i="14" s="1"/>
  <c r="L208" i="14" s="1"/>
  <c r="E222" i="14"/>
  <c r="I222" i="14" s="1"/>
  <c r="L222" i="14" s="1"/>
  <c r="E241" i="14"/>
  <c r="G241" i="14" s="1"/>
  <c r="L241" i="14" s="1"/>
  <c r="E247" i="14"/>
  <c r="I247" i="14" s="1"/>
  <c r="L247" i="14" s="1"/>
  <c r="E15" i="14"/>
  <c r="K15" i="14" s="1"/>
  <c r="L15" i="14" s="1"/>
  <c r="E100" i="14"/>
  <c r="E136" i="14"/>
  <c r="K136" i="14" s="1"/>
  <c r="L136" i="14" s="1"/>
  <c r="E141" i="14"/>
  <c r="G141" i="14" s="1"/>
  <c r="L141" i="14" s="1"/>
  <c r="E147" i="14"/>
  <c r="K147" i="14" s="1"/>
  <c r="L147" i="14" s="1"/>
  <c r="E150" i="14"/>
  <c r="G150" i="14" s="1"/>
  <c r="L150" i="14" s="1"/>
  <c r="E152" i="14"/>
  <c r="I152" i="14" s="1"/>
  <c r="L152" i="14" s="1"/>
  <c r="E154" i="14"/>
  <c r="I154" i="14" s="1"/>
  <c r="L154" i="14" s="1"/>
  <c r="E160" i="14"/>
  <c r="I160" i="14" s="1"/>
  <c r="L160" i="14" s="1"/>
  <c r="E184" i="14"/>
  <c r="I184" i="14" s="1"/>
  <c r="L184" i="14" s="1"/>
  <c r="E225" i="14"/>
  <c r="E238" i="14"/>
  <c r="G238" i="14" s="1"/>
  <c r="L238" i="14" s="1"/>
  <c r="E255" i="14"/>
  <c r="G255" i="14" s="1"/>
  <c r="L255" i="14" s="1"/>
  <c r="E206" i="14"/>
  <c r="K206" i="14" s="1"/>
  <c r="L206" i="14" s="1"/>
  <c r="E245" i="14"/>
  <c r="K245" i="14" s="1"/>
  <c r="L245" i="14" s="1"/>
  <c r="E186" i="14"/>
  <c r="E182" i="14"/>
  <c r="I182" i="14" s="1"/>
  <c r="L182" i="14" s="1"/>
  <c r="E209" i="14"/>
  <c r="I209" i="14" s="1"/>
  <c r="L209" i="14" s="1"/>
  <c r="E223" i="14"/>
  <c r="I223" i="14" s="1"/>
  <c r="L223" i="14" s="1"/>
  <c r="E16" i="14"/>
  <c r="I16" i="14" s="1"/>
  <c r="L16" i="14" s="1"/>
  <c r="E142" i="14"/>
  <c r="K142" i="14" s="1"/>
  <c r="L142" i="14" s="1"/>
  <c r="E148" i="14"/>
  <c r="I148" i="14" s="1"/>
  <c r="L148" i="14" s="1"/>
  <c r="E161" i="14"/>
  <c r="E185" i="14"/>
  <c r="I185" i="14" s="1"/>
  <c r="L185" i="14" s="1"/>
  <c r="E151" i="14"/>
  <c r="K151" i="14" s="1"/>
  <c r="L151" i="14" s="1"/>
  <c r="E170" i="17"/>
  <c r="K170" i="17" s="1"/>
  <c r="L170" i="17" s="1"/>
  <c r="E171" i="17"/>
  <c r="I171" i="17" s="1"/>
  <c r="L171" i="17" s="1"/>
  <c r="E176" i="17"/>
  <c r="I176" i="17" s="1"/>
  <c r="L176" i="17" s="1"/>
  <c r="E221" i="17"/>
  <c r="I221" i="17" s="1"/>
  <c r="L221" i="17" s="1"/>
  <c r="L211" i="14"/>
  <c r="L212" i="14"/>
  <c r="L213" i="14"/>
  <c r="K75" i="10"/>
  <c r="L23" i="10"/>
  <c r="L25" i="10"/>
  <c r="I75" i="10"/>
  <c r="L76" i="10" s="1"/>
  <c r="L22" i="10"/>
  <c r="L75" i="10" s="1"/>
  <c r="E87" i="17"/>
  <c r="I87" i="17" s="1"/>
  <c r="L87" i="17" s="1"/>
  <c r="E218" i="17"/>
  <c r="I218" i="17" s="1"/>
  <c r="L218" i="17" s="1"/>
  <c r="E89" i="17"/>
  <c r="I89" i="17" s="1"/>
  <c r="L89" i="17" s="1"/>
  <c r="E204" i="17"/>
  <c r="G204" i="17" s="1"/>
  <c r="L204" i="17" s="1"/>
  <c r="E211" i="17"/>
  <c r="G211" i="17" s="1"/>
  <c r="L211" i="17" s="1"/>
  <c r="E108" i="17"/>
  <c r="K108" i="17" s="1"/>
  <c r="L108" i="17" s="1"/>
  <c r="E212" i="17"/>
  <c r="K212" i="17" s="1"/>
  <c r="L212" i="17" s="1"/>
  <c r="E205" i="17"/>
  <c r="K205" i="17" s="1"/>
  <c r="L205" i="17" s="1"/>
  <c r="E213" i="17"/>
  <c r="I213" i="17" s="1"/>
  <c r="L213" i="17" s="1"/>
  <c r="E110" i="17"/>
  <c r="I110" i="17" s="1"/>
  <c r="L110" i="17" s="1"/>
  <c r="E172" i="17"/>
  <c r="I172" i="17" s="1"/>
  <c r="L172" i="17" s="1"/>
  <c r="E226" i="17"/>
  <c r="G226" i="17" s="1"/>
  <c r="L226" i="17" s="1"/>
  <c r="E228" i="17"/>
  <c r="I228" i="17" s="1"/>
  <c r="L228" i="17" s="1"/>
  <c r="E64" i="17"/>
  <c r="K64" i="17" s="1"/>
  <c r="L64" i="17" s="1"/>
  <c r="E208" i="17"/>
  <c r="I208" i="17" s="1"/>
  <c r="L208" i="17" s="1"/>
  <c r="E229" i="17"/>
  <c r="I229" i="17" s="1"/>
  <c r="L229" i="17" s="1"/>
  <c r="E88" i="17"/>
  <c r="I88" i="17" s="1"/>
  <c r="L88" i="17" s="1"/>
  <c r="E175" i="17"/>
  <c r="I175" i="17" s="1"/>
  <c r="L175" i="17" s="1"/>
  <c r="E230" i="17"/>
  <c r="I230" i="17" s="1"/>
  <c r="L230" i="17" s="1"/>
  <c r="L13" i="17"/>
  <c r="E61" i="17"/>
  <c r="G61" i="17" s="1"/>
  <c r="L61" i="17" s="1"/>
  <c r="E133" i="17"/>
  <c r="I135" i="17"/>
  <c r="L135" i="17" s="1"/>
  <c r="L18" i="17"/>
  <c r="E73" i="17"/>
  <c r="K73" i="17" s="1"/>
  <c r="L73" i="17" s="1"/>
  <c r="E75" i="17"/>
  <c r="I75" i="17" s="1"/>
  <c r="L75" i="17" s="1"/>
  <c r="E72" i="17"/>
  <c r="G72" i="17" s="1"/>
  <c r="L72" i="17" s="1"/>
  <c r="E74" i="17"/>
  <c r="I74" i="17" s="1"/>
  <c r="L74" i="17" s="1"/>
  <c r="E129" i="17"/>
  <c r="I129" i="17" s="1"/>
  <c r="L129" i="17" s="1"/>
  <c r="E131" i="17"/>
  <c r="I131" i="17" s="1"/>
  <c r="L131" i="17" s="1"/>
  <c r="E128" i="17"/>
  <c r="K128" i="17" s="1"/>
  <c r="L128" i="17" s="1"/>
  <c r="E130" i="17"/>
  <c r="I130" i="17" s="1"/>
  <c r="L130" i="17" s="1"/>
  <c r="E127" i="17"/>
  <c r="G127" i="17" s="1"/>
  <c r="L127" i="17" s="1"/>
  <c r="E177" i="17"/>
  <c r="I181" i="17"/>
  <c r="L181" i="17" s="1"/>
  <c r="E66" i="17"/>
  <c r="K66" i="17" s="1"/>
  <c r="L66" i="17" s="1"/>
  <c r="E90" i="17"/>
  <c r="E173" i="17"/>
  <c r="I173" i="17" s="1"/>
  <c r="L173" i="17" s="1"/>
  <c r="E214" i="17"/>
  <c r="I214" i="17" s="1"/>
  <c r="L214" i="17" s="1"/>
  <c r="E231" i="17"/>
  <c r="I231" i="17" s="1"/>
  <c r="L231" i="17" s="1"/>
  <c r="E243" i="17"/>
  <c r="I243" i="17" s="1"/>
  <c r="L243" i="17" s="1"/>
  <c r="E241" i="17"/>
  <c r="G241" i="17" s="1"/>
  <c r="L241" i="17" s="1"/>
  <c r="E143" i="17"/>
  <c r="G143" i="17" s="1"/>
  <c r="L143" i="17" s="1"/>
  <c r="E150" i="17"/>
  <c r="G150" i="17" s="1"/>
  <c r="L150" i="17" s="1"/>
  <c r="E206" i="17"/>
  <c r="I206" i="17" s="1"/>
  <c r="L206" i="17" s="1"/>
  <c r="E232" i="17"/>
  <c r="E244" i="17"/>
  <c r="I244" i="17" s="1"/>
  <c r="L244" i="17" s="1"/>
  <c r="E83" i="17"/>
  <c r="K83" i="17" s="1"/>
  <c r="L83" i="17" s="1"/>
  <c r="E242" i="17"/>
  <c r="K242" i="17" s="1"/>
  <c r="L242" i="17" s="1"/>
  <c r="L165" i="18"/>
  <c r="I189" i="18"/>
  <c r="L189" i="18" s="1"/>
  <c r="L115" i="18"/>
  <c r="I118" i="18"/>
  <c r="L12" i="18"/>
  <c r="E48" i="18"/>
  <c r="K48" i="18" s="1"/>
  <c r="L48" i="18" s="1"/>
  <c r="E36" i="18"/>
  <c r="G36" i="18" s="1"/>
  <c r="L36" i="18" s="1"/>
  <c r="E47" i="18"/>
  <c r="G47" i="18" s="1"/>
  <c r="L47" i="18" s="1"/>
  <c r="E42" i="18"/>
  <c r="K42" i="18" s="1"/>
  <c r="L42" i="18" s="1"/>
  <c r="E52" i="18"/>
  <c r="G52" i="18" s="1"/>
  <c r="L52" i="18" s="1"/>
  <c r="L112" i="18"/>
  <c r="L10" i="18"/>
  <c r="E11" i="18"/>
  <c r="K11" i="18" s="1"/>
  <c r="E37" i="18"/>
  <c r="K37" i="18" s="1"/>
  <c r="L37" i="18" s="1"/>
  <c r="E23" i="18"/>
  <c r="I23" i="18" s="1"/>
  <c r="L23" i="18" s="1"/>
  <c r="E41" i="18"/>
  <c r="G41" i="18" s="1"/>
  <c r="L41" i="18" s="1"/>
  <c r="K188" i="18"/>
  <c r="G188" i="18"/>
  <c r="L192" i="18" s="1"/>
  <c r="I192" i="18" s="1"/>
  <c r="I188" i="18"/>
  <c r="L155" i="18"/>
  <c r="L77" i="10" l="1"/>
  <c r="E191" i="14"/>
  <c r="I191" i="14" s="1"/>
  <c r="L191" i="14" s="1"/>
  <c r="E188" i="14"/>
  <c r="K188" i="14" s="1"/>
  <c r="L188" i="14" s="1"/>
  <c r="E189" i="14"/>
  <c r="I189" i="14" s="1"/>
  <c r="L189" i="14" s="1"/>
  <c r="E190" i="14"/>
  <c r="I190" i="14" s="1"/>
  <c r="L190" i="14" s="1"/>
  <c r="E192" i="14"/>
  <c r="I192" i="14" s="1"/>
  <c r="L192" i="14" s="1"/>
  <c r="E187" i="14"/>
  <c r="G187" i="14" s="1"/>
  <c r="L187" i="14" s="1"/>
  <c r="E230" i="14"/>
  <c r="I230" i="14" s="1"/>
  <c r="L230" i="14" s="1"/>
  <c r="E227" i="14"/>
  <c r="K227" i="14" s="1"/>
  <c r="L227" i="14" s="1"/>
  <c r="E229" i="14"/>
  <c r="I229" i="14" s="1"/>
  <c r="L229" i="14" s="1"/>
  <c r="E226" i="14"/>
  <c r="G226" i="14" s="1"/>
  <c r="L226" i="14" s="1"/>
  <c r="E228" i="14"/>
  <c r="I228" i="14" s="1"/>
  <c r="L228" i="14" s="1"/>
  <c r="E165" i="14"/>
  <c r="I165" i="14" s="1"/>
  <c r="L165" i="14" s="1"/>
  <c r="E162" i="14"/>
  <c r="G162" i="14" s="1"/>
  <c r="L162" i="14" s="1"/>
  <c r="E167" i="14"/>
  <c r="I167" i="14" s="1"/>
  <c r="L167" i="14" s="1"/>
  <c r="E164" i="14"/>
  <c r="I164" i="14" s="1"/>
  <c r="L164" i="14" s="1"/>
  <c r="E166" i="14"/>
  <c r="I166" i="14" s="1"/>
  <c r="L166" i="14" s="1"/>
  <c r="E163" i="14"/>
  <c r="K163" i="14" s="1"/>
  <c r="L163" i="14" s="1"/>
  <c r="E168" i="14"/>
  <c r="E103" i="14"/>
  <c r="I103" i="14" s="1"/>
  <c r="L103" i="14" s="1"/>
  <c r="E101" i="14"/>
  <c r="G101" i="14" s="1"/>
  <c r="E102" i="14"/>
  <c r="K102" i="14" s="1"/>
  <c r="L78" i="10"/>
  <c r="L79" i="10" s="1"/>
  <c r="E140" i="17"/>
  <c r="I140" i="17" s="1"/>
  <c r="L140" i="17" s="1"/>
  <c r="E138" i="17"/>
  <c r="I138" i="17" s="1"/>
  <c r="L138" i="17" s="1"/>
  <c r="E141" i="17"/>
  <c r="K141" i="17" s="1"/>
  <c r="L141" i="17" s="1"/>
  <c r="E67" i="17"/>
  <c r="I67" i="17" s="1"/>
  <c r="L67" i="17" s="1"/>
  <c r="E65" i="17"/>
  <c r="K65" i="17" s="1"/>
  <c r="L65" i="17" s="1"/>
  <c r="E134" i="17"/>
  <c r="G134" i="17" s="1"/>
  <c r="L134" i="17" s="1"/>
  <c r="E185" i="17"/>
  <c r="I185" i="17" s="1"/>
  <c r="L185" i="17" s="1"/>
  <c r="E178" i="17"/>
  <c r="G178" i="17" s="1"/>
  <c r="L178" i="17" s="1"/>
  <c r="E180" i="17"/>
  <c r="K180" i="17" s="1"/>
  <c r="L180" i="17" s="1"/>
  <c r="E184" i="17"/>
  <c r="I184" i="17" s="1"/>
  <c r="L184" i="17" s="1"/>
  <c r="E179" i="17"/>
  <c r="K179" i="17" s="1"/>
  <c r="L179" i="17" s="1"/>
  <c r="E239" i="17"/>
  <c r="I239" i="17" s="1"/>
  <c r="L239" i="17" s="1"/>
  <c r="E233" i="17"/>
  <c r="G233" i="17" s="1"/>
  <c r="L233" i="17" s="1"/>
  <c r="E238" i="17"/>
  <c r="I238" i="17" s="1"/>
  <c r="L238" i="17" s="1"/>
  <c r="E235" i="17"/>
  <c r="K235" i="17" s="1"/>
  <c r="L235" i="17" s="1"/>
  <c r="E234" i="17"/>
  <c r="K234" i="17" s="1"/>
  <c r="L234" i="17" s="1"/>
  <c r="E91" i="17"/>
  <c r="G91" i="17" s="1"/>
  <c r="E92" i="17"/>
  <c r="K92" i="17" s="1"/>
  <c r="E99" i="17"/>
  <c r="I99" i="17" s="1"/>
  <c r="L99" i="17" s="1"/>
  <c r="E93" i="17"/>
  <c r="K93" i="17" s="1"/>
  <c r="L93" i="17" s="1"/>
  <c r="E98" i="17"/>
  <c r="I98" i="17" s="1"/>
  <c r="L98" i="17" s="1"/>
  <c r="K190" i="18"/>
  <c r="L190" i="18" s="1"/>
  <c r="E55" i="18"/>
  <c r="I55" i="18" s="1"/>
  <c r="L55" i="18" s="1"/>
  <c r="G117" i="18"/>
  <c r="G121" i="18" s="1"/>
  <c r="L121" i="18" s="1"/>
  <c r="E53" i="18"/>
  <c r="I53" i="18" s="1"/>
  <c r="L53" i="18" s="1"/>
  <c r="E54" i="18"/>
  <c r="K54" i="18" s="1"/>
  <c r="L54" i="18" s="1"/>
  <c r="L188" i="18"/>
  <c r="L11" i="18"/>
  <c r="L102" i="14" l="1"/>
  <c r="L101" i="14"/>
  <c r="E171" i="14"/>
  <c r="I171" i="14" s="1"/>
  <c r="L171" i="14" s="1"/>
  <c r="E170" i="14"/>
  <c r="K170" i="14" s="1"/>
  <c r="L170" i="14" s="1"/>
  <c r="E172" i="14"/>
  <c r="I172" i="14" s="1"/>
  <c r="L172" i="14" s="1"/>
  <c r="E169" i="14"/>
  <c r="G169" i="14" s="1"/>
  <c r="L169" i="14" s="1"/>
  <c r="L80" i="10"/>
  <c r="L81" i="10" s="1"/>
  <c r="D12" i="4" s="1"/>
  <c r="L92" i="17"/>
  <c r="K246" i="17"/>
  <c r="L91" i="17"/>
  <c r="G246" i="17"/>
  <c r="I246" i="17"/>
  <c r="L247" i="17" s="1"/>
  <c r="L191" i="18"/>
  <c r="L193" i="18" s="1"/>
  <c r="L194" i="18" s="1"/>
  <c r="L195" i="18" s="1"/>
  <c r="L117" i="18"/>
  <c r="K117" i="18"/>
  <c r="I117" i="18"/>
  <c r="L246" i="17" l="1"/>
  <c r="L248" i="17" s="1"/>
  <c r="I268" i="14"/>
  <c r="G268" i="14"/>
  <c r="L269" i="14" s="1"/>
  <c r="L268" i="14"/>
  <c r="K268" i="14"/>
  <c r="K119" i="18"/>
  <c r="L270" i="14" l="1"/>
  <c r="L271" i="14" s="1"/>
  <c r="L272" i="14" s="1"/>
  <c r="L273" i="14" s="1"/>
  <c r="L274" i="14" s="1"/>
  <c r="D11" i="4" s="1"/>
  <c r="L249" i="17"/>
  <c r="L250" i="17" s="1"/>
  <c r="L119" i="18"/>
  <c r="L120" i="18" s="1"/>
  <c r="L122" i="18" s="1"/>
  <c r="L251" i="17" l="1"/>
  <c r="L252" i="17" s="1"/>
  <c r="D14" i="4" s="1"/>
  <c r="L123" i="18"/>
  <c r="L124" i="18" s="1"/>
  <c r="L196" i="18" s="1"/>
  <c r="D13" i="4" s="1"/>
  <c r="D15" i="4" l="1"/>
  <c r="D16" i="4" s="1"/>
  <c r="D17" i="4" s="1"/>
  <c r="D18" i="4" s="1"/>
  <c r="D19" i="4" s="1"/>
</calcChain>
</file>

<file path=xl/sharedStrings.xml><?xml version="1.0" encoding="utf-8"?>
<sst xmlns="http://schemas.openxmlformats.org/spreadsheetml/2006/main" count="1593" uniqueCount="452">
  <si>
    <t>#</t>
  </si>
  <si>
    <t>samuSaos dasaxeleba</t>
  </si>
  <si>
    <t>ganz. erT.</t>
  </si>
  <si>
    <t>normatiuli, xarji</t>
  </si>
  <si>
    <t>xelfasi</t>
  </si>
  <si>
    <t>masala</t>
  </si>
  <si>
    <t>manqana meqanizmebi</t>
  </si>
  <si>
    <t>jami</t>
  </si>
  <si>
    <t>erT.</t>
  </si>
  <si>
    <t>sul</t>
  </si>
  <si>
    <t>m3</t>
  </si>
  <si>
    <t>Sromis danaxarji</t>
  </si>
  <si>
    <t>მ3</t>
  </si>
  <si>
    <t>t</t>
  </si>
  <si>
    <t>manqanebi</t>
  </si>
  <si>
    <t>lari</t>
  </si>
  <si>
    <t>sxva masalebi</t>
  </si>
  <si>
    <t>m2</t>
  </si>
  <si>
    <t>kg</t>
  </si>
  <si>
    <t>lursmani</t>
  </si>
  <si>
    <t>cali</t>
  </si>
  <si>
    <t>c</t>
  </si>
  <si>
    <t>g.m.</t>
  </si>
  <si>
    <t>grZ.m.</t>
  </si>
  <si>
    <t>_manqanebi</t>
  </si>
  <si>
    <t>kompl</t>
  </si>
  <si>
    <t>100m3</t>
  </si>
  <si>
    <t xml:space="preserve">Sromis danaxarji  </t>
  </si>
  <si>
    <t>k/sT</t>
  </si>
  <si>
    <t>kac-sT</t>
  </si>
  <si>
    <t>sxva manqanebi</t>
  </si>
  <si>
    <r>
      <t>m</t>
    </r>
    <r>
      <rPr>
        <vertAlign val="superscript"/>
        <sz val="10"/>
        <rFont val="AcadNusx"/>
      </rPr>
      <t>3</t>
    </r>
  </si>
  <si>
    <t xml:space="preserve">manqanebi    </t>
  </si>
  <si>
    <t>man</t>
  </si>
  <si>
    <t>m</t>
  </si>
  <si>
    <t xml:space="preserve">Sromis danaxarjebi     </t>
  </si>
  <si>
    <t xml:space="preserve">Sromis danaxarjebi </t>
  </si>
  <si>
    <t>kac/sT</t>
  </si>
  <si>
    <t>xis masala</t>
  </si>
  <si>
    <t>kompl.</t>
  </si>
  <si>
    <t xml:space="preserve">sxva manqana </t>
  </si>
  <si>
    <t>masala:</t>
  </si>
  <si>
    <t>sxva masala</t>
  </si>
  <si>
    <t>grZ.m</t>
  </si>
  <si>
    <t xml:space="preserve">sxva manqana  </t>
  </si>
  <si>
    <r>
      <t xml:space="preserve">polipropilenis mili fitingebiT, gadamyvanebiT da samagrebiT </t>
    </r>
    <r>
      <rPr>
        <sz val="10"/>
        <rFont val="Arial"/>
        <family val="2"/>
        <charset val="204"/>
      </rPr>
      <t>Ø20x2.8</t>
    </r>
  </si>
  <si>
    <t>Sromis danaxarjebi</t>
  </si>
  <si>
    <t>erTklaviSiani CamrTveli 10a. 250v.</t>
  </si>
  <si>
    <t>sxva manqana</t>
  </si>
  <si>
    <t>webo-cementi</t>
  </si>
  <si>
    <r>
      <t xml:space="preserve">gamanawilebeli kolofi </t>
    </r>
    <r>
      <rPr>
        <sz val="10"/>
        <rFont val="Arial"/>
        <family val="2"/>
        <charset val="204"/>
      </rPr>
      <t/>
    </r>
  </si>
  <si>
    <t xml:space="preserve">CamrTveli erTklaviSiani </t>
  </si>
  <si>
    <t>samagri</t>
  </si>
  <si>
    <t>komp.</t>
  </si>
  <si>
    <r>
      <t>Camketi ventili</t>
    </r>
    <r>
      <rPr>
        <sz val="10"/>
        <rFont val="Arial"/>
        <family val="2"/>
        <charset val="204"/>
      </rPr>
      <t xml:space="preserve"> DN</t>
    </r>
    <r>
      <rPr>
        <sz val="10"/>
        <rFont val="AcadNusx"/>
      </rPr>
      <t>20</t>
    </r>
  </si>
  <si>
    <r>
      <t>Camketi ventili</t>
    </r>
    <r>
      <rPr>
        <sz val="10"/>
        <rFont val="Arial"/>
        <family val="2"/>
        <charset val="204"/>
      </rPr>
      <t xml:space="preserve"> DN</t>
    </r>
    <r>
      <rPr>
        <sz val="10"/>
        <rFont val="AcadNusx"/>
      </rPr>
      <t>25</t>
    </r>
  </si>
  <si>
    <t>foladis miltuCi</t>
  </si>
  <si>
    <t>WanWiki qanCiT</t>
  </si>
  <si>
    <r>
      <t xml:space="preserve">kanalizaciis </t>
    </r>
    <r>
      <rPr>
        <sz val="10"/>
        <rFont val="Cambria"/>
        <family val="1"/>
      </rPr>
      <t>PVC</t>
    </r>
    <r>
      <rPr>
        <sz val="10"/>
        <rFont val="AcadNusx"/>
      </rPr>
      <t xml:space="preserve"> mili sqelkedliani, fitingebiT da samagrebiT</t>
    </r>
    <r>
      <rPr>
        <sz val="10"/>
        <rFont val="Calibri"/>
        <family val="2"/>
      </rPr>
      <t xml:space="preserve">   Ø50mm</t>
    </r>
  </si>
  <si>
    <r>
      <t xml:space="preserve">kanalizaciis </t>
    </r>
    <r>
      <rPr>
        <b/>
        <sz val="10"/>
        <rFont val="Cambria"/>
        <family val="1"/>
      </rPr>
      <t>PVC</t>
    </r>
    <r>
      <rPr>
        <b/>
        <sz val="10"/>
        <rFont val="AcadNusx"/>
      </rPr>
      <t xml:space="preserve"> mili sqelkedliani, fitingebiT,  da samagrebiT</t>
    </r>
    <r>
      <rPr>
        <b/>
        <sz val="10"/>
        <rFont val="Calibri"/>
        <family val="2"/>
      </rPr>
      <t xml:space="preserve">   Ø50mm</t>
    </r>
  </si>
  <si>
    <r>
      <t>ukusarqveli</t>
    </r>
    <r>
      <rPr>
        <sz val="10"/>
        <rFont val="Arial"/>
        <family val="2"/>
        <charset val="204"/>
      </rPr>
      <t xml:space="preserve"> </t>
    </r>
  </si>
  <si>
    <r>
      <t>tivtiva sarqveli</t>
    </r>
    <r>
      <rPr>
        <sz val="10"/>
        <rFont val="Arial"/>
        <family val="2"/>
        <charset val="204"/>
      </rPr>
      <t xml:space="preserve"> </t>
    </r>
  </si>
  <si>
    <r>
      <t xml:space="preserve">polipropilenis milebi, TboizolaciiT (sisqe 10 mm),  gadamyvanebiTa, fitingebiT da samagrebiT, </t>
    </r>
    <r>
      <rPr>
        <b/>
        <sz val="10"/>
        <rFont val="Arial"/>
        <family val="2"/>
        <charset val="204"/>
      </rPr>
      <t>Ø20x2.8</t>
    </r>
  </si>
  <si>
    <t>eleqtro rozeti 250v.</t>
  </si>
  <si>
    <t>karada avtomaturi amomrTvelebiT</t>
  </si>
  <si>
    <t xml:space="preserve">zednadebi xarji </t>
  </si>
  <si>
    <t>satransporto xarji (masalebis Rirebulebidan)</t>
  </si>
  <si>
    <t>satransporto xarjebi masalaze</t>
  </si>
  <si>
    <t>zednadebi xarjebi montaJze</t>
  </si>
  <si>
    <t xml:space="preserve">gegmiuri mogeba </t>
  </si>
  <si>
    <t>mSeneblobis Rirebulebis krebsiTi saxarjTaRricxvo gaangariSeba</t>
  </si>
  <si>
    <t>rigiTi #</t>
  </si>
  <si>
    <t>xarjT. #</t>
  </si>
  <si>
    <t>Tavebis, obieqtebis, samuSaoebisa da danaxarjebis dasaxeleba</t>
  </si>
  <si>
    <t>saerTo saxarjTaRicxvo Rirebuleba lari</t>
  </si>
  <si>
    <t>1</t>
  </si>
  <si>
    <t>2</t>
  </si>
  <si>
    <t>3</t>
  </si>
  <si>
    <t>8</t>
  </si>
  <si>
    <t>Tavi 2</t>
  </si>
  <si>
    <t>mSeneblobis ZiriTadi obieqtebi</t>
  </si>
  <si>
    <t>xarjT. #1-1</t>
  </si>
  <si>
    <t xml:space="preserve">jami </t>
  </si>
  <si>
    <t xml:space="preserve">jami  </t>
  </si>
  <si>
    <t>Dd R g _18%</t>
  </si>
  <si>
    <t>sul krebsiTi xarjTaRricxviT</t>
  </si>
  <si>
    <t xml:space="preserve">zednadebi xarjebi </t>
  </si>
  <si>
    <t xml:space="preserve">gegmiuri dagroveba </t>
  </si>
  <si>
    <t>el.qselis mowyobis samuSaoebi</t>
  </si>
  <si>
    <t>xarjTaRricxva #1-1</t>
  </si>
  <si>
    <t>xarjTaRricxva #1-3</t>
  </si>
  <si>
    <t>შრომის დანახარჯი 2.78*1.2*1.15</t>
  </si>
  <si>
    <t>კაც.სთ</t>
  </si>
  <si>
    <t>საძირკვლის მოწყობის შემგდეგ უკუ ჩაყრა და ზედნეტი გრუნტის მოსწორება ტერიტორიაზე</t>
  </si>
  <si>
    <t>შრომის დანახარჯი 0.99*1.2*1.15</t>
  </si>
  <si>
    <t>შრომის დანახარჯი (6.42+1.97)X1,2*1.15=</t>
  </si>
  <si>
    <t>მანქანები 0.385X1,2*1.25=</t>
  </si>
  <si>
    <t>ლარი</t>
  </si>
  <si>
    <t>კგ</t>
  </si>
  <si>
    <t>სხვადასხვა მასალა</t>
  </si>
  <si>
    <t>ც</t>
  </si>
  <si>
    <t>შრომის დანახარჯი 1,54*1,2*1.15=</t>
  </si>
  <si>
    <t>მანქანები  0,09X1,2*1.25</t>
  </si>
  <si>
    <t>ცალი</t>
  </si>
  <si>
    <t>მონოლითური რ/ბეტონის საკანალიზაციო ჭის რგოლები ზომით დ=1.5 მ,  H=1,0მ -ანაკრები კონსტრუქცია</t>
  </si>
  <si>
    <t>qviSis transportireba</t>
  </si>
  <si>
    <r>
      <t>Camketi ventilebi wylis temperaturis  0-100º</t>
    </r>
    <r>
      <rPr>
        <b/>
        <sz val="10"/>
        <rFont val="Arial"/>
        <family val="2"/>
        <charset val="204"/>
      </rPr>
      <t>C</t>
    </r>
    <r>
      <rPr>
        <b/>
        <sz val="10"/>
        <rFont val="AcadNusx"/>
      </rPr>
      <t xml:space="preserve"> da wnevis 10 atm-de samuSaod, saWiro misaerTebeli fitingebiT d=20,25mm</t>
    </r>
  </si>
  <si>
    <t>SromiTi resursebi</t>
  </si>
  <si>
    <t>materialuri resursi</t>
  </si>
  <si>
    <t>Robis saZirkvlebi</t>
  </si>
  <si>
    <t>wertilovani saZirkvlebisTvis gruntis damuSaveba da adgilze mosworeba 40X60X40 sm</t>
  </si>
  <si>
    <t>_</t>
  </si>
  <si>
    <t>_Sromis danaxarji</t>
  </si>
  <si>
    <t>_betoni b15</t>
  </si>
  <si>
    <t>_xis masala</t>
  </si>
  <si>
    <t>kb.m</t>
  </si>
  <si>
    <t>_sxva masalebi</t>
  </si>
  <si>
    <t>Robis mowyoba</t>
  </si>
  <si>
    <t>eleqtrodi</t>
  </si>
  <si>
    <t>საღებავი ანტიკოროზიული</t>
  </si>
  <si>
    <t>ოლიფა</t>
  </si>
  <si>
    <t>100m</t>
  </si>
  <si>
    <t xml:space="preserve">Sromis danaxarjebi    </t>
  </si>
  <si>
    <t xml:space="preserve">manqanebi   </t>
  </si>
  <si>
    <t xml:space="preserve">kvamlis  deteqtori </t>
  </si>
  <si>
    <t xml:space="preserve">xelis sagangaSo Rilaki </t>
  </si>
  <si>
    <t>maT Soris: mowyobiloba</t>
  </si>
  <si>
    <t>წყალ-კანალიზაციის mowyobis samuSaoebi</t>
  </si>
  <si>
    <t>ტერიტორიის კეთილმოწყობის samuSaoebi</t>
  </si>
  <si>
    <t>qviSa-xreSis safuZvlis mowyoba</t>
  </si>
  <si>
    <t>qviSa-xreSi</t>
  </si>
  <si>
    <t>teritoriaze balastis safaris mowyoba</t>
  </si>
  <si>
    <t>kub.m.</t>
  </si>
  <si>
    <t>avtogreideri 79kvt.</t>
  </si>
  <si>
    <t>m/sT</t>
  </si>
  <si>
    <t>sagzao mtkep. TviTm. pnev.svlaze 18t.</t>
  </si>
  <si>
    <t>-</t>
  </si>
  <si>
    <t>manq./sT.</t>
  </si>
  <si>
    <t>sxvadasxva meqanizmebi</t>
  </si>
  <si>
    <t>balasti</t>
  </si>
  <si>
    <t>rezervi gauTvaliswinebel samuSaoebze - 5%</t>
  </si>
  <si>
    <t>sul jami (ელექტრობა+სუსტი დენი):</t>
  </si>
  <si>
    <t>სარწყავი მანქანა</t>
  </si>
  <si>
    <t>სხვა მასალა</t>
  </si>
  <si>
    <t>სხვა მანქანები</t>
  </si>
  <si>
    <t>kv.m.</t>
  </si>
  <si>
    <t>sxva xarjebi</t>
  </si>
  <si>
    <t>gruntis moWra damuSaveba eqskavatoriT da adgilze mosworebiT</t>
  </si>
  <si>
    <r>
      <t>m</t>
    </r>
    <r>
      <rPr>
        <vertAlign val="superscript"/>
        <sz val="10"/>
        <rFont val="AcadNusx"/>
      </rPr>
      <t>2</t>
    </r>
  </si>
  <si>
    <t>avtomaturi amomrTveli 10a 1 polusa (susti denebis)</t>
  </si>
  <si>
    <t>avtomaturi amomrTveli 16a 1 polusa (Sida ganaTeba)</t>
  </si>
  <si>
    <t>komp</t>
  </si>
  <si>
    <t>damiwebis glinula 18mm galvanizirebuli</t>
  </si>
  <si>
    <t>WanWiki qanCiT da sayeluriT</t>
  </si>
  <si>
    <t>spilenZis kabelebi</t>
  </si>
  <si>
    <t>gofrirebuli mili d-16 cecxlgamZle</t>
  </si>
  <si>
    <t>eleqtro rozeti damiwebis kontaqtiT 250v.</t>
  </si>
  <si>
    <t xml:space="preserve">saxanZro/dacvis paneli. </t>
  </si>
  <si>
    <t>ელექტრო წყალgamacxelebeli 50l (Termeqsi)</t>
  </si>
  <si>
    <t>unitazi avziT, sruli kompleqtaciiT (Camketi ventiliT “arko”, drekadi SlangiT, samagri elementebiT  da sxva saWiro fitingebiT da masalebiT)</t>
  </si>
  <si>
    <t>liTonis SeRebva antikoroziuli 
saRebaviT 2-jer</t>
  </si>
  <si>
    <t>gamanawilebeli kolofi gare ganaTebis lampionebisTvis</t>
  </si>
  <si>
    <r>
      <t>gegmiuri mogeba</t>
    </r>
    <r>
      <rPr>
        <sz val="10"/>
        <rFont val="Calibri"/>
        <family val="2"/>
        <charset val="204"/>
        <scheme val="minor"/>
      </rPr>
      <t xml:space="preserve"> </t>
    </r>
  </si>
  <si>
    <t>vertikaluri farda Jaluzis mowyoba -yavisferi feris</t>
  </si>
  <si>
    <t>vertikaluri farda-Jaluzi (kompleqtSi) -yavisferi feris</t>
  </si>
  <si>
    <t>amwe savtomobile 25t.</t>
  </si>
  <si>
    <r>
      <t>m</t>
    </r>
    <r>
      <rPr>
        <b/>
        <vertAlign val="superscript"/>
        <sz val="10"/>
        <rFont val="AcadNusx"/>
      </rPr>
      <t>2</t>
    </r>
  </si>
  <si>
    <t xml:space="preserve">liTonis karebebis SeRebva zeTovani saRebaviT </t>
  </si>
  <si>
    <t>olifa</t>
  </si>
  <si>
    <t>safiTxni</t>
  </si>
  <si>
    <t xml:space="preserve">sagrunti </t>
  </si>
  <si>
    <t>xsnartumbo</t>
  </si>
  <si>
    <t>tona</t>
  </si>
  <si>
    <t>liTonis karebi - aqsesuarebiT (anjamebi,saketebi)</t>
  </si>
  <si>
    <t>liTonis kari - aqsesuarebiT (anjamebi,saketebi)</t>
  </si>
  <si>
    <t>liTonis damxmare konstruqciebi</t>
  </si>
  <si>
    <t>samSeneblo WanWiki</t>
  </si>
  <si>
    <t xml:space="preserve">dekoratiuli cementi </t>
  </si>
  <si>
    <t>fiTxi</t>
  </si>
  <si>
    <t>webo pva</t>
  </si>
  <si>
    <t xml:space="preserve">keramogranitis filebi </t>
  </si>
  <si>
    <t xml:space="preserve">kedlebis damuSaveba fiTxiT </t>
  </si>
  <si>
    <t>saxuravis xis konstruqciebis mowyoba (nivnivebi, iribanebi, dgarebi)</t>
  </si>
  <si>
    <t>man/sT</t>
  </si>
  <si>
    <t>samSeneblo lursmani</t>
  </si>
  <si>
    <t>antiseptikuri da antisaxanZro pasta</t>
  </si>
  <si>
    <t>toli</t>
  </si>
  <si>
    <t>mavTuli glinula</t>
  </si>
  <si>
    <t>molartyvis mowyoba</t>
  </si>
  <si>
    <t>3. kedlebi</t>
  </si>
  <si>
    <t>qviSa yviTeli</t>
  </si>
  <si>
    <r>
      <rPr>
        <b/>
        <sz val="10"/>
        <rFont val="Calibri"/>
        <family val="2"/>
        <charset val="204"/>
        <scheme val="minor"/>
      </rPr>
      <t>5</t>
    </r>
    <r>
      <rPr>
        <b/>
        <sz val="10"/>
        <rFont val="AcadNusx"/>
      </rPr>
      <t>. კარ-ფანჯრების mowyoba</t>
    </r>
  </si>
  <si>
    <t>samSeneblo nagvis datvirTva a/manqanebze</t>
  </si>
  <si>
    <t xml:space="preserve">samSeneblo nagvis gatana 15km-ze </t>
  </si>
  <si>
    <t>fasadis kedelze dekoratiuli lesvis (miunxeni) mowyoba</t>
  </si>
  <si>
    <t>xis ficari 3sm</t>
  </si>
  <si>
    <t>ficari Camoganuli III ხარისხის sisq. 25-32 mm</t>
  </si>
  <si>
    <t>ოფისის samSeneblo samuSaoebi</t>
  </si>
  <si>
    <t>mogeba</t>
  </si>
  <si>
    <t>_metalis mza Robe (kompleqti-ix.proeqti)</t>
  </si>
  <si>
    <t>metalis Robe 2.3 m simaRlis Robe (kompleqti: samagri ZelakebiT-SeRebili, uJangavi mavTulxlarTiT da damWeri aqsesuarebiT-ix. proeqti)</t>
  </si>
  <si>
    <t>liTonis WiSkrebis SeRebva antikoroziuli saRebaviT 2-jer</t>
  </si>
  <si>
    <t>WanWiki, sayeluri da qanCi</t>
  </si>
  <si>
    <t>milkvadrati</t>
  </si>
  <si>
    <t>liTonis WiSkrebis mowyoba 
(kompleqtSi Sedis safexmavlo da samanqano kari-milkvadratebiT, anjamebiT, saketebiT)</t>
  </si>
  <si>
    <t>foladis mili d=102 mm; sisqiT 4 mm</t>
  </si>
  <si>
    <t xml:space="preserve">WiSkris saZirkvlebisTvis gruntis damuSaveba da adgilze mosworeba </t>
  </si>
  <si>
    <t>WiSkris saZirkvlebis mowyoba</t>
  </si>
  <si>
    <t>metaloplastmasis კარის montaJi</t>
  </si>
  <si>
    <t xml:space="preserve">cementis moWimvis mowyoba sisqiT 40mm </t>
  </si>
  <si>
    <t>6. სხვა სამუშოაები</t>
  </si>
  <si>
    <t>2. saxuravi</t>
  </si>
  <si>
    <t>1. რკინაბეტონის კარკასის mowyoba</t>
  </si>
  <si>
    <t>gr/m</t>
  </si>
  <si>
    <t>Sromis xarji</t>
  </si>
  <si>
    <t>samagri elementebi</t>
  </si>
  <si>
    <t>cal</t>
  </si>
  <si>
    <t xml:space="preserve">wyalSemkrebi Raris mowyoba </t>
  </si>
  <si>
    <t xml:space="preserve">wyalSemkrebi Rari </t>
  </si>
  <si>
    <t>Zabri feradi rulonuri Tunuqisagan</t>
  </si>
  <si>
    <r>
      <t>m</t>
    </r>
    <r>
      <rPr>
        <vertAlign val="superscript"/>
        <sz val="9"/>
        <rFont val="AcadNusx"/>
      </rPr>
      <t>3</t>
    </r>
  </si>
  <si>
    <t>yalibis fari 25-40(mm)</t>
  </si>
  <si>
    <t>yalibis ficari IIxar 40-60mm</t>
  </si>
  <si>
    <t>tn</t>
  </si>
  <si>
    <r>
      <t xml:space="preserve">mon.rk/betonis svetebis  mowyoba bet. </t>
    </r>
    <r>
      <rPr>
        <b/>
        <sz val="9"/>
        <rFont val="Times New Roman"/>
        <family val="1"/>
        <charset val="204"/>
      </rPr>
      <t>B</t>
    </r>
    <r>
      <rPr>
        <b/>
        <sz val="9"/>
        <rFont val="AcadNusx"/>
      </rPr>
      <t>25</t>
    </r>
  </si>
  <si>
    <t>yalibis ficari IIIxar 40-60mm</t>
  </si>
  <si>
    <r>
      <t>m</t>
    </r>
    <r>
      <rPr>
        <b/>
        <vertAlign val="superscript"/>
        <sz val="9"/>
        <rFont val="AcadNusx"/>
      </rPr>
      <t>2</t>
    </r>
  </si>
  <si>
    <t xml:space="preserve">moWiquli filebi-kafeli </t>
  </si>
  <si>
    <t>4. iatakebi და ჭერები</t>
  </si>
  <si>
    <t>xarjT. #1-2</t>
  </si>
  <si>
    <t>xarjT. #1-3</t>
  </si>
  <si>
    <t>xarjT. #1-4</t>
  </si>
  <si>
    <t>xarjTaRricxva #1-2</t>
  </si>
  <si>
    <t>xarjTaRricxva #1-4</t>
  </si>
  <si>
    <r>
      <t>m</t>
    </r>
    <r>
      <rPr>
        <b/>
        <vertAlign val="superscript"/>
        <sz val="9"/>
        <rFont val="AcadNusx"/>
      </rPr>
      <t>3</t>
    </r>
  </si>
  <si>
    <r>
      <t>eqskavatori 0,65 m</t>
    </r>
    <r>
      <rPr>
        <vertAlign val="superscript"/>
        <sz val="9"/>
        <rFont val="AcadNusx"/>
      </rPr>
      <t>3</t>
    </r>
  </si>
  <si>
    <t>სaძირკველი</t>
  </si>
  <si>
    <t>betonis momzadeba saZirkvlebis qveS sisq. 6sm</t>
  </si>
  <si>
    <r>
      <t>mon. r/b lenturi saZirkveli betoni ~</t>
    </r>
    <r>
      <rPr>
        <b/>
        <sz val="10"/>
        <rFont val="Times New Roman"/>
        <family val="1"/>
        <charset val="204"/>
      </rPr>
      <t>B</t>
    </r>
    <r>
      <rPr>
        <b/>
        <sz val="10"/>
        <rFont val="AcadNusx"/>
      </rPr>
      <t>25~</t>
    </r>
  </si>
  <si>
    <r>
      <t>betoni ~</t>
    </r>
    <r>
      <rPr>
        <sz val="10"/>
        <rFont val="Cambria"/>
        <family val="1"/>
        <charset val="204"/>
        <scheme val="major"/>
      </rPr>
      <t>B25</t>
    </r>
    <r>
      <rPr>
        <sz val="10"/>
        <rFont val="AcadNusx"/>
      </rPr>
      <t>~</t>
    </r>
  </si>
  <si>
    <t>yalibis fari 25mm.</t>
  </si>
  <si>
    <t>proeq.</t>
  </si>
  <si>
    <r>
      <t>mon. r/b gadaxurvis fila betoni ~</t>
    </r>
    <r>
      <rPr>
        <b/>
        <sz val="10"/>
        <rFont val="Times New Roman"/>
        <family val="1"/>
        <charset val="204"/>
      </rPr>
      <t>B</t>
    </r>
    <r>
      <rPr>
        <b/>
        <sz val="10"/>
        <rFont val="AcadNusx"/>
      </rPr>
      <t>25~</t>
    </r>
  </si>
  <si>
    <t>yalibis ficari IIx. 25-32mm-iani</t>
  </si>
  <si>
    <r>
      <t>mon. r/b rigelebi betoni ~</t>
    </r>
    <r>
      <rPr>
        <b/>
        <sz val="10"/>
        <rFont val="Times New Roman"/>
        <family val="1"/>
        <charset val="204"/>
      </rPr>
      <t>B</t>
    </r>
    <r>
      <rPr>
        <b/>
        <sz val="10"/>
        <rFont val="AcadNusx"/>
      </rPr>
      <t>25~</t>
    </r>
  </si>
  <si>
    <t>yalibis fari</t>
  </si>
  <si>
    <r>
      <t>betoni ~</t>
    </r>
    <r>
      <rPr>
        <sz val="10"/>
        <rFont val="Calibri"/>
        <family val="2"/>
        <charset val="204"/>
        <scheme val="minor"/>
      </rPr>
      <t>B2</t>
    </r>
    <r>
      <rPr>
        <sz val="10"/>
        <rFont val="AcadNusx"/>
      </rPr>
      <t>5~</t>
    </r>
  </si>
  <si>
    <t>betonis iatakis armireba</t>
  </si>
  <si>
    <t>kg.</t>
  </si>
  <si>
    <t xml:space="preserve">wyalmimRebi milebis mowyoba </t>
  </si>
  <si>
    <t>feradi wyalSemkrebi Zabrebis mowyoba</t>
  </si>
  <si>
    <r>
      <t>m</t>
    </r>
    <r>
      <rPr>
        <b/>
        <vertAlign val="superscript"/>
        <sz val="10"/>
        <color theme="1"/>
        <rFont val="AcadNusx"/>
      </rPr>
      <t>2</t>
    </r>
  </si>
  <si>
    <t xml:space="preserve"> </t>
  </si>
  <si>
    <t xml:space="preserve">manqanebi </t>
  </si>
  <si>
    <t>qv/cementis xsnari ~m100~</t>
  </si>
  <si>
    <t xml:space="preserve">blokis tixrebis mowyoba sisq. 10sm.               </t>
  </si>
  <si>
    <t>kv.m</t>
  </si>
  <si>
    <t xml:space="preserve">kedlebis mowyoba samSeneblo blokiT </t>
  </si>
  <si>
    <t>samSeneblo bloki kedlis  39X19X10</t>
  </si>
  <si>
    <t>SromiTi resursebi 101X1,16=</t>
  </si>
  <si>
    <t>qv/cementis xsnari( 0,26+2,12)X1,05=</t>
  </si>
  <si>
    <t>xsnaris tumbo 4,1X1,15=</t>
  </si>
  <si>
    <t xml:space="preserve">kedlebze keramogranitis gakvra </t>
  </si>
  <si>
    <t xml:space="preserve">SromiTi resursebi </t>
  </si>
  <si>
    <t xml:space="preserve">webo-cementi </t>
  </si>
  <si>
    <t xml:space="preserve">Sida kedlebis Selesva qv/cementis xsnariT </t>
  </si>
  <si>
    <t>kar-fanjrebis ferdebis  lesva qv/cementis  xsnariT sig. 30sm</t>
  </si>
  <si>
    <t>qv/cementis xsnari 1:3</t>
  </si>
  <si>
    <t xml:space="preserve">fasadis lesva qv/cementis  xsnariT </t>
  </si>
  <si>
    <t>dekoratiuli baTqaSi</t>
  </si>
  <si>
    <t xml:space="preserve">fasadis silkonis saRebavi </t>
  </si>
  <si>
    <t xml:space="preserve">silikoniani saRebavi </t>
  </si>
  <si>
    <t>fasadis SeRebva fasadis silikoniani saRebaviT</t>
  </si>
  <si>
    <t>Sida kedlebis SeRebva silikoniani saRebaviT</t>
  </si>
  <si>
    <t>nestgamZle amstrongis Sekiduli Weris mowyoba</t>
  </si>
  <si>
    <t>nestgamZle amstrongis Sekiduli Weri (kompleqtSi)</t>
  </si>
  <si>
    <t>qv/cementis xsnari 2,04+0,51X6=</t>
  </si>
  <si>
    <t>keramogranitis filebis dageba iatakze webocementze</t>
  </si>
  <si>
    <t>keramogranitis filebis Rirebuleba</t>
  </si>
  <si>
    <t>qarxnulad damuSavebuli Tunuqis sisq.0,4mm Rirebuleba</t>
  </si>
  <si>
    <t>TviTmWreli xraxni</t>
  </si>
  <si>
    <t xml:space="preserve">metaloplastmasis rafebis  mowyoba </t>
  </si>
  <si>
    <t xml:space="preserve">metaloplastmasis rafebis Rirebuleba </t>
  </si>
  <si>
    <t xml:space="preserve"> metaloplastmasis fanjrebis  mowyoba </t>
  </si>
  <si>
    <t>Tunuqis sacremleebis siganiT 15 sm mowyoba qarxnulad damuSavebuli Tunuqisgan sisq.0,4mm</t>
  </si>
  <si>
    <t>inventaruli xaraCoebis mowyoba da daSla</t>
  </si>
  <si>
    <t>kac.-sT</t>
  </si>
  <si>
    <t>xaraCos liTonis elementebi</t>
  </si>
  <si>
    <t>xaraCos xis elementebi</t>
  </si>
  <si>
    <t>fenilis fari</t>
  </si>
  <si>
    <r>
      <t>betoni ~</t>
    </r>
    <r>
      <rPr>
        <sz val="10"/>
        <rFont val="Calibri"/>
        <family val="2"/>
        <charset val="204"/>
        <scheme val="minor"/>
      </rPr>
      <t>B2</t>
    </r>
    <r>
      <rPr>
        <sz val="10"/>
        <rFont val="AcadNusx"/>
      </rPr>
      <t>0~</t>
    </r>
  </si>
  <si>
    <t>Senobis გარშემო sarinelis (sisqiT 10 sm) betonis filiთ მოწყობა</t>
  </si>
  <si>
    <t>gruntis მოჭრა და damuSaveba adgilze mosworebiT</t>
  </si>
  <si>
    <t>ღორღის (ფრაქციით 40-70 მმ) safuZvlis mowyoba, datkepniT</t>
  </si>
  <si>
    <t>ღორღი ბუნებრივი მარკით, ფრაქცია 40-70 მმ</t>
  </si>
  <si>
    <r>
      <t>betoni ~</t>
    </r>
    <r>
      <rPr>
        <sz val="10"/>
        <rFont val="Cambria"/>
        <family val="1"/>
        <charset val="204"/>
      </rPr>
      <t>B7,5</t>
    </r>
    <r>
      <rPr>
        <sz val="10"/>
        <rFont val="AcadNusx"/>
      </rPr>
      <t>~</t>
    </r>
  </si>
  <si>
    <t>armatura დ=8მმ</t>
  </si>
  <si>
    <t>armatura დ=10მმ</t>
  </si>
  <si>
    <t>armatura დ=12მმ</t>
  </si>
  <si>
    <t>armatura დ=18მმ</t>
  </si>
  <si>
    <r>
      <t>mon. r/betonis parapetiს betoni ~</t>
    </r>
    <r>
      <rPr>
        <b/>
        <sz val="10"/>
        <rFont val="Times New Roman"/>
        <family val="1"/>
        <charset val="204"/>
      </rPr>
      <t>B</t>
    </r>
    <r>
      <rPr>
        <b/>
        <sz val="10"/>
        <rFont val="AcadNusx"/>
      </rPr>
      <t>25~</t>
    </r>
  </si>
  <si>
    <t>samSeneblo bloki kedlis  39X19X30</t>
  </si>
  <si>
    <t>palastmasis bade</t>
  </si>
  <si>
    <r>
      <t xml:space="preserve">saizolacio masala </t>
    </r>
    <r>
      <rPr>
        <sz val="10"/>
        <rFont val="Calibri"/>
        <family val="2"/>
        <charset val="204"/>
        <scheme val="minor"/>
      </rPr>
      <t>XPS სისქით 30 მმ</t>
    </r>
  </si>
  <si>
    <r>
      <t xml:space="preserve">ფასადის kedlebze (არა პარაპეტზე) izolacia </t>
    </r>
    <r>
      <rPr>
        <b/>
        <sz val="10"/>
        <rFont val="Calibri"/>
        <family val="2"/>
        <charset val="204"/>
        <scheme val="minor"/>
      </rPr>
      <t>XPS</t>
    </r>
    <r>
      <rPr>
        <b/>
        <sz val="10"/>
        <rFont val="AcadNusx"/>
      </rPr>
      <t>-is (sisqiT 30mm) mowoba</t>
    </r>
  </si>
  <si>
    <t>saxuravis daxurva qarxnulad SeRebili profilirebuli Tunuqisagan sisqiT 0.45 mm</t>
  </si>
  <si>
    <t>qarxnulad SeRebili profilirebuli Tunuqi sisqiT 0.45 mm</t>
  </si>
  <si>
    <t>saxuravis parapetis da sapireebis Semosva qarxnulad SeRebili Tunuqis furclebiT sisq. 0,45mm</t>
  </si>
  <si>
    <t>qarxnulad SeRebili Tunuqis furclebis sisq. 0,45mm</t>
  </si>
  <si>
    <t>wyalmimRebi mili-feradi oTxkuTxedi</t>
  </si>
  <si>
    <t>molartyvis konstruqciebis damuSaveba antiseptikuri da antisaxanZro xsnariT</t>
  </si>
  <si>
    <t>zeTovani saRebavi - antikoroziuli</t>
  </si>
  <si>
    <t>metaloplastmasis კარი - feradi პროფილით</t>
  </si>
  <si>
    <t>kotejis ასენიზაციის ორმოს მოწყობის samSeneblo samuSaoebi</t>
  </si>
  <si>
    <t>გრუნტის უკუჩაყრა</t>
  </si>
  <si>
    <t>მონოლითური რ/ბეტონის საკანალიზაციო ჭის რგოლები ზომით დ=1.0 მ,  H=1,0მ -ანაკრები კონსტრუქცია</t>
  </si>
  <si>
    <t xml:space="preserve"> გარე საპირფარეშოს ასენიზაციის ორმოს მოწყობის samSeneblo samuSaoebi</t>
  </si>
  <si>
    <r>
      <t xml:space="preserve">sakanalizacio Webis Tujis luki </t>
    </r>
    <r>
      <rPr>
        <b/>
        <sz val="9"/>
        <rFont val="Times New Roman"/>
        <family val="1"/>
      </rPr>
      <t>Ø</t>
    </r>
    <r>
      <rPr>
        <b/>
        <sz val="9"/>
        <rFont val="AcadNusx"/>
      </rPr>
      <t xml:space="preserve">700 anakrebi rkina/betonis filiT </t>
    </r>
  </si>
  <si>
    <t xml:space="preserve">RorRi fraqcia 20-40 mm </t>
  </si>
  <si>
    <t>RorR-balastis fenilis mowyoba tkepniT</t>
  </si>
  <si>
    <t>ამწე საავტომობილო 10 ტ</t>
  </si>
  <si>
    <t>ganaTebis mowyobis miwis samuSaoebi</t>
  </si>
  <si>
    <t>tranSeas gaTxra eqskavatoriT, muxluxa svlaze, CamCis moc. 0,25kbm</t>
  </si>
  <si>
    <t>eqskavatoris eqspluatacia</t>
  </si>
  <si>
    <t>gruntis  damuSaveba xeliT</t>
  </si>
  <si>
    <t xml:space="preserve">gruntis ukuCayra </t>
  </si>
  <si>
    <t xml:space="preserve">qviSis baliSis mowyoba </t>
  </si>
  <si>
    <t>qviSa bunebrivi Savi</t>
  </si>
  <si>
    <t xml:space="preserve">kabelis Cadeba TxrilSi </t>
  </si>
  <si>
    <t xml:space="preserve">ganaTebis svetebis saZirkvlebi </t>
  </si>
  <si>
    <t xml:space="preserve">sasmeli wylis milebis Cadeba TxrilSi </t>
  </si>
  <si>
    <t>გარე საპირფარეშოს  მოწყობა</t>
  </si>
  <si>
    <t>betoni m-250</t>
  </si>
  <si>
    <t xml:space="preserve">sapirfareSos kabinis liTonis elementebis montaJi da Rirebuleba </t>
  </si>
  <si>
    <t>amwe saavtomobilo 16 t.</t>
  </si>
  <si>
    <t>Sveleri #10</t>
  </si>
  <si>
    <t>liTonis SeRebva antikoroziuli saRebaviT 2-jer</t>
  </si>
  <si>
    <t xml:space="preserve">cementis xsnari m100 </t>
  </si>
  <si>
    <t xml:space="preserve">keramogranitis filebis  dageba </t>
  </si>
  <si>
    <t>keramograniti</t>
  </si>
  <si>
    <t xml:space="preserve">kedlis sendviC paneli sisqiT 40 mm </t>
  </si>
  <si>
    <t>profilebi, polirebuli furclisagan</t>
  </si>
  <si>
    <t>samontaJo elementebi</t>
  </si>
  <si>
    <t xml:space="preserve">saxuravis sendviC paneli sisqiT 40 mm </t>
  </si>
  <si>
    <t>metaloplastmasis karis montaJi</t>
  </si>
  <si>
    <t>metaloplastmasis fanjrebis montaJi</t>
  </si>
  <si>
    <t>sapirfareSos monoliTuri rk/betonis  filis mowyoba gruntze h=0,1m</t>
  </si>
  <si>
    <t xml:space="preserve">kedlebze sendviC-panelebis mowyoba </t>
  </si>
  <si>
    <t xml:space="preserve">cementis moWimvis mowyoba sisqiT 50mm </t>
  </si>
  <si>
    <t>Robis betonis wertilovani saZirkvlebi 40X60X40 sm</t>
  </si>
  <si>
    <t xml:space="preserve">liTon boZis montaJi </t>
  </si>
  <si>
    <t>milkvadrati 80X80X3 mm</t>
  </si>
  <si>
    <t xml:space="preserve">sakanalizacio Webis anakrebi rkina/betonis filiT Tujis xufiT </t>
  </si>
  <si>
    <t>sakanalizacio Webis anakrebi rkina/betonis filiT Tujis xufiT 1,2*1,2m</t>
  </si>
  <si>
    <t>liTonis furceli sisqiT 3 mm</t>
  </si>
  <si>
    <t>wertilovani saZirkvlebisTvis gruntis damuSaveba da adgilze mosworeba 60X100X60 sm</t>
  </si>
  <si>
    <t xml:space="preserve">liTonis ganaTebis boZis Cabetoneba 60X100X60 sm </t>
  </si>
  <si>
    <t xml:space="preserve">foladis mili </t>
  </si>
  <si>
    <t>liTonis furceli sisqiT 4 mm</t>
  </si>
  <si>
    <t>liTonis kavi izolatoriT</t>
  </si>
  <si>
    <t>wylis milis mowyobis samuSaoebi</t>
  </si>
  <si>
    <t xml:space="preserve">gadaxurvis mowyoba sendviC-panelebiT </t>
  </si>
  <si>
    <t>kuTxovana 30X30X2,5 mm</t>
  </si>
  <si>
    <t>metaloplastmasis kari TeTri feris</t>
  </si>
  <si>
    <t>metaloplastmasis fanjara - TeTri feris (გაღება გადმოკიდების კომპლექტით)</t>
  </si>
  <si>
    <t>წყლის რეზერვუარის სადგამის  მოწყობა</t>
  </si>
  <si>
    <t xml:space="preserve">sadgami fexebis Cabetoneba 60X80X60 sm </t>
  </si>
  <si>
    <t>liTonis sadgamis mowyoba</t>
  </si>
  <si>
    <t xml:space="preserve">გრუნტის დამუშავება ჭის მოსაწყობად ხელით </t>
  </si>
  <si>
    <t>aluminis kabelebi</t>
  </si>
  <si>
    <t>saxanZro/dacvis paneli.</t>
  </si>
  <si>
    <t xml:space="preserve">saxanZro  kabeli </t>
  </si>
  <si>
    <t>videosameTvalyureo qseli</t>
  </si>
  <si>
    <t>videokamerebis montaJi da gaSveba-gamarTva</t>
  </si>
  <si>
    <t>proeqtiT</t>
  </si>
  <si>
    <t xml:space="preserve">16 არხიანი NVR ქსელური ვიდეორეგისტრატორი NVR (ქსელური ვიდეო ჩამწერი) </t>
  </si>
  <si>
    <t>kabelebis montaJi gofrirebul milSi gatarebiT</t>
  </si>
  <si>
    <t>paCkordi 1 m</t>
  </si>
  <si>
    <t xml:space="preserve">zednadebi xarjebi  </t>
  </si>
  <si>
    <t>წყლის polipropilenis mili Ø20-25 mm</t>
  </si>
  <si>
    <t>xelsabani SemreviT, sruli kompleqtaciiT (Camketi ventilebiT “arko”, drekadi SlangebiT, sifoniT, samagri elementebiT  da sxva saWiro fitingebiT da masalebiT)</t>
  </si>
  <si>
    <t>wylis 1000 ლ. plastmasis orSriani avzi daTbunebiTa da montaJiT</t>
  </si>
  <si>
    <t xml:space="preserve">orSriani lurj-TeTri (pvc) avzi cilindrul-horizontaluri, sasmeli wylisTvis 1000 ლ.  </t>
  </si>
  <si>
    <t>avzis daTbuneba (folgiani zedapiris mqone minabambis ormagi SriT da ultraiisfer xsivze medegi damWimebiT)</t>
  </si>
  <si>
    <t>samSeneblo WanWiki qanCiT</t>
  </si>
  <si>
    <t>wylis rezervuaris mowyoba</t>
  </si>
  <si>
    <r>
      <t>uku sarqveli da tivtiva sarqveli wylis temperaturis 0-50º</t>
    </r>
    <r>
      <rPr>
        <b/>
        <sz val="10"/>
        <rFont val="Arial"/>
        <family val="2"/>
      </rPr>
      <t>C</t>
    </r>
    <r>
      <rPr>
        <b/>
        <sz val="10"/>
        <rFont val="AcadNusx"/>
      </rPr>
      <t xml:space="preserve"> da wnevis 10 atm-de samuSaod, misaerTebeli fitingebiT da tivtiva sarqveli </t>
    </r>
  </si>
  <si>
    <r>
      <t xml:space="preserve">kanalizaciis </t>
    </r>
    <r>
      <rPr>
        <b/>
        <sz val="10"/>
        <rFont val="Cambria"/>
        <family val="1"/>
      </rPr>
      <t>PVC</t>
    </r>
    <r>
      <rPr>
        <b/>
        <sz val="10"/>
        <rFont val="AcadNusx"/>
      </rPr>
      <t xml:space="preserve"> mili sqelkedliani, fitingebiT,  da samagrebiT</t>
    </r>
    <r>
      <rPr>
        <b/>
        <sz val="10"/>
        <rFont val="Calibri"/>
        <family val="2"/>
      </rPr>
      <t xml:space="preserve">   Ø100mm</t>
    </r>
  </si>
  <si>
    <r>
      <t xml:space="preserve">kanalizaciis </t>
    </r>
    <r>
      <rPr>
        <sz val="10"/>
        <rFont val="Cambria"/>
        <family val="1"/>
      </rPr>
      <t>PVC</t>
    </r>
    <r>
      <rPr>
        <sz val="10"/>
        <rFont val="AcadNusx"/>
      </rPr>
      <t xml:space="preserve"> mili sqelkedliani, fitingebiT da samagrebiT</t>
    </r>
    <r>
      <rPr>
        <sz val="10"/>
        <rFont val="Calibri"/>
        <family val="2"/>
      </rPr>
      <t xml:space="preserve">   Ø100mm</t>
    </r>
  </si>
  <si>
    <t>gofrirebuli kanalizaciis mili d-110 mm mowyoba</t>
  </si>
  <si>
    <t>gofrirebuli kanalizaciis mili d-110 mm</t>
  </si>
  <si>
    <t>trapi d=100mm</t>
  </si>
  <si>
    <r>
      <t>kompiuteris qselis komutatori (</t>
    </r>
    <r>
      <rPr>
        <b/>
        <sz val="10"/>
        <rFont val="Arial"/>
        <family val="2"/>
      </rPr>
      <t>switch)</t>
    </r>
    <r>
      <rPr>
        <b/>
        <sz val="10"/>
        <rFont val="AcadNusx"/>
      </rPr>
      <t xml:space="preserve"> 24 portiani</t>
    </r>
  </si>
  <si>
    <r>
      <t>myari diski videoregistratorisaTvis</t>
    </r>
    <r>
      <rPr>
        <sz val="9"/>
        <rFont val="Times"/>
        <family val="1"/>
      </rPr>
      <t xml:space="preserve"> 6TB</t>
    </r>
  </si>
  <si>
    <t>monitori 22-24 inCi diagonaliT</t>
  </si>
  <si>
    <r>
      <t>uwyveti kvebis bloki akumuliatoriT</t>
    </r>
    <r>
      <rPr>
        <sz val="10"/>
        <rFont val="Arial"/>
        <family val="2"/>
        <charset val="204"/>
      </rPr>
      <t xml:space="preserve"> UPS </t>
    </r>
    <r>
      <rPr>
        <sz val="10"/>
        <rFont val="AcadNusx"/>
      </rPr>
      <t>2</t>
    </r>
    <r>
      <rPr>
        <sz val="10"/>
        <rFont val="Cambria"/>
        <family val="1"/>
        <scheme val="major"/>
      </rPr>
      <t>kVA (2000 VA)</t>
    </r>
  </si>
  <si>
    <r>
      <t xml:space="preserve">paCpaneli 24 portiani </t>
    </r>
    <r>
      <rPr>
        <b/>
        <sz val="10"/>
        <rFont val="Arial"/>
        <family val="2"/>
        <charset val="204"/>
      </rPr>
      <t xml:space="preserve"> CAT6</t>
    </r>
    <r>
      <rPr>
        <b/>
        <sz val="10"/>
        <rFont val="AcadNusx"/>
      </rPr>
      <t xml:space="preserve"> </t>
    </r>
  </si>
  <si>
    <r>
      <t xml:space="preserve">paCpaneli 24 portiani </t>
    </r>
    <r>
      <rPr>
        <sz val="10"/>
        <rFont val="Arial"/>
        <family val="2"/>
        <charset val="204"/>
      </rPr>
      <t xml:space="preserve"> CAT6</t>
    </r>
    <r>
      <rPr>
        <sz val="10"/>
        <rFont val="AcadNusx"/>
      </rPr>
      <t xml:space="preserve"> </t>
    </r>
  </si>
  <si>
    <t>patC-kordi 0.5 m</t>
  </si>
  <si>
    <r>
      <t>sakomunikacio reki 15-</t>
    </r>
    <r>
      <rPr>
        <sz val="10"/>
        <rFont val="Arial"/>
        <family val="2"/>
      </rPr>
      <t>U</t>
    </r>
  </si>
  <si>
    <r>
      <t>sakomunikacio reki 15-</t>
    </r>
    <r>
      <rPr>
        <b/>
        <sz val="10"/>
        <rFont val="Arial"/>
        <family val="2"/>
      </rPr>
      <t>U</t>
    </r>
  </si>
  <si>
    <r>
      <t xml:space="preserve">kabeli </t>
    </r>
    <r>
      <rPr>
        <sz val="10"/>
        <rFont val="Arial"/>
        <family val="2"/>
        <charset val="204"/>
      </rPr>
      <t>RG-6  CAT6</t>
    </r>
  </si>
  <si>
    <r>
      <t>split sistemis kondicioneri 9000</t>
    </r>
    <r>
      <rPr>
        <b/>
        <sz val="9"/>
        <rFont val="Times New Roman"/>
        <family val="1"/>
        <charset val="204"/>
      </rPr>
      <t xml:space="preserve"> BTU</t>
    </r>
  </si>
  <si>
    <t>gofrirebuli mili d-20 samagriT (ultraiisfer sxiv medegi/cecxlgamZle)</t>
  </si>
  <si>
    <t>saxanZro  kabeli 2X2X0,8 mm2</t>
  </si>
  <si>
    <t xml:space="preserve">kvamlis da temperaturis deteqtori </t>
  </si>
  <si>
    <t>sirena cimcimiT</t>
  </si>
  <si>
    <t>saxanZro stendi</t>
  </si>
  <si>
    <t>saxanZro stendi (kompleqti moicavs: 2cali 6 kg cecxlmaqri, erTi bari, ori saTli, bagori da Zalayini)</t>
  </si>
  <si>
    <t>eleqtroba da el.mowyobilobebi</t>
  </si>
  <si>
    <t xml:space="preserve">liTonis karada 6-12 adgiliani Sida montaJis  </t>
  </si>
  <si>
    <t>avtomaturi amomrTveli 16a 2 polusa (rozetebi)</t>
  </si>
  <si>
    <t>avtomaturi amomrTveli 32a 2 polusa (gamaTboblis rozetebi)</t>
  </si>
  <si>
    <t>Senobis damiwebis mowyoba (damiwebis glinula)</t>
  </si>
  <si>
    <t>Senobis damiwebis mowyoba (damiwebis zolovana)</t>
  </si>
  <si>
    <t>gofrirebuli mili d-20 samagriT (cecxlgamZle)</t>
  </si>
  <si>
    <t>gofrirebuli mili d-40 orSriani miwaSi Casadebi</t>
  </si>
  <si>
    <t xml:space="preserve">lampionis led sanaTis mowyoba </t>
  </si>
  <si>
    <t>Sekiduli Weris led sanaTi wertilovani  18vt</t>
  </si>
  <si>
    <t>Sekiduli Weris dioduri sanaTi simZlavre 18vt</t>
  </si>
  <si>
    <t>gamanawilebeli kolofi Sida montaJis</t>
  </si>
  <si>
    <t>kedlis eleqtro radiatori TermostatiT, simZlavre 1 kvt</t>
  </si>
  <si>
    <t>kedlis eleqtro radiatori TermostatiT, simZlavre 1,5 kvt</t>
  </si>
  <si>
    <t>manaTobeli abra - moculobiTi asoebiT, montaJiT</t>
  </si>
  <si>
    <r>
      <t>split sistemis kondicioneri 9000</t>
    </r>
    <r>
      <rPr>
        <sz val="9"/>
        <rFont val="Times New Roman"/>
        <family val="1"/>
        <charset val="204"/>
      </rPr>
      <t xml:space="preserve"> BTU </t>
    </r>
    <r>
      <rPr>
        <sz val="9"/>
        <rFont val="AcadNusx"/>
      </rPr>
      <t>montaJiT</t>
    </r>
  </si>
  <si>
    <t>saxanZro usafrTxoeba</t>
  </si>
  <si>
    <t>avtomaturi amomrTveli 16a 1 polusa (kondecioneri)</t>
  </si>
  <si>
    <t>zolovana 30*4 მმ</t>
  </si>
  <si>
    <r>
      <t xml:space="preserve">karada 4 adgiliani gare montaJis </t>
    </r>
    <r>
      <rPr>
        <b/>
        <sz val="9"/>
        <rFont val="Cambria"/>
        <family val="1"/>
        <scheme val="major"/>
      </rPr>
      <t>IP65-67</t>
    </r>
  </si>
  <si>
    <r>
      <t>avtomaturi amomrTveli</t>
    </r>
    <r>
      <rPr>
        <sz val="9"/>
        <rFont val="Cambria"/>
        <family val="1"/>
        <scheme val="major"/>
      </rPr>
      <t xml:space="preserve"> MCB C 32A</t>
    </r>
    <r>
      <rPr>
        <sz val="9"/>
        <rFont val="AcadNusx"/>
      </rPr>
      <t xml:space="preserve"> 2 polusa (gare ganaTebis)</t>
    </r>
  </si>
  <si>
    <r>
      <t>avtomaturi amomrTveli</t>
    </r>
    <r>
      <rPr>
        <sz val="9"/>
        <rFont val="Cambria"/>
        <family val="1"/>
        <scheme val="major"/>
      </rPr>
      <t xml:space="preserve"> MCB C 16A</t>
    </r>
    <r>
      <rPr>
        <sz val="9"/>
        <rFont val="AcadNusx"/>
      </rPr>
      <t xml:space="preserve"> 1 polusa (wylis tumbo)</t>
    </r>
  </si>
  <si>
    <r>
      <t xml:space="preserve">avtomaturi amomrTveli </t>
    </r>
    <r>
      <rPr>
        <sz val="9"/>
        <rFont val="Cambria"/>
        <family val="1"/>
        <scheme val="major"/>
      </rPr>
      <t xml:space="preserve"> MCB C 32a</t>
    </r>
    <r>
      <rPr>
        <sz val="9"/>
        <rFont val="AcadNusx"/>
      </rPr>
      <t xml:space="preserve"> 2 polusa (sapirfareSo-wyalgamacxeleblisTvis)</t>
    </r>
  </si>
  <si>
    <r>
      <t xml:space="preserve">avtomaturi amomrTveli </t>
    </r>
    <r>
      <rPr>
        <sz val="9"/>
        <rFont val="Cambria"/>
        <family val="1"/>
        <scheme val="major"/>
      </rPr>
      <t xml:space="preserve"> MCB C 63a</t>
    </r>
    <r>
      <rPr>
        <sz val="9"/>
        <rFont val="AcadNusx"/>
      </rPr>
      <t xml:space="preserve"> 2 polusa (SenobaSi Semomavali centraluri)</t>
    </r>
  </si>
  <si>
    <r>
      <t>spilenZis რთულად აალებადი</t>
    </r>
    <r>
      <rPr>
        <sz val="9"/>
        <rFont val="Calibri"/>
        <family val="2"/>
        <scheme val="minor"/>
      </rPr>
      <t xml:space="preserve"> H2XH-FE 180</t>
    </r>
    <r>
      <rPr>
        <sz val="9"/>
        <rFont val="AcadNusx"/>
      </rPr>
      <t xml:space="preserve"> tipis kabeli kveTiT 3X1,5mm2</t>
    </r>
  </si>
  <si>
    <r>
      <t>spilenZis რთულად აალებადი</t>
    </r>
    <r>
      <rPr>
        <sz val="9"/>
        <rFont val="Calibri"/>
        <family val="2"/>
        <scheme val="minor"/>
      </rPr>
      <t xml:space="preserve"> H2XH-FE 180</t>
    </r>
    <r>
      <rPr>
        <sz val="9"/>
        <rFont val="AcadNusx"/>
      </rPr>
      <t xml:space="preserve"> tipis kabeli kveTiT 3X2,5mm2</t>
    </r>
  </si>
  <si>
    <r>
      <t>spilenZis რთულად აალებადი</t>
    </r>
    <r>
      <rPr>
        <sz val="9"/>
        <rFont val="Calibri"/>
        <family val="2"/>
        <scheme val="minor"/>
      </rPr>
      <t xml:space="preserve"> H2XH-FE 180</t>
    </r>
    <r>
      <rPr>
        <sz val="9"/>
        <rFont val="AcadNusx"/>
      </rPr>
      <t xml:space="preserve"> tipis kabeli kveTiT 3X4 mm2</t>
    </r>
  </si>
  <si>
    <r>
      <t>aluminis kabeli</t>
    </r>
    <r>
      <rPr>
        <sz val="9"/>
        <rFont val="Cambria"/>
        <family val="1"/>
        <scheme val="major"/>
      </rPr>
      <t xml:space="preserve"> NAYY </t>
    </r>
    <r>
      <rPr>
        <sz val="9"/>
        <rFont val="AcadNusx"/>
      </rPr>
      <t>tipis</t>
    </r>
    <r>
      <rPr>
        <sz val="9"/>
        <rFont val="Cambria"/>
        <family val="1"/>
        <scheme val="major"/>
      </rPr>
      <t xml:space="preserve"> </t>
    </r>
    <r>
      <rPr>
        <sz val="9"/>
        <rFont val="AcadNusx"/>
      </rPr>
      <t>kveTiT</t>
    </r>
    <r>
      <rPr>
        <sz val="9"/>
        <rFont val="Cambria"/>
        <family val="1"/>
        <scheme val="major"/>
      </rPr>
      <t xml:space="preserve"> </t>
    </r>
    <r>
      <rPr>
        <sz val="9"/>
        <rFont val="AcadNusx"/>
      </rPr>
      <t>3X10+6 mm2</t>
    </r>
  </si>
  <si>
    <r>
      <t xml:space="preserve">lampionis led sanaTi 100 vt; </t>
    </r>
    <r>
      <rPr>
        <sz val="9"/>
        <rFont val="Cambria"/>
        <family val="2"/>
        <scheme val="major"/>
      </rPr>
      <t>IP</t>
    </r>
    <r>
      <rPr>
        <sz val="9"/>
        <rFont val="AcadNusx"/>
      </rPr>
      <t xml:space="preserve">65-67; 4000-6500 </t>
    </r>
    <r>
      <rPr>
        <sz val="9"/>
        <rFont val="Cambria"/>
        <family val="1"/>
        <scheme val="major"/>
      </rPr>
      <t>k</t>
    </r>
  </si>
  <si>
    <r>
      <t xml:space="preserve">gamanawilebeli kolofi gare montaJis </t>
    </r>
    <r>
      <rPr>
        <sz val="9"/>
        <rFont val="Cambria"/>
        <family val="1"/>
        <scheme val="major"/>
      </rPr>
      <t>IP 65-66</t>
    </r>
  </si>
  <si>
    <t>წყლის ტუმბო მონტაჟით</t>
  </si>
  <si>
    <t>წყლის ტუმბო: ერთფაზა, გარე მონტაჟის, აქაჩვა 15 მ, საიზოლაციო წყალმედეგი კარადით</t>
  </si>
  <si>
    <r>
      <t>kompiuteris qselis komutatori (</t>
    </r>
    <r>
      <rPr>
        <sz val="10"/>
        <rFont val="Arial"/>
        <family val="2"/>
      </rPr>
      <t>switch)</t>
    </r>
    <r>
      <rPr>
        <sz val="10"/>
        <rFont val="AcadNusx"/>
      </rPr>
      <t xml:space="preserve"> 24 portiani</t>
    </r>
  </si>
  <si>
    <r>
      <t>uwyveti kvebis bloki akumuliatoriT</t>
    </r>
    <r>
      <rPr>
        <b/>
        <sz val="10"/>
        <rFont val="Arial"/>
        <family val="2"/>
        <charset val="204"/>
      </rPr>
      <t xml:space="preserve"> UPS </t>
    </r>
    <r>
      <rPr>
        <b/>
        <sz val="10"/>
        <rFont val="AcadNusx"/>
      </rPr>
      <t xml:space="preserve">2000 </t>
    </r>
    <r>
      <rPr>
        <b/>
        <sz val="10"/>
        <rFont val="Arial"/>
        <family val="2"/>
        <charset val="204"/>
      </rPr>
      <t>W</t>
    </r>
  </si>
  <si>
    <r>
      <t xml:space="preserve">dRis da Ramis maRali garCevadobis kamera </t>
    </r>
    <r>
      <rPr>
        <sz val="10"/>
        <rFont val="Arial"/>
        <family val="2"/>
        <charset val="204"/>
      </rPr>
      <t xml:space="preserve">IP 4-5 MP; DC 12V, POE, IP66-67 </t>
    </r>
  </si>
  <si>
    <t>სარინელის betonis filis mowyoba sisq. 100mm.</t>
  </si>
  <si>
    <t>metaloplastmasis fanjrebi - ფერადი profiliT</t>
  </si>
  <si>
    <t>keramogranitis plintusis mowyoba simaRliT 7 sm</t>
  </si>
  <si>
    <t>monoliTuri betonis fila 0,00 ნიშნულზე</t>
  </si>
  <si>
    <t>სადემონტაჟო სამუშაოები</t>
  </si>
  <si>
    <t>arsebuli miwiszeda r/betonis konstruqciebis demontaJi</t>
  </si>
  <si>
    <t>ტ</t>
  </si>
  <si>
    <t>obieqtis dasaxeleba: tyibulis მუნიციპალიტეტის სოფელ sawireSi მდებარე მიწის ნაკვეთზე (საკ.კოდი: 39.03.35.191) სსიპ "ეროვნული სატყეო სააგენტო"-ს საქმიანი ეზოს მოწყობa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</si>
</sst>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₾_-;\-* #,##0.00\ _₾_-;_-* &quot;-&quot;??\ _₾_-;_-@_-"/>
    <numFmt numFmtId="164" formatCode="0.000"/>
    <numFmt numFmtId="165" formatCode="0.0"/>
    <numFmt numFmtId="166" formatCode="#,##0.000"/>
    <numFmt numFmtId="167" formatCode="0.0000"/>
    <numFmt numFmtId="168" formatCode="_-* #,##0.00_р_._-;\-* #,##0.00_р_._-;_-* &quot;-&quot;??_р_._-;_-@_-"/>
    <numFmt numFmtId="169" formatCode="#,##0.0000"/>
    <numFmt numFmtId="170" formatCode="#,##0.000;[Red]#,##0.000"/>
    <numFmt numFmtId="171" formatCode="#,##0.00000"/>
    <numFmt numFmtId="172" formatCode="_(* #,##0.00_);_(* \(#,##0.00\);_(* &quot;-&quot;??_);_(@_)"/>
  </numFmts>
  <fonts count="10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AcadNusx"/>
    </font>
    <font>
      <sz val="11"/>
      <color rgb="FFFF0000"/>
      <name val="AcadNusx"/>
    </font>
    <font>
      <sz val="11"/>
      <color theme="1"/>
      <name val="AcadNusx"/>
    </font>
    <font>
      <sz val="10"/>
      <name val="Arial"/>
      <family val="2"/>
    </font>
    <font>
      <b/>
      <sz val="11"/>
      <color theme="1"/>
      <name val="AcadNusx"/>
    </font>
    <font>
      <sz val="12"/>
      <color theme="1"/>
      <name val="AcadNusx"/>
    </font>
    <font>
      <sz val="9"/>
      <color theme="1"/>
      <name val="AcadNusx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name val="AcadNusx"/>
    </font>
    <font>
      <b/>
      <sz val="10"/>
      <name val="Arial"/>
      <family val="2"/>
    </font>
    <font>
      <sz val="9"/>
      <name val="Arial"/>
      <family val="2"/>
    </font>
    <font>
      <sz val="10"/>
      <name val="AcadNusx"/>
    </font>
    <font>
      <b/>
      <sz val="8"/>
      <name val="AcadNusx"/>
    </font>
    <font>
      <b/>
      <sz val="10"/>
      <color theme="1"/>
      <name val="AcadNusx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cadNusx"/>
    </font>
    <font>
      <b/>
      <sz val="9"/>
      <name val="Arial"/>
      <family val="2"/>
      <charset val="204"/>
    </font>
    <font>
      <b/>
      <sz val="11"/>
      <name val="AcadNusx"/>
    </font>
    <font>
      <sz val="9"/>
      <name val="AcadNusx"/>
    </font>
    <font>
      <sz val="11"/>
      <name val="AcadNusx"/>
    </font>
    <font>
      <sz val="10"/>
      <name val="Helv"/>
    </font>
    <font>
      <sz val="8"/>
      <name val="AcadNusx"/>
    </font>
    <font>
      <b/>
      <sz val="9"/>
      <name val="Arial"/>
      <family val="2"/>
    </font>
    <font>
      <sz val="10"/>
      <name val="Arial Cyr"/>
      <family val="2"/>
      <charset val="204"/>
    </font>
    <font>
      <b/>
      <vertAlign val="superscript"/>
      <sz val="10"/>
      <name val="AcadNusx"/>
    </font>
    <font>
      <b/>
      <sz val="10"/>
      <name val="Calibri"/>
      <family val="2"/>
    </font>
    <font>
      <sz val="10"/>
      <name val="Calibri"/>
      <family val="2"/>
    </font>
    <font>
      <vertAlign val="superscript"/>
      <sz val="10"/>
      <name val="AcadNusx"/>
    </font>
    <font>
      <b/>
      <sz val="10"/>
      <name val="Arial"/>
      <family val="2"/>
      <charset val="204"/>
    </font>
    <font>
      <b/>
      <sz val="10"/>
      <name val="Helv"/>
    </font>
    <font>
      <sz val="10"/>
      <name val="Times New Roman"/>
      <family val="1"/>
      <charset val="204"/>
    </font>
    <font>
      <i/>
      <sz val="10"/>
      <name val="AcadNusx"/>
    </font>
    <font>
      <sz val="10"/>
      <name val="Times New Roman"/>
      <family val="1"/>
    </font>
    <font>
      <sz val="10"/>
      <name val="Cambria"/>
      <family val="1"/>
    </font>
    <font>
      <b/>
      <sz val="10"/>
      <name val="Times New Roman"/>
      <family val="1"/>
      <charset val="204"/>
    </font>
    <font>
      <b/>
      <sz val="10"/>
      <name val="Cambria"/>
      <family val="1"/>
    </font>
    <font>
      <sz val="9"/>
      <name val="Arial Cyr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9"/>
      <name val="Calibri"/>
      <family val="2"/>
      <scheme val="minor"/>
    </font>
    <font>
      <sz val="10"/>
      <name val="Arachveulebrivi Thin"/>
      <family val="2"/>
    </font>
    <font>
      <sz val="10"/>
      <color rgb="FFFF0000"/>
      <name val="Arachveulebrivi Thin"/>
      <family val="2"/>
    </font>
    <font>
      <b/>
      <sz val="10"/>
      <name val="Arachveulebrivi Thin"/>
      <family val="2"/>
    </font>
    <font>
      <b/>
      <sz val="10"/>
      <color rgb="FFFF0000"/>
      <name val="Arachveulebrivi Thin"/>
      <family val="2"/>
    </font>
    <font>
      <b/>
      <sz val="10"/>
      <name val="Arial Cyr"/>
      <family val="2"/>
      <charset val="204"/>
    </font>
    <font>
      <sz val="10"/>
      <name val="Cambria"/>
      <family val="1"/>
      <scheme val="major"/>
    </font>
    <font>
      <sz val="12"/>
      <name val="AcadNusx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AcadNusx"/>
    </font>
    <font>
      <b/>
      <sz val="9"/>
      <name val="Times New Roman"/>
      <family val="1"/>
    </font>
    <font>
      <b/>
      <vertAlign val="superscript"/>
      <sz val="9"/>
      <name val="AcadNusx"/>
    </font>
    <font>
      <vertAlign val="superscript"/>
      <sz val="9"/>
      <name val="AcadNusx"/>
    </font>
    <font>
      <sz val="9"/>
      <name val="Calibri"/>
      <family val="2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Sylfaen"/>
      <family val="2"/>
      <charset val="204"/>
    </font>
    <font>
      <b/>
      <sz val="9"/>
      <name val="Arachveulebrivi Thin"/>
      <family val="2"/>
    </font>
    <font>
      <b/>
      <i/>
      <sz val="9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Arial Cyr"/>
      <family val="2"/>
      <charset val="204"/>
    </font>
    <font>
      <sz val="8"/>
      <name val="Calibri"/>
      <family val="2"/>
    </font>
    <font>
      <sz val="10"/>
      <name val="Cambria"/>
      <family val="1"/>
      <charset val="204"/>
    </font>
    <font>
      <sz val="10"/>
      <name val="Cambria"/>
      <family val="1"/>
      <charset val="204"/>
      <scheme val="major"/>
    </font>
    <font>
      <b/>
      <vertAlign val="superscript"/>
      <sz val="10"/>
      <color theme="1"/>
      <name val="AcadNusx"/>
    </font>
    <font>
      <i/>
      <sz val="10"/>
      <color theme="1"/>
      <name val="AcadNusx"/>
    </font>
    <font>
      <sz val="10"/>
      <color theme="1"/>
      <name val="Arial"/>
      <family val="2"/>
      <charset val="204"/>
    </font>
    <font>
      <sz val="9"/>
      <name val="Arachveulebrivi Thin"/>
      <family val="2"/>
    </font>
    <font>
      <sz val="9"/>
      <name val="Times New Roman"/>
      <family val="1"/>
      <charset val="204"/>
    </font>
    <font>
      <sz val="9"/>
      <name val="Helv"/>
    </font>
    <font>
      <sz val="9"/>
      <name val="Avaza"/>
      <family val="2"/>
    </font>
    <font>
      <sz val="11"/>
      <color indexed="8"/>
      <name val="Calibri"/>
      <family val="2"/>
    </font>
    <font>
      <sz val="9"/>
      <name val="Times"/>
      <family val="1"/>
    </font>
    <font>
      <sz val="9"/>
      <name val="Cambria"/>
      <family val="1"/>
      <scheme val="major"/>
    </font>
    <font>
      <sz val="9"/>
      <color indexed="8"/>
      <name val="Sylfaen"/>
      <family val="2"/>
      <charset val="204"/>
    </font>
    <font>
      <u/>
      <sz val="11"/>
      <color theme="10"/>
      <name val="Calibri"/>
      <family val="2"/>
      <scheme val="minor"/>
    </font>
    <font>
      <b/>
      <sz val="9"/>
      <name val="Cambria"/>
      <family val="1"/>
      <scheme val="major"/>
    </font>
    <font>
      <sz val="9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54">
    <xf numFmtId="0" fontId="0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26" fillId="0" borderId="0"/>
    <xf numFmtId="0" fontId="32" fillId="0" borderId="0"/>
    <xf numFmtId="0" fontId="35" fillId="0" borderId="0"/>
    <xf numFmtId="0" fontId="35" fillId="0" borderId="0"/>
    <xf numFmtId="0" fontId="7" fillId="0" borderId="0"/>
    <xf numFmtId="9" fontId="7" fillId="0" borderId="0" applyFont="0" applyFill="0" applyBorder="0" applyAlignment="0" applyProtection="0"/>
    <xf numFmtId="0" fontId="26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168" fontId="3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1" fillId="0" borderId="0"/>
    <xf numFmtId="0" fontId="7" fillId="0" borderId="0"/>
    <xf numFmtId="9" fontId="26" fillId="0" borderId="0" applyFont="0" applyFill="0" applyBorder="0" applyAlignment="0" applyProtection="0"/>
    <xf numFmtId="0" fontId="26" fillId="0" borderId="0"/>
    <xf numFmtId="0" fontId="26" fillId="0" borderId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168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7" fillId="0" borderId="0"/>
    <xf numFmtId="0" fontId="77" fillId="0" borderId="0"/>
    <xf numFmtId="0" fontId="26" fillId="0" borderId="0"/>
    <xf numFmtId="0" fontId="35" fillId="0" borderId="0"/>
    <xf numFmtId="172" fontId="35" fillId="0" borderId="0" applyFont="0" applyFill="0" applyBorder="0" applyAlignment="0" applyProtection="0"/>
    <xf numFmtId="0" fontId="2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94" fillId="0" borderId="0"/>
    <xf numFmtId="0" fontId="77" fillId="0" borderId="0"/>
    <xf numFmtId="0" fontId="98" fillId="0" borderId="0" applyNumberFormat="0" applyFill="0" applyBorder="0" applyAlignment="0" applyProtection="0"/>
  </cellStyleXfs>
  <cellXfs count="1192">
    <xf numFmtId="0" fontId="0" fillId="0" borderId="0" xfId="0"/>
    <xf numFmtId="0" fontId="9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4" fontId="12" fillId="0" borderId="0" xfId="0" applyNumberFormat="1" applyFont="1" applyFill="1" applyAlignment="1">
      <alignment horizontal="center" vertical="center" wrapText="1"/>
    </xf>
    <xf numFmtId="0" fontId="5" fillId="0" borderId="0" xfId="1" applyFont="1" applyFill="1"/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2" fontId="11" fillId="0" borderId="6" xfId="1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left" vertical="top" wrapText="1"/>
    </xf>
    <xf numFmtId="0" fontId="17" fillId="0" borderId="6" xfId="0" applyNumberFormat="1" applyFont="1" applyFill="1" applyBorder="1" applyAlignment="1">
      <alignment horizontal="center" vertical="top" wrapText="1"/>
    </xf>
    <xf numFmtId="2" fontId="17" fillId="0" borderId="6" xfId="0" applyNumberFormat="1" applyFont="1" applyFill="1" applyBorder="1" applyAlignment="1">
      <alignment horizontal="center" vertical="top" wrapText="1"/>
    </xf>
    <xf numFmtId="2" fontId="20" fillId="0" borderId="6" xfId="0" applyNumberFormat="1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left" vertical="top" wrapText="1"/>
    </xf>
    <xf numFmtId="0" fontId="17" fillId="0" borderId="6" xfId="8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4" fontId="20" fillId="0" borderId="6" xfId="0" applyNumberFormat="1" applyFont="1" applyFill="1" applyBorder="1" applyAlignment="1">
      <alignment horizontal="center" vertical="center" wrapText="1"/>
    </xf>
    <xf numFmtId="2" fontId="38" fillId="0" borderId="6" xfId="0" applyNumberFormat="1" applyFont="1" applyFill="1" applyBorder="1" applyAlignment="1">
      <alignment horizontal="center" vertical="center"/>
    </xf>
    <xf numFmtId="2" fontId="20" fillId="0" borderId="6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center" wrapText="1"/>
    </xf>
    <xf numFmtId="165" fontId="20" fillId="0" borderId="6" xfId="0" applyNumberFormat="1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vertical="center" wrapText="1"/>
    </xf>
    <xf numFmtId="165" fontId="20" fillId="0" borderId="6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top" wrapText="1"/>
    </xf>
    <xf numFmtId="1" fontId="20" fillId="0" borderId="6" xfId="0" applyNumberFormat="1" applyFont="1" applyFill="1" applyBorder="1" applyAlignment="1">
      <alignment horizontal="center" vertical="center" wrapText="1"/>
    </xf>
    <xf numFmtId="0" fontId="27" fillId="0" borderId="6" xfId="8" applyFont="1" applyFill="1" applyBorder="1" applyAlignment="1">
      <alignment horizontal="center" vertical="center" wrapText="1"/>
    </xf>
    <xf numFmtId="0" fontId="30" fillId="0" borderId="6" xfId="8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 vertical="center" wrapText="1"/>
    </xf>
    <xf numFmtId="4" fontId="27" fillId="0" borderId="6" xfId="0" applyNumberFormat="1" applyFont="1" applyFill="1" applyBorder="1" applyAlignment="1">
      <alignment horizontal="center" vertical="center" wrapText="1"/>
    </xf>
    <xf numFmtId="2" fontId="27" fillId="0" borderId="6" xfId="8" applyNumberFormat="1" applyFont="1" applyFill="1" applyBorder="1" applyAlignment="1">
      <alignment horizontal="center" vertical="center" wrapText="1"/>
    </xf>
    <xf numFmtId="0" fontId="30" fillId="0" borderId="6" xfId="10" applyFont="1" applyFill="1" applyBorder="1" applyAlignment="1">
      <alignment horizontal="center" vertical="center" wrapText="1"/>
    </xf>
    <xf numFmtId="164" fontId="27" fillId="0" borderId="6" xfId="10" applyNumberFormat="1" applyFont="1" applyFill="1" applyBorder="1" applyAlignment="1">
      <alignment horizontal="center" vertical="center" wrapText="1"/>
    </xf>
    <xf numFmtId="2" fontId="27" fillId="0" borderId="6" xfId="10" applyNumberFormat="1" applyFont="1" applyFill="1" applyBorder="1" applyAlignment="1">
      <alignment horizontal="center" vertical="center" wrapText="1"/>
    </xf>
    <xf numFmtId="0" fontId="30" fillId="0" borderId="6" xfId="10" applyFont="1" applyFill="1" applyBorder="1" applyAlignment="1">
      <alignment horizontal="center" vertical="center"/>
    </xf>
    <xf numFmtId="0" fontId="27" fillId="0" borderId="6" xfId="10" applyFont="1" applyFill="1" applyBorder="1" applyAlignment="1">
      <alignment horizontal="center" vertical="center"/>
    </xf>
    <xf numFmtId="164" fontId="27" fillId="0" borderId="6" xfId="10" applyNumberFormat="1" applyFont="1" applyFill="1" applyBorder="1" applyAlignment="1">
      <alignment horizontal="center" vertical="center"/>
    </xf>
    <xf numFmtId="167" fontId="27" fillId="0" borderId="6" xfId="10" applyNumberFormat="1" applyFont="1" applyFill="1" applyBorder="1" applyAlignment="1">
      <alignment horizontal="center" vertical="center"/>
    </xf>
    <xf numFmtId="2" fontId="27" fillId="0" borderId="6" xfId="10" applyNumberFormat="1" applyFont="1" applyFill="1" applyBorder="1" applyAlignment="1">
      <alignment horizontal="center" vertical="center"/>
    </xf>
    <xf numFmtId="0" fontId="5" fillId="0" borderId="0" xfId="1" applyFont="1" applyFill="1" applyBorder="1"/>
    <xf numFmtId="0" fontId="12" fillId="0" borderId="0" xfId="0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2" fontId="30" fillId="0" borderId="6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0" xfId="0" applyFont="1" applyFill="1" applyBorder="1"/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4" fontId="17" fillId="0" borderId="6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30" fillId="0" borderId="6" xfId="0" applyFont="1" applyFill="1" applyBorder="1" applyAlignment="1">
      <alignment horizontal="center"/>
    </xf>
    <xf numFmtId="0" fontId="30" fillId="0" borderId="0" xfId="0" applyFont="1" applyFill="1"/>
    <xf numFmtId="0" fontId="30" fillId="0" borderId="6" xfId="0" applyFont="1" applyFill="1" applyBorder="1" applyAlignment="1"/>
    <xf numFmtId="2" fontId="30" fillId="0" borderId="6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2" fontId="20" fillId="0" borderId="0" xfId="0" applyNumberFormat="1" applyFont="1" applyFill="1" applyBorder="1" applyAlignment="1">
      <alignment horizontal="center" vertical="top" wrapText="1"/>
    </xf>
    <xf numFmtId="2" fontId="42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/>
    <xf numFmtId="0" fontId="20" fillId="0" borderId="0" xfId="0" applyNumberFormat="1" applyFont="1" applyFill="1" applyBorder="1" applyAlignment="1">
      <alignment horizontal="center" vertical="top" wrapText="1"/>
    </xf>
    <xf numFmtId="0" fontId="42" fillId="0" borderId="0" xfId="0" applyFont="1" applyFill="1" applyBorder="1"/>
    <xf numFmtId="0" fontId="42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top" wrapText="1"/>
    </xf>
    <xf numFmtId="0" fontId="40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43" fillId="0" borderId="6" xfId="0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top" wrapText="1"/>
    </xf>
    <xf numFmtId="4" fontId="17" fillId="0" borderId="6" xfId="0" applyNumberFormat="1" applyFont="1" applyFill="1" applyBorder="1" applyAlignment="1">
      <alignment horizontal="center" vertical="top" wrapText="1"/>
    </xf>
    <xf numFmtId="0" fontId="17" fillId="0" borderId="0" xfId="0" applyFont="1" applyFill="1" applyAlignment="1">
      <alignment vertical="top"/>
    </xf>
    <xf numFmtId="0" fontId="20" fillId="0" borderId="0" xfId="0" applyFont="1" applyFill="1" applyAlignment="1">
      <alignment vertical="top"/>
    </xf>
    <xf numFmtId="0" fontId="46" fillId="0" borderId="0" xfId="0" applyFont="1" applyFill="1" applyAlignment="1">
      <alignment vertical="center"/>
    </xf>
    <xf numFmtId="1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2" fontId="43" fillId="0" borderId="6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48" fillId="0" borderId="0" xfId="8" applyFont="1" applyFill="1" applyAlignment="1">
      <alignment vertical="center"/>
    </xf>
    <xf numFmtId="0" fontId="48" fillId="0" borderId="0" xfId="0" applyFont="1" applyFill="1" applyAlignment="1">
      <alignment vertical="center"/>
    </xf>
    <xf numFmtId="0" fontId="30" fillId="0" borderId="0" xfId="10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center" wrapText="1"/>
    </xf>
    <xf numFmtId="2" fontId="17" fillId="0" borderId="6" xfId="0" applyNumberFormat="1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center"/>
    </xf>
    <xf numFmtId="0" fontId="46" fillId="0" borderId="0" xfId="0" applyFont="1" applyFill="1" applyAlignment="1">
      <alignment horizontal="center" vertical="top" wrapText="1"/>
    </xf>
    <xf numFmtId="0" fontId="40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center" vertical="top" wrapText="1"/>
    </xf>
    <xf numFmtId="0" fontId="35" fillId="0" borderId="0" xfId="0" applyFont="1" applyFill="1" applyAlignment="1">
      <alignment vertical="top"/>
    </xf>
    <xf numFmtId="0" fontId="26" fillId="0" borderId="0" xfId="0" applyFont="1" applyFill="1" applyAlignment="1">
      <alignment horizontal="center" vertical="top"/>
    </xf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5" fillId="0" borderId="0" xfId="0" applyFont="1" applyFill="1" applyBorder="1"/>
    <xf numFmtId="0" fontId="35" fillId="0" borderId="0" xfId="0" applyFont="1" applyFill="1"/>
    <xf numFmtId="0" fontId="26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center" vertical="top" wrapText="1"/>
    </xf>
    <xf numFmtId="0" fontId="30" fillId="0" borderId="0" xfId="10" applyFont="1" applyFill="1" applyAlignment="1">
      <alignment horizontal="center" vertical="center"/>
    </xf>
    <xf numFmtId="0" fontId="30" fillId="0" borderId="0" xfId="12" applyFont="1" applyFill="1" applyBorder="1" applyAlignment="1">
      <alignment horizontal="center" vertical="center"/>
    </xf>
    <xf numFmtId="0" fontId="30" fillId="0" borderId="0" xfId="12" applyFont="1" applyFill="1" applyAlignment="1">
      <alignment horizontal="center" vertical="center"/>
    </xf>
    <xf numFmtId="0" fontId="30" fillId="0" borderId="0" xfId="13" applyFont="1" applyFill="1" applyAlignment="1">
      <alignment vertical="center"/>
    </xf>
    <xf numFmtId="0" fontId="30" fillId="0" borderId="0" xfId="13" applyFont="1" applyFill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20" fillId="0" borderId="0" xfId="14" quotePrefix="1" applyFont="1" applyFill="1" applyBorder="1" applyAlignment="1">
      <alignment horizontal="left" wrapText="1"/>
    </xf>
    <xf numFmtId="0" fontId="35" fillId="0" borderId="0" xfId="14" applyFont="1" applyFill="1" applyAlignment="1">
      <alignment wrapText="1"/>
    </xf>
    <xf numFmtId="2" fontId="20" fillId="0" borderId="6" xfId="14" applyNumberFormat="1" applyFont="1" applyFill="1" applyBorder="1" applyAlignment="1">
      <alignment horizontal="center" vertical="center" wrapText="1"/>
    </xf>
    <xf numFmtId="2" fontId="35" fillId="0" borderId="0" xfId="14" applyNumberFormat="1" applyFont="1" applyFill="1" applyAlignment="1">
      <alignment wrapText="1"/>
    </xf>
    <xf numFmtId="0" fontId="20" fillId="0" borderId="0" xfId="14" applyFont="1" applyFill="1" applyBorder="1" applyAlignment="1">
      <alignment wrapText="1"/>
    </xf>
    <xf numFmtId="0" fontId="35" fillId="0" borderId="0" xfId="14" applyFill="1" applyAlignment="1">
      <alignment wrapText="1"/>
    </xf>
    <xf numFmtId="0" fontId="20" fillId="0" borderId="0" xfId="14" applyFont="1" applyFill="1" applyBorder="1" applyAlignment="1">
      <alignment vertical="center" wrapText="1"/>
    </xf>
    <xf numFmtId="2" fontId="17" fillId="0" borderId="6" xfId="14" applyNumberFormat="1" applyFont="1" applyFill="1" applyBorder="1" applyAlignment="1">
      <alignment horizontal="center" vertical="center" wrapText="1"/>
    </xf>
    <xf numFmtId="0" fontId="51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2" fontId="4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 vertical="top" wrapText="1"/>
    </xf>
    <xf numFmtId="0" fontId="46" fillId="0" borderId="0" xfId="0" applyFont="1" applyFill="1" applyBorder="1"/>
    <xf numFmtId="0" fontId="46" fillId="0" borderId="0" xfId="0" applyFont="1" applyFill="1"/>
    <xf numFmtId="0" fontId="20" fillId="0" borderId="6" xfId="14" applyFont="1" applyFill="1" applyBorder="1" applyAlignment="1">
      <alignment horizontal="center" vertical="top" wrapText="1"/>
    </xf>
    <xf numFmtId="2" fontId="20" fillId="0" borderId="6" xfId="14" applyNumberFormat="1" applyFont="1" applyFill="1" applyBorder="1" applyAlignment="1">
      <alignment horizontal="center" vertical="top" wrapText="1"/>
    </xf>
    <xf numFmtId="1" fontId="20" fillId="0" borderId="6" xfId="14" applyNumberFormat="1" applyFont="1" applyFill="1" applyBorder="1" applyAlignment="1">
      <alignment horizontal="center" vertical="top" wrapText="1"/>
    </xf>
    <xf numFmtId="165" fontId="20" fillId="0" borderId="6" xfId="14" applyNumberFormat="1" applyFont="1" applyFill="1" applyBorder="1" applyAlignment="1">
      <alignment horizontal="center" vertical="top" wrapText="1"/>
    </xf>
    <xf numFmtId="0" fontId="26" fillId="0" borderId="0" xfId="14" applyFont="1" applyFill="1" applyAlignment="1">
      <alignment horizontal="center"/>
    </xf>
    <xf numFmtId="0" fontId="42" fillId="0" borderId="0" xfId="14" applyFont="1" applyFill="1"/>
    <xf numFmtId="0" fontId="20" fillId="0" borderId="6" xfId="14" applyFont="1" applyFill="1" applyBorder="1" applyAlignment="1">
      <alignment vertical="top" wrapText="1"/>
    </xf>
    <xf numFmtId="0" fontId="32" fillId="0" borderId="0" xfId="14" applyFont="1" applyFill="1"/>
    <xf numFmtId="2" fontId="17" fillId="0" borderId="6" xfId="14" applyNumberFormat="1" applyFont="1" applyFill="1" applyBorder="1" applyAlignment="1">
      <alignment horizontal="center" vertical="top" wrapText="1"/>
    </xf>
    <xf numFmtId="0" fontId="17" fillId="0" borderId="6" xfId="14" applyFont="1" applyFill="1" applyBorder="1" applyAlignment="1">
      <alignment horizontal="center" vertical="top" wrapText="1"/>
    </xf>
    <xf numFmtId="1" fontId="17" fillId="0" borderId="6" xfId="14" applyNumberFormat="1" applyFont="1" applyFill="1" applyBorder="1" applyAlignment="1">
      <alignment horizontal="center" vertical="top" wrapText="1"/>
    </xf>
    <xf numFmtId="0" fontId="20" fillId="0" borderId="6" xfId="14" applyFont="1" applyFill="1" applyBorder="1" applyAlignment="1">
      <alignment horizontal="left" vertical="top" wrapText="1"/>
    </xf>
    <xf numFmtId="0" fontId="26" fillId="0" borderId="6" xfId="14" applyNumberFormat="1" applyFont="1" applyFill="1" applyBorder="1" applyAlignment="1">
      <alignment horizontal="center" vertical="top" wrapText="1"/>
    </xf>
    <xf numFmtId="1" fontId="26" fillId="0" borderId="0" xfId="14" applyNumberFormat="1" applyFont="1" applyFill="1" applyBorder="1" applyAlignment="1">
      <alignment horizontal="center"/>
    </xf>
    <xf numFmtId="0" fontId="35" fillId="0" borderId="0" xfId="14" applyFont="1" applyFill="1" applyBorder="1"/>
    <xf numFmtId="0" fontId="20" fillId="0" borderId="6" xfId="14" applyNumberFormat="1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/>
    </xf>
    <xf numFmtId="0" fontId="20" fillId="0" borderId="0" xfId="14" applyFont="1" applyFill="1"/>
    <xf numFmtId="0" fontId="35" fillId="0" borderId="0" xfId="14" applyFont="1" applyFill="1"/>
    <xf numFmtId="0" fontId="51" fillId="0" borderId="0" xfId="0" applyFont="1" applyFill="1" applyAlignment="1">
      <alignment vertical="center"/>
    </xf>
    <xf numFmtId="0" fontId="51" fillId="0" borderId="0" xfId="0" applyFont="1" applyFill="1"/>
    <xf numFmtId="0" fontId="17" fillId="0" borderId="6" xfId="14" applyNumberFormat="1" applyFont="1" applyFill="1" applyBorder="1" applyAlignment="1">
      <alignment horizontal="center" vertical="top" wrapText="1"/>
    </xf>
    <xf numFmtId="0" fontId="17" fillId="0" borderId="6" xfId="14" applyFont="1" applyFill="1" applyBorder="1" applyAlignment="1">
      <alignment horizontal="center" vertical="center" wrapText="1"/>
    </xf>
    <xf numFmtId="0" fontId="17" fillId="0" borderId="6" xfId="14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left"/>
    </xf>
    <xf numFmtId="0" fontId="32" fillId="0" borderId="0" xfId="0" applyFont="1" applyFill="1" applyAlignment="1">
      <alignment horizontal="center" vertical="center" wrapText="1"/>
    </xf>
    <xf numFmtId="0" fontId="30" fillId="0" borderId="6" xfId="0" applyFont="1" applyFill="1" applyBorder="1"/>
    <xf numFmtId="0" fontId="27" fillId="0" borderId="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vertical="center" wrapText="1"/>
    </xf>
    <xf numFmtId="2" fontId="27" fillId="0" borderId="6" xfId="0" applyNumberFormat="1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54" fillId="0" borderId="0" xfId="0" applyFont="1" applyFill="1"/>
    <xf numFmtId="164" fontId="30" fillId="0" borderId="6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6" xfId="0" applyFont="1" applyFill="1" applyBorder="1" applyAlignment="1"/>
    <xf numFmtId="0" fontId="40" fillId="0" borderId="0" xfId="0" applyFont="1" applyFill="1" applyAlignment="1">
      <alignment horizontal="center" vertical="center" wrapText="1"/>
    </xf>
    <xf numFmtId="0" fontId="46" fillId="0" borderId="0" xfId="0" applyFont="1" applyFill="1" applyAlignment="1">
      <alignment vertical="top"/>
    </xf>
    <xf numFmtId="0" fontId="35" fillId="0" borderId="0" xfId="0" applyFont="1" applyFill="1" applyAlignment="1">
      <alignment vertical="center"/>
    </xf>
    <xf numFmtId="0" fontId="42" fillId="0" borderId="0" xfId="0" applyFont="1" applyFill="1" applyAlignment="1">
      <alignment horizontal="center" vertical="center" wrapText="1"/>
    </xf>
    <xf numFmtId="0" fontId="42" fillId="0" borderId="0" xfId="0" applyFont="1" applyFill="1" applyAlignment="1">
      <alignment vertical="top"/>
    </xf>
    <xf numFmtId="2" fontId="20" fillId="0" borderId="2" xfId="0" applyNumberFormat="1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center" wrapText="1"/>
    </xf>
    <xf numFmtId="0" fontId="55" fillId="0" borderId="0" xfId="14" applyFont="1" applyFill="1" applyAlignment="1">
      <alignment vertical="center" wrapText="1"/>
    </xf>
    <xf numFmtId="0" fontId="17" fillId="0" borderId="6" xfId="14" applyFont="1" applyFill="1" applyBorder="1" applyAlignment="1">
      <alignment horizontal="left" vertical="top" wrapText="1"/>
    </xf>
    <xf numFmtId="164" fontId="17" fillId="0" borderId="0" xfId="14" applyNumberFormat="1" applyFont="1" applyFill="1" applyAlignment="1">
      <alignment horizontal="left"/>
    </xf>
    <xf numFmtId="0" fontId="17" fillId="0" borderId="0" xfId="14" applyFont="1" applyFill="1"/>
    <xf numFmtId="0" fontId="40" fillId="0" borderId="0" xfId="14" applyFont="1" applyFill="1" applyAlignment="1">
      <alignment horizontal="center"/>
    </xf>
    <xf numFmtId="0" fontId="41" fillId="0" borderId="0" xfId="14" applyFont="1" applyFill="1"/>
    <xf numFmtId="0" fontId="17" fillId="0" borderId="6" xfId="14" applyFont="1" applyFill="1" applyBorder="1" applyAlignment="1">
      <alignment vertical="top" wrapText="1"/>
    </xf>
    <xf numFmtId="1" fontId="32" fillId="0" borderId="0" xfId="14" applyNumberFormat="1" applyFont="1" applyFill="1"/>
    <xf numFmtId="0" fontId="27" fillId="0" borderId="6" xfId="10" applyFont="1" applyFill="1" applyBorder="1" applyAlignment="1">
      <alignment horizontal="center" vertical="center" wrapText="1"/>
    </xf>
    <xf numFmtId="0" fontId="64" fillId="0" borderId="0" xfId="0" applyFont="1" applyFill="1" applyAlignment="1">
      <alignment vertical="center"/>
    </xf>
    <xf numFmtId="167" fontId="30" fillId="0" borderId="6" xfId="0" applyNumberFormat="1" applyFont="1" applyFill="1" applyBorder="1" applyAlignment="1">
      <alignment horizontal="center"/>
    </xf>
    <xf numFmtId="2" fontId="19" fillId="0" borderId="6" xfId="0" applyNumberFormat="1" applyFont="1" applyFill="1" applyBorder="1" applyAlignment="1">
      <alignment horizontal="center" vertical="center" wrapText="1"/>
    </xf>
    <xf numFmtId="0" fontId="30" fillId="0" borderId="6" xfId="9" applyFont="1" applyFill="1" applyBorder="1" applyAlignment="1">
      <alignment horizontal="center" vertical="center" wrapText="1"/>
    </xf>
    <xf numFmtId="0" fontId="30" fillId="0" borderId="0" xfId="1" applyFont="1" applyFill="1" applyAlignment="1">
      <alignment horizontal="center" vertical="center" wrapText="1"/>
    </xf>
    <xf numFmtId="0" fontId="31" fillId="0" borderId="0" xfId="1" applyFont="1" applyFill="1" applyAlignment="1">
      <alignment horizontal="center" vertical="center" wrapText="1"/>
    </xf>
    <xf numFmtId="0" fontId="31" fillId="0" borderId="0" xfId="1" applyFont="1" applyFill="1" applyAlignment="1">
      <alignment horizontal="left" vertical="center" wrapText="1"/>
    </xf>
    <xf numFmtId="0" fontId="31" fillId="0" borderId="0" xfId="1" applyFont="1" applyFill="1"/>
    <xf numFmtId="0" fontId="31" fillId="0" borderId="0" xfId="1" applyFont="1" applyFill="1" applyAlignment="1">
      <alignment horizontal="center"/>
    </xf>
    <xf numFmtId="0" fontId="31" fillId="0" borderId="0" xfId="1" applyFont="1" applyFill="1" applyBorder="1"/>
    <xf numFmtId="0" fontId="66" fillId="0" borderId="0" xfId="2" applyFont="1" applyFill="1" applyAlignment="1">
      <alignment horizontal="center" vertical="center" wrapText="1"/>
    </xf>
    <xf numFmtId="0" fontId="66" fillId="0" borderId="0" xfId="2" applyFont="1" applyFill="1" applyBorder="1" applyAlignment="1">
      <alignment horizontal="center" vertical="center" wrapText="1"/>
    </xf>
    <xf numFmtId="0" fontId="30" fillId="0" borderId="0" xfId="2" applyFont="1" applyFill="1" applyAlignment="1">
      <alignment vertical="center" wrapText="1"/>
    </xf>
    <xf numFmtId="0" fontId="29" fillId="0" borderId="0" xfId="2" applyFont="1" applyFill="1" applyAlignment="1">
      <alignment vertical="center" wrapText="1"/>
    </xf>
    <xf numFmtId="0" fontId="31" fillId="0" borderId="0" xfId="2" applyFont="1" applyFill="1" applyAlignment="1">
      <alignment horizontal="center" vertical="center" wrapText="1"/>
    </xf>
    <xf numFmtId="0" fontId="31" fillId="0" borderId="0" xfId="2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2" fontId="20" fillId="0" borderId="6" xfId="1" applyNumberFormat="1" applyFont="1" applyFill="1" applyBorder="1" applyAlignment="1">
      <alignment horizontal="center" vertical="center" wrapText="1"/>
    </xf>
    <xf numFmtId="0" fontId="25" fillId="0" borderId="6" xfId="1" applyFont="1" applyFill="1" applyBorder="1" applyAlignment="1">
      <alignment horizontal="center" vertical="center" wrapText="1"/>
    </xf>
    <xf numFmtId="1" fontId="25" fillId="0" borderId="6" xfId="1" applyNumberFormat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20" fillId="0" borderId="6" xfId="14" applyFont="1" applyFill="1" applyBorder="1" applyAlignment="1">
      <alignment vertical="center" wrapText="1"/>
    </xf>
    <xf numFmtId="0" fontId="7" fillId="0" borderId="0" xfId="0" applyFont="1" applyFill="1"/>
    <xf numFmtId="0" fontId="55" fillId="0" borderId="0" xfId="14" applyFont="1" applyFill="1" applyAlignment="1">
      <alignment horizontal="center" vertical="center" wrapText="1"/>
    </xf>
    <xf numFmtId="0" fontId="32" fillId="0" borderId="0" xfId="14" applyFont="1" applyFill="1" applyAlignment="1">
      <alignment horizontal="center"/>
    </xf>
    <xf numFmtId="0" fontId="42" fillId="0" borderId="0" xfId="14" applyFont="1" applyFill="1" applyAlignment="1">
      <alignment horizontal="center"/>
    </xf>
    <xf numFmtId="0" fontId="17" fillId="0" borderId="0" xfId="14" applyFont="1" applyFill="1" applyAlignment="1">
      <alignment horizontal="center"/>
    </xf>
    <xf numFmtId="0" fontId="41" fillId="0" borderId="0" xfId="14" applyFont="1" applyFill="1" applyAlignment="1">
      <alignment horizontal="center"/>
    </xf>
    <xf numFmtId="0" fontId="35" fillId="0" borderId="0" xfId="14" applyFont="1" applyFill="1" applyAlignment="1">
      <alignment horizontal="center"/>
    </xf>
    <xf numFmtId="0" fontId="35" fillId="0" borderId="0" xfId="14" applyFont="1" applyFill="1" applyBorder="1" applyAlignment="1">
      <alignment horizontal="center"/>
    </xf>
    <xf numFmtId="0" fontId="59" fillId="0" borderId="6" xfId="0" applyFont="1" applyFill="1" applyBorder="1" applyAlignment="1">
      <alignment horizontal="center" vertical="center" wrapText="1"/>
    </xf>
    <xf numFmtId="0" fontId="67" fillId="0" borderId="6" xfId="0" applyFont="1" applyFill="1" applyBorder="1" applyAlignment="1">
      <alignment horizontal="center" vertical="center" wrapText="1"/>
    </xf>
    <xf numFmtId="0" fontId="68" fillId="0" borderId="6" xfId="0" applyFont="1" applyFill="1" applyBorder="1" applyAlignment="1">
      <alignment horizontal="center" vertical="center" wrapText="1"/>
    </xf>
    <xf numFmtId="4" fontId="67" fillId="0" borderId="6" xfId="0" applyNumberFormat="1" applyFont="1" applyFill="1" applyBorder="1" applyAlignment="1">
      <alignment horizontal="right" vertical="center" wrapText="1"/>
    </xf>
    <xf numFmtId="4" fontId="67" fillId="0" borderId="6" xfId="0" applyNumberFormat="1" applyFont="1" applyFill="1" applyBorder="1" applyAlignment="1">
      <alignment horizontal="center" vertical="center" wrapText="1"/>
    </xf>
    <xf numFmtId="2" fontId="67" fillId="0" borderId="6" xfId="0" applyNumberFormat="1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center" vertical="center" wrapText="1"/>
    </xf>
    <xf numFmtId="0" fontId="5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68" fillId="0" borderId="0" xfId="0" applyFont="1" applyFill="1" applyAlignment="1">
      <alignment horizontal="center" vertical="center" wrapText="1"/>
    </xf>
    <xf numFmtId="4" fontId="67" fillId="0" borderId="0" xfId="0" applyNumberFormat="1" applyFont="1" applyFill="1" applyAlignment="1">
      <alignment horizontal="right" vertical="center" wrapText="1"/>
    </xf>
    <xf numFmtId="4" fontId="67" fillId="0" borderId="0" xfId="0" applyNumberFormat="1" applyFont="1" applyFill="1" applyAlignment="1">
      <alignment horizontal="center" vertical="center" wrapText="1"/>
    </xf>
    <xf numFmtId="0" fontId="67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 wrapText="1"/>
    </xf>
    <xf numFmtId="2" fontId="68" fillId="0" borderId="6" xfId="0" applyNumberFormat="1" applyFont="1" applyFill="1" applyBorder="1" applyAlignment="1">
      <alignment horizontal="center" vertical="center" wrapText="1"/>
    </xf>
    <xf numFmtId="2" fontId="34" fillId="0" borderId="6" xfId="0" applyNumberFormat="1" applyFont="1" applyFill="1" applyBorder="1" applyAlignment="1">
      <alignment horizontal="right" vertical="center" wrapText="1"/>
    </xf>
    <xf numFmtId="0" fontId="68" fillId="0" borderId="0" xfId="0" applyFont="1" applyFill="1" applyBorder="1" applyAlignment="1">
      <alignment horizontal="center" vertical="center" wrapText="1"/>
    </xf>
    <xf numFmtId="165" fontId="20" fillId="0" borderId="6" xfId="14" applyNumberFormat="1" applyFont="1" applyFill="1" applyBorder="1" applyAlignment="1">
      <alignment horizontal="center" vertical="center" wrapText="1"/>
    </xf>
    <xf numFmtId="0" fontId="26" fillId="0" borderId="0" xfId="14" applyFont="1" applyFill="1" applyAlignment="1">
      <alignment horizontal="center" vertical="center"/>
    </xf>
    <xf numFmtId="0" fontId="42" fillId="0" borderId="0" xfId="14" applyFont="1" applyFill="1" applyAlignment="1">
      <alignment horizontal="center" vertical="center"/>
    </xf>
    <xf numFmtId="0" fontId="42" fillId="0" borderId="0" xfId="14" applyFont="1" applyFill="1" applyAlignment="1">
      <alignment vertical="center"/>
    </xf>
    <xf numFmtId="4" fontId="67" fillId="0" borderId="0" xfId="0" applyNumberFormat="1" applyFont="1" applyFill="1" applyAlignment="1">
      <alignment horizontal="center" vertical="center"/>
    </xf>
    <xf numFmtId="2" fontId="67" fillId="0" borderId="0" xfId="0" applyNumberFormat="1" applyFont="1" applyFill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right" vertical="center"/>
    </xf>
    <xf numFmtId="4" fontId="54" fillId="0" borderId="0" xfId="0" applyNumberFormat="1" applyFont="1" applyFill="1" applyAlignment="1">
      <alignment horizontal="center" vertical="center"/>
    </xf>
    <xf numFmtId="2" fontId="25" fillId="0" borderId="6" xfId="1" applyNumberFormat="1" applyFont="1" applyFill="1" applyBorder="1" applyAlignment="1">
      <alignment horizontal="center" vertical="center" wrapText="1"/>
    </xf>
    <xf numFmtId="2" fontId="34" fillId="0" borderId="6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horizontal="right" vertical="center" wrapText="1"/>
    </xf>
    <xf numFmtId="2" fontId="69" fillId="0" borderId="6" xfId="0" applyNumberFormat="1" applyFont="1" applyFill="1" applyBorder="1" applyAlignment="1">
      <alignment horizontal="center" vertical="center" wrapText="1"/>
    </xf>
    <xf numFmtId="0" fontId="59" fillId="0" borderId="5" xfId="0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9" fontId="19" fillId="0" borderId="6" xfId="0" applyNumberFormat="1" applyFont="1" applyFill="1" applyBorder="1" applyAlignment="1">
      <alignment horizontal="center" vertical="center" wrapText="1"/>
    </xf>
    <xf numFmtId="2" fontId="34" fillId="0" borderId="5" xfId="0" applyNumberFormat="1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right" vertical="center" wrapText="1"/>
    </xf>
    <xf numFmtId="2" fontId="67" fillId="0" borderId="5" xfId="0" applyNumberFormat="1" applyFont="1" applyFill="1" applyBorder="1" applyAlignment="1">
      <alignment horizontal="center" vertical="center" wrapText="1"/>
    </xf>
    <xf numFmtId="0" fontId="68" fillId="0" borderId="4" xfId="0" applyFont="1" applyFill="1" applyBorder="1" applyAlignment="1">
      <alignment horizontal="center" vertical="center" wrapText="1"/>
    </xf>
    <xf numFmtId="4" fontId="34" fillId="0" borderId="6" xfId="0" applyNumberFormat="1" applyFont="1" applyFill="1" applyBorder="1" applyAlignment="1">
      <alignment horizontal="right" vertical="center" wrapText="1"/>
    </xf>
    <xf numFmtId="0" fontId="67" fillId="0" borderId="4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right" vertical="center" wrapText="1"/>
    </xf>
    <xf numFmtId="0" fontId="27" fillId="0" borderId="0" xfId="1" applyFont="1" applyFill="1" applyAlignment="1">
      <alignment horizontal="center" vertical="center" wrapText="1"/>
    </xf>
    <xf numFmtId="0" fontId="27" fillId="0" borderId="0" xfId="2" applyFont="1" applyFill="1" applyAlignment="1">
      <alignment vertical="center" wrapText="1"/>
    </xf>
    <xf numFmtId="0" fontId="28" fillId="0" borderId="6" xfId="1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 vertical="center" wrapText="1"/>
    </xf>
    <xf numFmtId="0" fontId="60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vertical="center" wrapText="1"/>
    </xf>
    <xf numFmtId="2" fontId="35" fillId="0" borderId="0" xfId="23" applyNumberFormat="1" applyFont="1" applyFill="1" applyAlignment="1">
      <alignment vertical="center"/>
    </xf>
    <xf numFmtId="0" fontId="20" fillId="0" borderId="6" xfId="14" applyFont="1" applyFill="1" applyBorder="1" applyAlignment="1">
      <alignment horizontal="center" vertical="center" wrapText="1"/>
    </xf>
    <xf numFmtId="2" fontId="20" fillId="0" borderId="13" xfId="14" applyNumberFormat="1" applyFont="1" applyFill="1" applyBorder="1" applyAlignment="1">
      <alignment horizontal="center" vertical="center" wrapText="1"/>
    </xf>
    <xf numFmtId="0" fontId="20" fillId="0" borderId="17" xfId="14" applyFont="1" applyFill="1" applyBorder="1" applyAlignment="1">
      <alignment horizontal="center" wrapText="1"/>
    </xf>
    <xf numFmtId="0" fontId="26" fillId="0" borderId="0" xfId="0" applyFont="1" applyFill="1"/>
    <xf numFmtId="0" fontId="27" fillId="0" borderId="6" xfId="42" applyFont="1" applyFill="1" applyBorder="1" applyAlignment="1">
      <alignment horizontal="left" vertical="center" wrapText="1"/>
    </xf>
    <xf numFmtId="0" fontId="44" fillId="0" borderId="18" xfId="14" quotePrefix="1" applyFont="1" applyFill="1" applyBorder="1" applyAlignment="1">
      <alignment horizontal="center" wrapText="1"/>
    </xf>
    <xf numFmtId="0" fontId="20" fillId="0" borderId="6" xfId="14" applyFont="1" applyFill="1" applyBorder="1" applyAlignment="1">
      <alignment horizontal="left" vertical="center" wrapText="1"/>
    </xf>
    <xf numFmtId="0" fontId="20" fillId="0" borderId="10" xfId="14" applyFont="1" applyFill="1" applyBorder="1" applyAlignment="1">
      <alignment horizontal="center" wrapText="1"/>
    </xf>
    <xf numFmtId="0" fontId="20" fillId="0" borderId="11" xfId="14" applyFont="1" applyFill="1" applyBorder="1" applyAlignment="1">
      <alignment horizontal="left" vertical="center" wrapText="1"/>
    </xf>
    <xf numFmtId="0" fontId="20" fillId="0" borderId="19" xfId="14" applyFont="1" applyFill="1" applyBorder="1" applyAlignment="1">
      <alignment horizontal="center" wrapText="1"/>
    </xf>
    <xf numFmtId="0" fontId="20" fillId="0" borderId="13" xfId="14" applyFont="1" applyFill="1" applyBorder="1" applyAlignment="1">
      <alignment horizontal="center" wrapText="1"/>
    </xf>
    <xf numFmtId="0" fontId="20" fillId="0" borderId="19" xfId="14" applyFont="1" applyFill="1" applyBorder="1" applyAlignment="1">
      <alignment horizontal="center" vertical="center" wrapText="1"/>
    </xf>
    <xf numFmtId="0" fontId="20" fillId="0" borderId="14" xfId="14" applyFont="1" applyFill="1" applyBorder="1" applyAlignment="1">
      <alignment horizontal="center" vertical="center" wrapText="1"/>
    </xf>
    <xf numFmtId="0" fontId="20" fillId="0" borderId="15" xfId="14" applyFont="1" applyFill="1" applyBorder="1" applyAlignment="1">
      <alignment horizontal="center" vertical="center" wrapText="1"/>
    </xf>
    <xf numFmtId="0" fontId="20" fillId="0" borderId="15" xfId="14" applyFont="1" applyFill="1" applyBorder="1" applyAlignment="1">
      <alignment horizontal="left" vertical="center" wrapText="1"/>
    </xf>
    <xf numFmtId="2" fontId="17" fillId="0" borderId="20" xfId="14" applyNumberFormat="1" applyFont="1" applyFill="1" applyBorder="1" applyAlignment="1">
      <alignment horizontal="center" vertical="center" wrapText="1"/>
    </xf>
    <xf numFmtId="0" fontId="56" fillId="0" borderId="6" xfId="0" applyFont="1" applyFill="1" applyBorder="1" applyAlignment="1">
      <alignment horizontal="left" vertical="center" wrapText="1"/>
    </xf>
    <xf numFmtId="165" fontId="56" fillId="0" borderId="6" xfId="0" applyNumberFormat="1" applyFont="1" applyFill="1" applyBorder="1" applyAlignment="1">
      <alignment horizontal="center" vertical="center" wrapText="1"/>
    </xf>
    <xf numFmtId="2" fontId="57" fillId="0" borderId="6" xfId="0" applyNumberFormat="1" applyFont="1" applyFill="1" applyBorder="1" applyAlignment="1">
      <alignment horizontal="center" vertical="center" wrapText="1"/>
    </xf>
    <xf numFmtId="2" fontId="56" fillId="0" borderId="6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57" fillId="0" borderId="6" xfId="0" applyFont="1" applyFill="1" applyBorder="1" applyAlignment="1">
      <alignment horizontal="left" vertical="top" wrapText="1"/>
    </xf>
    <xf numFmtId="0" fontId="57" fillId="0" borderId="6" xfId="0" applyFont="1" applyFill="1" applyBorder="1" applyAlignment="1">
      <alignment horizontal="center" vertical="top" wrapText="1"/>
    </xf>
    <xf numFmtId="167" fontId="57" fillId="0" borderId="6" xfId="0" applyNumberFormat="1" applyFont="1" applyFill="1" applyBorder="1" applyAlignment="1">
      <alignment horizontal="center" vertical="top" wrapText="1"/>
    </xf>
    <xf numFmtId="2" fontId="57" fillId="0" borderId="6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/>
    <xf numFmtId="0" fontId="56" fillId="0" borderId="6" xfId="0" applyFont="1" applyFill="1" applyBorder="1" applyAlignment="1">
      <alignment horizontal="center" vertical="center"/>
    </xf>
    <xf numFmtId="0" fontId="57" fillId="0" borderId="6" xfId="0" applyFont="1" applyFill="1" applyBorder="1" applyAlignment="1">
      <alignment horizontal="center" vertical="center" wrapText="1"/>
    </xf>
    <xf numFmtId="0" fontId="57" fillId="0" borderId="6" xfId="0" applyFont="1" applyFill="1" applyBorder="1" applyAlignment="1">
      <alignment horizontal="left"/>
    </xf>
    <xf numFmtId="0" fontId="57" fillId="0" borderId="6" xfId="0" applyFont="1" applyFill="1" applyBorder="1" applyAlignment="1">
      <alignment horizontal="center" wrapText="1"/>
    </xf>
    <xf numFmtId="0" fontId="56" fillId="0" borderId="6" xfId="0" applyFont="1" applyFill="1" applyBorder="1" applyAlignment="1">
      <alignment vertical="center" wrapText="1"/>
    </xf>
    <xf numFmtId="164" fontId="56" fillId="0" borderId="6" xfId="0" applyNumberFormat="1" applyFont="1" applyFill="1" applyBorder="1" applyAlignment="1">
      <alignment horizontal="center" vertical="center" wrapText="1"/>
    </xf>
    <xf numFmtId="0" fontId="50" fillId="0" borderId="0" xfId="0" applyFont="1" applyFill="1" applyAlignment="1">
      <alignment vertical="center"/>
    </xf>
    <xf numFmtId="0" fontId="57" fillId="0" borderId="6" xfId="0" applyFont="1" applyFill="1" applyBorder="1" applyAlignment="1">
      <alignment vertical="top" wrapText="1"/>
    </xf>
    <xf numFmtId="167" fontId="57" fillId="0" borderId="6" xfId="0" applyNumberFormat="1" applyFont="1" applyFill="1" applyBorder="1" applyAlignment="1">
      <alignment horizontal="center" vertical="center" wrapText="1"/>
    </xf>
    <xf numFmtId="0" fontId="50" fillId="0" borderId="0" xfId="0" applyFont="1" applyFill="1"/>
    <xf numFmtId="0" fontId="57" fillId="0" borderId="6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wrapText="1"/>
    </xf>
    <xf numFmtId="2" fontId="27" fillId="0" borderId="6" xfId="0" applyNumberFormat="1" applyFont="1" applyFill="1" applyBorder="1" applyAlignment="1">
      <alignment horizontal="center"/>
    </xf>
    <xf numFmtId="0" fontId="27" fillId="0" borderId="0" xfId="0" applyFont="1" applyFill="1"/>
    <xf numFmtId="0" fontId="17" fillId="0" borderId="0" xfId="0" applyFont="1" applyFill="1" applyAlignment="1">
      <alignment vertical="center"/>
    </xf>
    <xf numFmtId="2" fontId="58" fillId="0" borderId="6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vertical="center" wrapText="1"/>
    </xf>
    <xf numFmtId="0" fontId="46" fillId="0" borderId="0" xfId="5" applyFont="1" applyFill="1" applyBorder="1" applyAlignment="1">
      <alignment vertical="center"/>
    </xf>
    <xf numFmtId="0" fontId="53" fillId="0" borderId="0" xfId="5" applyFont="1" applyFill="1" applyBorder="1" applyAlignment="1">
      <alignment horizontal="center" vertical="center"/>
    </xf>
    <xf numFmtId="0" fontId="42" fillId="0" borderId="0" xfId="5" applyFont="1" applyFill="1" applyBorder="1" applyAlignment="1">
      <alignment vertical="center"/>
    </xf>
    <xf numFmtId="166" fontId="52" fillId="0" borderId="0" xfId="5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17" fillId="0" borderId="6" xfId="16" applyFont="1" applyFill="1" applyBorder="1" applyAlignment="1">
      <alignment horizontal="center" vertical="center"/>
    </xf>
    <xf numFmtId="0" fontId="17" fillId="0" borderId="6" xfId="16" applyFont="1" applyFill="1" applyBorder="1" applyAlignment="1">
      <alignment horizontal="left" vertical="center" wrapText="1"/>
    </xf>
    <xf numFmtId="164" fontId="17" fillId="0" borderId="6" xfId="16" applyNumberFormat="1" applyFont="1" applyFill="1" applyBorder="1" applyAlignment="1">
      <alignment horizontal="center" vertical="center"/>
    </xf>
    <xf numFmtId="2" fontId="26" fillId="0" borderId="6" xfId="3" applyNumberFormat="1" applyFont="1" applyFill="1" applyBorder="1" applyAlignment="1">
      <alignment horizontal="center" vertical="center"/>
    </xf>
    <xf numFmtId="2" fontId="26" fillId="0" borderId="6" xfId="16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 wrapText="1"/>
    </xf>
    <xf numFmtId="0" fontId="20" fillId="0" borderId="6" xfId="16" applyFont="1" applyFill="1" applyBorder="1" applyAlignment="1">
      <alignment horizontal="center" vertical="center"/>
    </xf>
    <xf numFmtId="0" fontId="20" fillId="0" borderId="6" xfId="16" applyFont="1" applyFill="1" applyBorder="1" applyAlignment="1">
      <alignment horizontal="left" vertical="center"/>
    </xf>
    <xf numFmtId="2" fontId="20" fillId="0" borderId="6" xfId="16" applyNumberFormat="1" applyFont="1" applyFill="1" applyBorder="1" applyAlignment="1">
      <alignment horizontal="center" vertical="center"/>
    </xf>
    <xf numFmtId="164" fontId="26" fillId="0" borderId="6" xfId="16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/>
    </xf>
    <xf numFmtId="2" fontId="59" fillId="0" borderId="6" xfId="0" applyNumberFormat="1" applyFont="1" applyFill="1" applyBorder="1" applyAlignment="1">
      <alignment horizontal="center" vertical="center" wrapText="1"/>
    </xf>
    <xf numFmtId="2" fontId="59" fillId="0" borderId="5" xfId="0" applyNumberFormat="1" applyFont="1" applyFill="1" applyBorder="1" applyAlignment="1">
      <alignment horizontal="center" vertical="center" wrapText="1"/>
    </xf>
    <xf numFmtId="0" fontId="16" fillId="0" borderId="6" xfId="0" quotePrefix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17" fillId="0" borderId="6" xfId="9" applyFont="1" applyFill="1" applyBorder="1" applyAlignment="1">
      <alignment horizontal="center" vertical="center" wrapText="1"/>
    </xf>
    <xf numFmtId="0" fontId="20" fillId="0" borderId="6" xfId="9" applyFont="1" applyFill="1" applyBorder="1" applyAlignment="1">
      <alignment horizontal="center" vertical="center" wrapText="1"/>
    </xf>
    <xf numFmtId="169" fontId="20" fillId="0" borderId="6" xfId="9" applyNumberFormat="1" applyFont="1" applyFill="1" applyBorder="1" applyAlignment="1">
      <alignment horizontal="center" vertical="center"/>
    </xf>
    <xf numFmtId="0" fontId="20" fillId="0" borderId="6" xfId="9" applyFont="1" applyFill="1" applyBorder="1" applyAlignment="1">
      <alignment horizontal="left" vertical="center" wrapText="1"/>
    </xf>
    <xf numFmtId="4" fontId="20" fillId="0" borderId="6" xfId="9" applyNumberFormat="1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left" vertical="center" wrapText="1"/>
    </xf>
    <xf numFmtId="0" fontId="30" fillId="0" borderId="6" xfId="0" applyNumberFormat="1" applyFont="1" applyFill="1" applyBorder="1" applyAlignment="1">
      <alignment horizontal="center" vertical="center"/>
    </xf>
    <xf numFmtId="2" fontId="26" fillId="0" borderId="6" xfId="0" applyNumberFormat="1" applyFont="1" applyFill="1" applyBorder="1"/>
    <xf numFmtId="2" fontId="30" fillId="0" borderId="6" xfId="34" applyNumberFormat="1" applyFont="1" applyFill="1" applyBorder="1" applyAlignment="1">
      <alignment horizontal="center" vertical="center"/>
    </xf>
    <xf numFmtId="0" fontId="20" fillId="0" borderId="6" xfId="39" applyFont="1" applyFill="1" applyBorder="1" applyAlignment="1">
      <alignment horizontal="center"/>
    </xf>
    <xf numFmtId="0" fontId="30" fillId="0" borderId="6" xfId="39" applyFont="1" applyFill="1" applyBorder="1" applyAlignment="1">
      <alignment horizontal="left" vertical="center" wrapText="1"/>
    </xf>
    <xf numFmtId="0" fontId="30" fillId="0" borderId="6" xfId="39" applyFont="1" applyFill="1" applyBorder="1" applyAlignment="1">
      <alignment horizontal="center" vertical="center"/>
    </xf>
    <xf numFmtId="0" fontId="30" fillId="0" borderId="6" xfId="39" applyNumberFormat="1" applyFont="1" applyFill="1" applyBorder="1" applyAlignment="1">
      <alignment horizontal="center" vertical="center"/>
    </xf>
    <xf numFmtId="0" fontId="20" fillId="0" borderId="6" xfId="39" applyFont="1" applyFill="1" applyBorder="1"/>
    <xf numFmtId="0" fontId="30" fillId="0" borderId="5" xfId="2" applyFont="1" applyFill="1" applyBorder="1" applyAlignment="1">
      <alignment horizontal="left" vertical="center" wrapText="1"/>
    </xf>
    <xf numFmtId="0" fontId="30" fillId="0" borderId="6" xfId="40" applyFont="1" applyFill="1" applyBorder="1" applyAlignment="1">
      <alignment horizontal="left" vertical="center" wrapText="1"/>
    </xf>
    <xf numFmtId="2" fontId="59" fillId="0" borderId="6" xfId="0" applyNumberFormat="1" applyFont="1" applyFill="1" applyBorder="1" applyAlignment="1">
      <alignment horizontal="center" vertical="top" wrapText="1"/>
    </xf>
    <xf numFmtId="2" fontId="35" fillId="0" borderId="6" xfId="0" applyNumberFormat="1" applyFont="1" applyFill="1" applyBorder="1"/>
    <xf numFmtId="2" fontId="42" fillId="0" borderId="6" xfId="0" applyNumberFormat="1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6" xfId="0" applyNumberFormat="1" applyFont="1" applyFill="1" applyBorder="1" applyAlignment="1">
      <alignment horizontal="center" vertical="center" wrapText="1"/>
    </xf>
    <xf numFmtId="2" fontId="30" fillId="0" borderId="6" xfId="0" applyNumberFormat="1" applyFont="1" applyFill="1" applyBorder="1" applyAlignment="1">
      <alignment horizontal="center" vertical="center" wrapText="1"/>
    </xf>
    <xf numFmtId="2" fontId="30" fillId="0" borderId="6" xfId="34" applyNumberFormat="1" applyFont="1" applyFill="1" applyBorder="1" applyAlignment="1" applyProtection="1">
      <alignment vertical="center" wrapText="1"/>
    </xf>
    <xf numFmtId="2" fontId="30" fillId="0" borderId="6" xfId="38" applyNumberFormat="1" applyFont="1" applyFill="1" applyBorder="1" applyAlignment="1">
      <alignment horizontal="center" vertical="center" wrapText="1"/>
    </xf>
    <xf numFmtId="0" fontId="30" fillId="0" borderId="6" xfId="7" applyNumberFormat="1" applyFont="1" applyFill="1" applyBorder="1" applyAlignment="1">
      <alignment horizontal="center" vertical="center"/>
    </xf>
    <xf numFmtId="0" fontId="30" fillId="0" borderId="6" xfId="7" applyFont="1" applyFill="1" applyBorder="1" applyAlignment="1">
      <alignment horizontal="center" vertical="center"/>
    </xf>
    <xf numFmtId="0" fontId="30" fillId="0" borderId="6" xfId="7" applyFont="1" applyFill="1" applyBorder="1" applyAlignment="1">
      <alignment horizontal="left" vertical="center" wrapText="1"/>
    </xf>
    <xf numFmtId="2" fontId="30" fillId="0" borderId="6" xfId="38" applyNumberFormat="1" applyFont="1" applyFill="1" applyBorder="1" applyAlignment="1">
      <alignment horizontal="center" vertical="center"/>
    </xf>
    <xf numFmtId="0" fontId="44" fillId="0" borderId="6" xfId="0" quotePrefix="1" applyFont="1" applyFill="1" applyBorder="1" applyAlignment="1">
      <alignment horizontal="center" vertical="top" wrapText="1"/>
    </xf>
    <xf numFmtId="0" fontId="44" fillId="0" borderId="6" xfId="0" quotePrefix="1" applyNumberFormat="1" applyFont="1" applyFill="1" applyBorder="1" applyAlignment="1">
      <alignment horizontal="center" vertical="top" wrapText="1"/>
    </xf>
    <xf numFmtId="2" fontId="44" fillId="0" borderId="6" xfId="0" applyNumberFormat="1" applyFont="1" applyFill="1" applyBorder="1" applyAlignment="1">
      <alignment horizontal="center" vertical="top" wrapText="1"/>
    </xf>
    <xf numFmtId="2" fontId="44" fillId="0" borderId="6" xfId="0" quotePrefix="1" applyNumberFormat="1" applyFont="1" applyFill="1" applyBorder="1" applyAlignment="1">
      <alignment horizontal="center" vertical="top" wrapText="1"/>
    </xf>
    <xf numFmtId="0" fontId="44" fillId="0" borderId="0" xfId="0" applyFont="1" applyFill="1" applyAlignment="1">
      <alignment horizontal="center" vertical="top" wrapText="1"/>
    </xf>
    <xf numFmtId="0" fontId="20" fillId="0" borderId="6" xfId="8" applyFont="1" applyFill="1" applyBorder="1" applyAlignment="1">
      <alignment horizontal="left" vertical="center" wrapText="1"/>
    </xf>
    <xf numFmtId="2" fontId="20" fillId="0" borderId="6" xfId="19" applyNumberFormat="1" applyFont="1" applyFill="1" applyBorder="1" applyAlignment="1">
      <alignment horizontal="center"/>
    </xf>
    <xf numFmtId="2" fontId="20" fillId="0" borderId="6" xfId="24" applyNumberFormat="1" applyFont="1" applyFill="1" applyBorder="1" applyAlignment="1">
      <alignment horizontal="center" vertical="top" wrapText="1"/>
    </xf>
    <xf numFmtId="0" fontId="38" fillId="0" borderId="0" xfId="24" applyFont="1" applyFill="1" applyAlignment="1">
      <alignment vertical="center"/>
    </xf>
    <xf numFmtId="0" fontId="20" fillId="0" borderId="6" xfId="24" applyFont="1" applyFill="1" applyBorder="1" applyAlignment="1">
      <alignment horizontal="left" vertical="center" wrapText="1"/>
    </xf>
    <xf numFmtId="4" fontId="20" fillId="0" borderId="6" xfId="24" applyNumberFormat="1" applyFont="1" applyFill="1" applyBorder="1" applyAlignment="1">
      <alignment horizontal="center" vertical="center" wrapText="1"/>
    </xf>
    <xf numFmtId="2" fontId="20" fillId="0" borderId="6" xfId="9" applyNumberFormat="1" applyFont="1" applyFill="1" applyBorder="1" applyAlignment="1">
      <alignment horizontal="center" vertical="center" wrapText="1"/>
    </xf>
    <xf numFmtId="2" fontId="38" fillId="0" borderId="6" xfId="24" applyNumberFormat="1" applyFont="1" applyFill="1" applyBorder="1" applyAlignment="1">
      <alignment vertical="center"/>
    </xf>
    <xf numFmtId="0" fontId="17" fillId="0" borderId="6" xfId="23" applyFont="1" applyFill="1" applyBorder="1" applyAlignment="1">
      <alignment horizontal="center" vertical="center"/>
    </xf>
    <xf numFmtId="0" fontId="20" fillId="0" borderId="6" xfId="23" applyFont="1" applyFill="1" applyBorder="1" applyAlignment="1">
      <alignment horizontal="left"/>
    </xf>
    <xf numFmtId="0" fontId="20" fillId="0" borderId="6" xfId="23" applyFont="1" applyFill="1" applyBorder="1" applyAlignment="1">
      <alignment horizontal="center"/>
    </xf>
    <xf numFmtId="164" fontId="20" fillId="0" borderId="6" xfId="23" applyNumberFormat="1" applyFont="1" applyFill="1" applyBorder="1" applyAlignment="1">
      <alignment horizontal="center"/>
    </xf>
    <xf numFmtId="2" fontId="20" fillId="0" borderId="6" xfId="23" applyNumberFormat="1" applyFont="1" applyFill="1" applyBorder="1" applyAlignment="1">
      <alignment horizontal="center"/>
    </xf>
    <xf numFmtId="2" fontId="20" fillId="0" borderId="6" xfId="23" applyNumberFormat="1" applyFont="1" applyFill="1" applyBorder="1" applyAlignment="1">
      <alignment horizontal="center" vertical="top" wrapText="1"/>
    </xf>
    <xf numFmtId="0" fontId="20" fillId="0" borderId="0" xfId="23" applyFont="1" applyFill="1" applyBorder="1" applyAlignment="1">
      <alignment horizontal="center"/>
    </xf>
    <xf numFmtId="0" fontId="20" fillId="0" borderId="6" xfId="23" applyFont="1" applyFill="1" applyBorder="1" applyAlignment="1">
      <alignment horizontal="left" vertical="center" wrapText="1"/>
    </xf>
    <xf numFmtId="0" fontId="20" fillId="0" borderId="6" xfId="23" applyFont="1" applyFill="1" applyBorder="1" applyAlignment="1">
      <alignment horizontal="center" vertical="center" wrapText="1"/>
    </xf>
    <xf numFmtId="2" fontId="20" fillId="0" borderId="6" xfId="23" applyNumberFormat="1" applyFont="1" applyFill="1" applyBorder="1" applyAlignment="1">
      <alignment horizontal="center" vertical="center" wrapText="1"/>
    </xf>
    <xf numFmtId="2" fontId="42" fillId="0" borderId="6" xfId="23" applyNumberFormat="1" applyFont="1" applyFill="1" applyBorder="1" applyAlignment="1">
      <alignment vertical="center"/>
    </xf>
    <xf numFmtId="0" fontId="42" fillId="0" borderId="0" xfId="23" applyFont="1" applyFill="1" applyAlignment="1">
      <alignment vertical="center"/>
    </xf>
    <xf numFmtId="2" fontId="59" fillId="0" borderId="6" xfId="0" quotePrefix="1" applyNumberFormat="1" applyFont="1" applyFill="1" applyBorder="1" applyAlignment="1">
      <alignment horizontal="center" vertical="top" wrapText="1"/>
    </xf>
    <xf numFmtId="2" fontId="20" fillId="0" borderId="6" xfId="3" applyNumberFormat="1" applyFont="1" applyFill="1" applyBorder="1" applyAlignment="1">
      <alignment horizontal="center"/>
    </xf>
    <xf numFmtId="2" fontId="42" fillId="0" borderId="6" xfId="0" applyNumberFormat="1" applyFont="1" applyFill="1" applyBorder="1" applyAlignment="1">
      <alignment vertical="center"/>
    </xf>
    <xf numFmtId="167" fontId="20" fillId="0" borderId="6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2" fillId="0" borderId="0" xfId="23" applyFont="1" applyFill="1" applyAlignment="1">
      <alignment vertical="center"/>
    </xf>
    <xf numFmtId="2" fontId="35" fillId="0" borderId="6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top" wrapText="1"/>
    </xf>
    <xf numFmtId="0" fontId="32" fillId="0" borderId="0" xfId="0" applyFont="1" applyFill="1" applyAlignment="1">
      <alignment horizontal="center" vertical="top" wrapText="1"/>
    </xf>
    <xf numFmtId="0" fontId="49" fillId="0" borderId="6" xfId="0" applyFont="1" applyFill="1" applyBorder="1" applyAlignment="1">
      <alignment horizontal="center" vertical="center" wrapText="1"/>
    </xf>
    <xf numFmtId="2" fontId="28" fillId="0" borderId="6" xfId="0" applyNumberFormat="1" applyFont="1" applyFill="1" applyBorder="1" applyAlignment="1">
      <alignment horizontal="center" vertical="center" wrapText="1"/>
    </xf>
    <xf numFmtId="2" fontId="28" fillId="0" borderId="6" xfId="0" applyNumberFormat="1" applyFont="1" applyFill="1" applyBorder="1" applyAlignment="1">
      <alignment horizontal="right" vertical="center" wrapText="1"/>
    </xf>
    <xf numFmtId="0" fontId="25" fillId="0" borderId="6" xfId="5" applyFont="1" applyFill="1" applyBorder="1" applyAlignment="1">
      <alignment horizontal="center" vertical="center" wrapText="1"/>
    </xf>
    <xf numFmtId="0" fontId="30" fillId="0" borderId="6" xfId="5" applyFont="1" applyFill="1" applyBorder="1" applyAlignment="1">
      <alignment vertical="center" wrapText="1"/>
    </xf>
    <xf numFmtId="0" fontId="30" fillId="0" borderId="6" xfId="5" applyFont="1" applyFill="1" applyBorder="1" applyAlignment="1">
      <alignment horizontal="center" vertical="center" wrapText="1"/>
    </xf>
    <xf numFmtId="169" fontId="25" fillId="0" borderId="6" xfId="5" applyNumberFormat="1" applyFont="1" applyFill="1" applyBorder="1" applyAlignment="1">
      <alignment horizontal="center" vertical="center" wrapText="1"/>
    </xf>
    <xf numFmtId="166" fontId="25" fillId="0" borderId="6" xfId="5" applyNumberFormat="1" applyFont="1" applyFill="1" applyBorder="1" applyAlignment="1">
      <alignment horizontal="center" vertical="center" wrapText="1"/>
    </xf>
    <xf numFmtId="166" fontId="25" fillId="0" borderId="6" xfId="5" applyNumberFormat="1" applyFont="1" applyFill="1" applyBorder="1" applyAlignment="1">
      <alignment horizontal="center" vertical="center"/>
    </xf>
    <xf numFmtId="0" fontId="76" fillId="0" borderId="0" xfId="5" applyFont="1" applyFill="1" applyAlignment="1">
      <alignment vertical="center"/>
    </xf>
    <xf numFmtId="166" fontId="82" fillId="0" borderId="0" xfId="5" applyNumberFormat="1" applyFont="1" applyFill="1" applyAlignment="1">
      <alignment horizontal="center" vertical="center"/>
    </xf>
    <xf numFmtId="0" fontId="27" fillId="0" borderId="6" xfId="14" applyFont="1" applyFill="1" applyBorder="1" applyAlignment="1">
      <alignment horizontal="center" vertical="center" wrapText="1"/>
    </xf>
    <xf numFmtId="0" fontId="30" fillId="0" borderId="6" xfId="14" applyFont="1" applyFill="1" applyBorder="1" applyAlignment="1">
      <alignment horizontal="center" vertical="center" wrapText="1"/>
    </xf>
    <xf numFmtId="2" fontId="30" fillId="0" borderId="6" xfId="14" applyNumberFormat="1" applyFont="1" applyFill="1" applyBorder="1" applyAlignment="1">
      <alignment horizontal="center" vertical="center" wrapText="1"/>
    </xf>
    <xf numFmtId="4" fontId="30" fillId="0" borderId="6" xfId="14" applyNumberFormat="1" applyFont="1" applyFill="1" applyBorder="1" applyAlignment="1">
      <alignment horizontal="center" vertical="center" wrapText="1"/>
    </xf>
    <xf numFmtId="0" fontId="83" fillId="0" borderId="0" xfId="14" applyFont="1" applyFill="1" applyAlignment="1">
      <alignment horizontal="center" vertical="center"/>
    </xf>
    <xf numFmtId="0" fontId="27" fillId="0" borderId="6" xfId="9" applyFont="1" applyFill="1" applyBorder="1" applyAlignment="1">
      <alignment horizontal="center" vertical="center" wrapText="1"/>
    </xf>
    <xf numFmtId="0" fontId="30" fillId="0" borderId="6" xfId="14" applyFont="1" applyFill="1" applyBorder="1" applyAlignment="1">
      <alignment horizontal="left" vertical="center" wrapText="1"/>
    </xf>
    <xf numFmtId="169" fontId="30" fillId="0" borderId="6" xfId="9" applyNumberFormat="1" applyFont="1" applyFill="1" applyBorder="1" applyAlignment="1">
      <alignment horizontal="center" vertical="center"/>
    </xf>
    <xf numFmtId="4" fontId="30" fillId="0" borderId="6" xfId="9" applyNumberFormat="1" applyFont="1" applyFill="1" applyBorder="1" applyAlignment="1">
      <alignment horizontal="center" vertical="center" wrapText="1"/>
    </xf>
    <xf numFmtId="0" fontId="84" fillId="0" borderId="0" xfId="14" applyFont="1" applyFill="1" applyAlignment="1">
      <alignment vertical="center"/>
    </xf>
    <xf numFmtId="172" fontId="20" fillId="0" borderId="6" xfId="45" applyFont="1" applyFill="1" applyBorder="1" applyAlignment="1" applyProtection="1">
      <alignment horizontal="center" vertical="top" wrapText="1"/>
    </xf>
    <xf numFmtId="2" fontId="20" fillId="0" borderId="6" xfId="45" applyNumberFormat="1" applyFont="1" applyFill="1" applyBorder="1" applyAlignment="1" applyProtection="1">
      <alignment horizontal="center" vertical="top" wrapText="1"/>
    </xf>
    <xf numFmtId="2" fontId="11" fillId="0" borderId="6" xfId="45" applyNumberFormat="1" applyFont="1" applyFill="1" applyBorder="1" applyAlignment="1" applyProtection="1">
      <alignment horizontal="center" vertical="top" wrapText="1"/>
    </xf>
    <xf numFmtId="0" fontId="74" fillId="0" borderId="6" xfId="14" applyFont="1" applyFill="1" applyBorder="1" applyAlignment="1">
      <alignment vertical="center"/>
    </xf>
    <xf numFmtId="4" fontId="30" fillId="0" borderId="6" xfId="9" applyNumberFormat="1" applyFont="1" applyFill="1" applyBorder="1" applyAlignment="1">
      <alignment horizontal="center" vertical="center"/>
    </xf>
    <xf numFmtId="0" fontId="30" fillId="0" borderId="6" xfId="9" applyFont="1" applyFill="1" applyBorder="1" applyAlignment="1">
      <alignment horizontal="left" vertical="center" wrapText="1"/>
    </xf>
    <xf numFmtId="0" fontId="27" fillId="0" borderId="6" xfId="14" applyFont="1" applyFill="1" applyBorder="1" applyAlignment="1">
      <alignment horizontal="center" vertical="center"/>
    </xf>
    <xf numFmtId="0" fontId="30" fillId="0" borderId="6" xfId="14" applyFont="1" applyFill="1" applyBorder="1" applyAlignment="1">
      <alignment horizontal="center" vertical="center"/>
    </xf>
    <xf numFmtId="0" fontId="30" fillId="0" borderId="6" xfId="14" applyFont="1" applyFill="1" applyBorder="1" applyAlignment="1">
      <alignment horizontal="left" vertical="center"/>
    </xf>
    <xf numFmtId="164" fontId="30" fillId="0" borderId="6" xfId="14" applyNumberFormat="1" applyFont="1" applyFill="1" applyBorder="1" applyAlignment="1">
      <alignment horizontal="center" vertical="center"/>
    </xf>
    <xf numFmtId="4" fontId="30" fillId="0" borderId="6" xfId="19" applyNumberFormat="1" applyFont="1" applyFill="1" applyBorder="1" applyAlignment="1">
      <alignment horizontal="center" vertical="center"/>
    </xf>
    <xf numFmtId="2" fontId="30" fillId="0" borderId="6" xfId="14" applyNumberFormat="1" applyFont="1" applyFill="1" applyBorder="1" applyAlignment="1">
      <alignment horizontal="center" vertical="center"/>
    </xf>
    <xf numFmtId="0" fontId="33" fillId="0" borderId="0" xfId="14" applyFont="1" applyFill="1" applyAlignment="1">
      <alignment horizontal="center" vertical="center"/>
    </xf>
    <xf numFmtId="0" fontId="30" fillId="0" borderId="6" xfId="19" applyFont="1" applyFill="1" applyBorder="1" applyAlignment="1">
      <alignment horizontal="center" vertical="center"/>
    </xf>
    <xf numFmtId="4" fontId="30" fillId="0" borderId="6" xfId="14" applyNumberFormat="1" applyFont="1" applyFill="1" applyBorder="1" applyAlignment="1">
      <alignment horizontal="center" vertical="center"/>
    </xf>
    <xf numFmtId="0" fontId="30" fillId="0" borderId="6" xfId="46" applyFont="1" applyFill="1" applyBorder="1" applyAlignment="1">
      <alignment horizontal="left" vertical="center" wrapText="1"/>
    </xf>
    <xf numFmtId="2" fontId="30" fillId="0" borderId="6" xfId="19" applyNumberFormat="1" applyFont="1" applyFill="1" applyBorder="1" applyAlignment="1">
      <alignment horizontal="center" vertical="center"/>
    </xf>
    <xf numFmtId="167" fontId="30" fillId="0" borderId="6" xfId="14" applyNumberFormat="1" applyFont="1" applyFill="1" applyBorder="1" applyAlignment="1">
      <alignment horizontal="center" vertical="center"/>
    </xf>
    <xf numFmtId="2" fontId="20" fillId="0" borderId="6" xfId="38" applyNumberFormat="1" applyFont="1" applyFill="1" applyBorder="1" applyAlignment="1">
      <alignment horizontal="center"/>
    </xf>
    <xf numFmtId="2" fontId="20" fillId="0" borderId="6" xfId="38" applyNumberFormat="1" applyFont="1" applyFill="1" applyBorder="1" applyAlignment="1">
      <alignment horizontal="center" vertical="top" wrapText="1"/>
    </xf>
    <xf numFmtId="2" fontId="20" fillId="0" borderId="6" xfId="38" applyNumberFormat="1" applyFont="1" applyFill="1" applyBorder="1" applyAlignment="1">
      <alignment horizontal="center" vertical="top"/>
    </xf>
    <xf numFmtId="0" fontId="56" fillId="0" borderId="6" xfId="0" applyFont="1" applyFill="1" applyBorder="1" applyAlignment="1">
      <alignment horizontal="center" vertical="center" wrapText="1"/>
    </xf>
    <xf numFmtId="43" fontId="35" fillId="0" borderId="0" xfId="34" applyFont="1" applyFill="1" applyAlignment="1">
      <alignment wrapText="1"/>
    </xf>
    <xf numFmtId="43" fontId="20" fillId="0" borderId="0" xfId="14" applyNumberFormat="1" applyFont="1" applyFill="1" applyBorder="1" applyAlignment="1">
      <alignment wrapText="1"/>
    </xf>
    <xf numFmtId="0" fontId="17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2" fontId="42" fillId="0" borderId="2" xfId="0" applyNumberFormat="1" applyFont="1" applyFill="1" applyBorder="1" applyAlignment="1">
      <alignment vertical="center"/>
    </xf>
    <xf numFmtId="2" fontId="20" fillId="0" borderId="2" xfId="9" applyNumberFormat="1" applyFont="1" applyFill="1" applyBorder="1" applyAlignment="1">
      <alignment horizontal="center" vertical="center" wrapText="1"/>
    </xf>
    <xf numFmtId="2" fontId="20" fillId="0" borderId="13" xfId="38" applyNumberFormat="1" applyFont="1" applyFill="1" applyBorder="1" applyAlignment="1">
      <alignment horizontal="center"/>
    </xf>
    <xf numFmtId="2" fontId="20" fillId="0" borderId="15" xfId="38" applyNumberFormat="1" applyFont="1" applyFill="1" applyBorder="1" applyAlignment="1">
      <alignment horizontal="center"/>
    </xf>
    <xf numFmtId="2" fontId="20" fillId="0" borderId="15" xfId="38" applyNumberFormat="1" applyFont="1" applyFill="1" applyBorder="1" applyAlignment="1">
      <alignment horizontal="center" vertical="top" wrapText="1"/>
    </xf>
    <xf numFmtId="2" fontId="20" fillId="0" borderId="20" xfId="38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 wrapText="1"/>
    </xf>
    <xf numFmtId="2" fontId="69" fillId="0" borderId="5" xfId="0" applyNumberFormat="1" applyFont="1" applyFill="1" applyBorder="1" applyAlignment="1">
      <alignment horizontal="center" vertical="center" wrapText="1"/>
    </xf>
    <xf numFmtId="2" fontId="69" fillId="0" borderId="5" xfId="0" applyNumberFormat="1" applyFont="1" applyFill="1" applyBorder="1" applyAlignment="1">
      <alignment horizontal="right" vertical="center" wrapText="1"/>
    </xf>
    <xf numFmtId="0" fontId="17" fillId="0" borderId="19" xfId="23" applyFont="1" applyFill="1" applyBorder="1" applyAlignment="1">
      <alignment horizontal="center" vertical="center"/>
    </xf>
    <xf numFmtId="2" fontId="20" fillId="0" borderId="13" xfId="23" applyNumberFormat="1" applyFont="1" applyFill="1" applyBorder="1" applyAlignment="1">
      <alignment horizontal="center" vertical="top" wrapText="1"/>
    </xf>
    <xf numFmtId="0" fontId="17" fillId="0" borderId="14" xfId="23" applyFont="1" applyFill="1" applyBorder="1" applyAlignment="1">
      <alignment horizontal="center" vertical="center" wrapText="1"/>
    </xf>
    <xf numFmtId="0" fontId="20" fillId="0" borderId="15" xfId="23" applyFont="1" applyFill="1" applyBorder="1" applyAlignment="1">
      <alignment vertical="center" wrapText="1"/>
    </xf>
    <xf numFmtId="0" fontId="20" fillId="0" borderId="15" xfId="23" applyFont="1" applyFill="1" applyBorder="1" applyAlignment="1">
      <alignment horizontal="center" vertical="center" wrapText="1"/>
    </xf>
    <xf numFmtId="2" fontId="20" fillId="0" borderId="15" xfId="23" applyNumberFormat="1" applyFont="1" applyFill="1" applyBorder="1" applyAlignment="1">
      <alignment horizontal="center" vertical="center" wrapText="1"/>
    </xf>
    <xf numFmtId="2" fontId="32" fillId="0" borderId="15" xfId="23" applyNumberFormat="1" applyFont="1" applyFill="1" applyBorder="1" applyAlignment="1">
      <alignment vertical="center"/>
    </xf>
    <xf numFmtId="2" fontId="20" fillId="0" borderId="20" xfId="23" applyNumberFormat="1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left" vertical="center"/>
    </xf>
    <xf numFmtId="164" fontId="20" fillId="0" borderId="6" xfId="0" applyNumberFormat="1" applyFont="1" applyFill="1" applyBorder="1" applyAlignment="1">
      <alignment horizontal="center" vertical="center"/>
    </xf>
    <xf numFmtId="2" fontId="20" fillId="0" borderId="6" xfId="0" applyNumberFormat="1" applyFont="1" applyFill="1" applyBorder="1" applyAlignment="1">
      <alignment horizontal="center" vertical="center"/>
    </xf>
    <xf numFmtId="2" fontId="20" fillId="0" borderId="6" xfId="19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0" fillId="0" borderId="6" xfId="19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vertical="center"/>
    </xf>
    <xf numFmtId="0" fontId="17" fillId="0" borderId="2" xfId="23" applyFont="1" applyFill="1" applyBorder="1" applyAlignment="1">
      <alignment horizontal="center" vertical="center" wrapText="1"/>
    </xf>
    <xf numFmtId="0" fontId="20" fillId="0" borderId="2" xfId="23" applyFont="1" applyFill="1" applyBorder="1" applyAlignment="1">
      <alignment horizontal="left" vertical="center" wrapText="1"/>
    </xf>
    <xf numFmtId="0" fontId="20" fillId="0" borderId="2" xfId="23" applyFont="1" applyFill="1" applyBorder="1" applyAlignment="1">
      <alignment horizontal="center" vertical="center" wrapText="1"/>
    </xf>
    <xf numFmtId="2" fontId="20" fillId="0" borderId="2" xfId="23" applyNumberFormat="1" applyFont="1" applyFill="1" applyBorder="1" applyAlignment="1">
      <alignment horizontal="center" vertical="center" wrapText="1"/>
    </xf>
    <xf numFmtId="2" fontId="42" fillId="0" borderId="2" xfId="23" applyNumberFormat="1" applyFont="1" applyFill="1" applyBorder="1" applyAlignment="1">
      <alignment vertical="center"/>
    </xf>
    <xf numFmtId="2" fontId="20" fillId="0" borderId="2" xfId="23" applyNumberFormat="1" applyFont="1" applyFill="1" applyBorder="1" applyAlignment="1">
      <alignment horizontal="center" vertical="top" wrapText="1"/>
    </xf>
    <xf numFmtId="0" fontId="29" fillId="0" borderId="19" xfId="0" applyFont="1" applyFill="1" applyBorder="1" applyAlignment="1">
      <alignment horizontal="center" vertical="center"/>
    </xf>
    <xf numFmtId="2" fontId="20" fillId="0" borderId="13" xfId="0" applyNumberFormat="1" applyFont="1" applyFill="1" applyBorder="1" applyAlignment="1">
      <alignment horizontal="center" vertical="center"/>
    </xf>
    <xf numFmtId="0" fontId="20" fillId="0" borderId="15" xfId="23" applyFont="1" applyFill="1" applyBorder="1" applyAlignment="1">
      <alignment horizontal="left" vertical="center" wrapText="1"/>
    </xf>
    <xf numFmtId="2" fontId="42" fillId="0" borderId="15" xfId="23" applyNumberFormat="1" applyFont="1" applyFill="1" applyBorder="1" applyAlignment="1">
      <alignment vertical="center"/>
    </xf>
    <xf numFmtId="2" fontId="20" fillId="0" borderId="20" xfId="0" applyNumberFormat="1" applyFont="1" applyFill="1" applyBorder="1" applyAlignment="1">
      <alignment horizontal="center" vertical="center"/>
    </xf>
    <xf numFmtId="0" fontId="17" fillId="0" borderId="19" xfId="23" applyFont="1" applyFill="1" applyBorder="1" applyAlignment="1">
      <alignment horizontal="center" vertical="center" wrapText="1"/>
    </xf>
    <xf numFmtId="172" fontId="20" fillId="0" borderId="6" xfId="45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30" fillId="0" borderId="0" xfId="0" applyFont="1" applyFill="1" applyBorder="1"/>
    <xf numFmtId="2" fontId="56" fillId="0" borderId="13" xfId="0" applyNumberFormat="1" applyFont="1" applyFill="1" applyBorder="1" applyAlignment="1">
      <alignment horizontal="center" vertical="center" wrapText="1"/>
    </xf>
    <xf numFmtId="0" fontId="56" fillId="0" borderId="19" xfId="0" applyFont="1" applyFill="1" applyBorder="1" applyAlignment="1">
      <alignment horizontal="center" vertical="top" wrapText="1"/>
    </xf>
    <xf numFmtId="2" fontId="57" fillId="0" borderId="13" xfId="0" applyNumberFormat="1" applyFont="1" applyFill="1" applyBorder="1" applyAlignment="1">
      <alignment horizontal="center" vertical="top" wrapText="1"/>
    </xf>
    <xf numFmtId="2" fontId="57" fillId="0" borderId="13" xfId="0" applyNumberFormat="1" applyFont="1" applyFill="1" applyBorder="1" applyAlignment="1">
      <alignment horizontal="center" vertical="center" wrapText="1"/>
    </xf>
    <xf numFmtId="0" fontId="56" fillId="0" borderId="19" xfId="0" applyFont="1" applyFill="1" applyBorder="1" applyAlignment="1">
      <alignment vertical="center" wrapText="1"/>
    </xf>
    <xf numFmtId="0" fontId="27" fillId="0" borderId="19" xfId="0" applyFont="1" applyFill="1" applyBorder="1" applyAlignment="1">
      <alignment horizontal="center"/>
    </xf>
    <xf numFmtId="2" fontId="27" fillId="0" borderId="13" xfId="0" applyNumberFormat="1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2" fontId="30" fillId="0" borderId="13" xfId="0" applyNumberFormat="1" applyFont="1" applyFill="1" applyBorder="1" applyAlignment="1">
      <alignment horizontal="center"/>
    </xf>
    <xf numFmtId="0" fontId="56" fillId="0" borderId="14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2" fontId="57" fillId="0" borderId="15" xfId="0" applyNumberFormat="1" applyFont="1" applyFill="1" applyBorder="1" applyAlignment="1">
      <alignment horizontal="center" vertical="center" wrapText="1"/>
    </xf>
    <xf numFmtId="0" fontId="56" fillId="0" borderId="2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vertical="center" wrapText="1"/>
    </xf>
    <xf numFmtId="0" fontId="57" fillId="0" borderId="2" xfId="0" applyFont="1" applyFill="1" applyBorder="1" applyAlignment="1">
      <alignment horizontal="center" vertical="center" wrapText="1"/>
    </xf>
    <xf numFmtId="2" fontId="57" fillId="0" borderId="2" xfId="0" applyNumberFormat="1" applyFont="1" applyFill="1" applyBorder="1" applyAlignment="1">
      <alignment horizontal="center" vertical="center" wrapText="1"/>
    </xf>
    <xf numFmtId="2" fontId="57" fillId="0" borderId="26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horizontal="center"/>
    </xf>
    <xf numFmtId="0" fontId="50" fillId="0" borderId="0" xfId="0" applyFont="1" applyFill="1" applyBorder="1"/>
    <xf numFmtId="0" fontId="27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51" fillId="0" borderId="27" xfId="0" applyFont="1" applyFill="1" applyBorder="1" applyAlignment="1">
      <alignment vertical="center"/>
    </xf>
    <xf numFmtId="170" fontId="27" fillId="0" borderId="6" xfId="20" applyNumberFormat="1" applyFont="1" applyFill="1" applyBorder="1" applyAlignment="1">
      <alignment horizontal="left" vertical="center" wrapText="1"/>
    </xf>
    <xf numFmtId="0" fontId="27" fillId="0" borderId="6" xfId="5" applyFont="1" applyFill="1" applyBorder="1" applyAlignment="1">
      <alignment horizontal="center" vertical="center" wrapText="1"/>
    </xf>
    <xf numFmtId="166" fontId="28" fillId="0" borderId="6" xfId="5" applyNumberFormat="1" applyFont="1" applyFill="1" applyBorder="1" applyAlignment="1">
      <alignment horizontal="center" vertical="center" wrapText="1"/>
    </xf>
    <xf numFmtId="4" fontId="78" fillId="0" borderId="6" xfId="0" applyNumberFormat="1" applyFont="1" applyFill="1" applyBorder="1" applyAlignment="1">
      <alignment horizontal="center" vertical="center" wrapText="1"/>
    </xf>
    <xf numFmtId="166" fontId="79" fillId="0" borderId="6" xfId="5" applyNumberFormat="1" applyFont="1" applyFill="1" applyBorder="1" applyAlignment="1">
      <alignment horizontal="center" vertical="center" wrapText="1"/>
    </xf>
    <xf numFmtId="166" fontId="28" fillId="0" borderId="6" xfId="5" applyNumberFormat="1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left"/>
    </xf>
    <xf numFmtId="171" fontId="25" fillId="0" borderId="6" xfId="5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left" vertical="center" wrapText="1"/>
    </xf>
    <xf numFmtId="4" fontId="78" fillId="0" borderId="6" xfId="19" applyNumberFormat="1" applyFont="1" applyFill="1" applyBorder="1" applyAlignment="1">
      <alignment horizontal="center" vertical="center" wrapText="1"/>
    </xf>
    <xf numFmtId="4" fontId="90" fillId="0" borderId="6" xfId="0" applyNumberFormat="1" applyFont="1" applyFill="1" applyBorder="1" applyAlignment="1">
      <alignment horizontal="center"/>
    </xf>
    <xf numFmtId="4" fontId="90" fillId="0" borderId="6" xfId="19" applyNumberFormat="1" applyFont="1" applyFill="1" applyBorder="1" applyAlignment="1">
      <alignment horizontal="center"/>
    </xf>
    <xf numFmtId="169" fontId="90" fillId="0" borderId="6" xfId="0" applyNumberFormat="1" applyFont="1" applyFill="1" applyBorder="1" applyAlignment="1">
      <alignment horizontal="center"/>
    </xf>
    <xf numFmtId="0" fontId="28" fillId="0" borderId="19" xfId="5" applyFont="1" applyFill="1" applyBorder="1" applyAlignment="1">
      <alignment horizontal="center" vertical="center" wrapText="1"/>
    </xf>
    <xf numFmtId="0" fontId="25" fillId="0" borderId="19" xfId="5" applyFont="1" applyFill="1" applyBorder="1" applyAlignment="1">
      <alignment horizontal="center" vertical="center" wrapText="1"/>
    </xf>
    <xf numFmtId="0" fontId="78" fillId="0" borderId="19" xfId="0" applyFont="1" applyFill="1" applyBorder="1" applyAlignment="1">
      <alignment horizontal="center" vertical="center" wrapText="1"/>
    </xf>
    <xf numFmtId="0" fontId="90" fillId="0" borderId="19" xfId="0" applyFont="1" applyFill="1" applyBorder="1" applyAlignment="1">
      <alignment horizontal="center"/>
    </xf>
    <xf numFmtId="0" fontId="90" fillId="0" borderId="14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15" xfId="0" applyFont="1" applyFill="1" applyBorder="1" applyAlignment="1">
      <alignment horizontal="left"/>
    </xf>
    <xf numFmtId="169" fontId="90" fillId="0" borderId="15" xfId="0" applyNumberFormat="1" applyFont="1" applyFill="1" applyBorder="1" applyAlignment="1">
      <alignment horizontal="center"/>
    </xf>
    <xf numFmtId="4" fontId="90" fillId="0" borderId="15" xfId="0" applyNumberFormat="1" applyFont="1" applyFill="1" applyBorder="1" applyAlignment="1">
      <alignment horizontal="center"/>
    </xf>
    <xf numFmtId="4" fontId="90" fillId="0" borderId="15" xfId="19" applyNumberFormat="1" applyFont="1" applyFill="1" applyBorder="1" applyAlignment="1">
      <alignment horizontal="center"/>
    </xf>
    <xf numFmtId="0" fontId="60" fillId="0" borderId="27" xfId="0" applyFont="1" applyFill="1" applyBorder="1" applyAlignment="1">
      <alignment horizontal="center"/>
    </xf>
    <xf numFmtId="0" fontId="27" fillId="0" borderId="6" xfId="16" applyFont="1" applyFill="1" applyBorder="1" applyAlignment="1">
      <alignment horizontal="center" vertical="center"/>
    </xf>
    <xf numFmtId="0" fontId="27" fillId="0" borderId="6" xfId="16" applyFont="1" applyFill="1" applyBorder="1" applyAlignment="1">
      <alignment horizontal="left" vertical="center" wrapText="1"/>
    </xf>
    <xf numFmtId="164" fontId="27" fillId="0" borderId="6" xfId="16" applyNumberFormat="1" applyFont="1" applyFill="1" applyBorder="1" applyAlignment="1">
      <alignment horizontal="center" vertical="center"/>
    </xf>
    <xf numFmtId="2" fontId="25" fillId="0" borderId="6" xfId="3" applyNumberFormat="1" applyFont="1" applyFill="1" applyBorder="1" applyAlignment="1">
      <alignment horizontal="center" vertical="center"/>
    </xf>
    <xf numFmtId="2" fontId="25" fillId="0" borderId="6" xfId="16" applyNumberFormat="1" applyFont="1" applyFill="1" applyBorder="1" applyAlignment="1">
      <alignment horizontal="center" vertical="center"/>
    </xf>
    <xf numFmtId="0" fontId="30" fillId="0" borderId="6" xfId="16" applyFont="1" applyFill="1" applyBorder="1" applyAlignment="1">
      <alignment horizontal="center" vertical="center"/>
    </xf>
    <xf numFmtId="0" fontId="30" fillId="0" borderId="6" xfId="16" applyFont="1" applyFill="1" applyBorder="1" applyAlignment="1">
      <alignment horizontal="left" vertical="center"/>
    </xf>
    <xf numFmtId="2" fontId="30" fillId="0" borderId="6" xfId="16" applyNumberFormat="1" applyFont="1" applyFill="1" applyBorder="1" applyAlignment="1">
      <alignment horizontal="center" vertical="center"/>
    </xf>
    <xf numFmtId="164" fontId="25" fillId="0" borderId="6" xfId="16" applyNumberFormat="1" applyFont="1" applyFill="1" applyBorder="1" applyAlignment="1">
      <alignment horizontal="center" vertical="center"/>
    </xf>
    <xf numFmtId="164" fontId="27" fillId="0" borderId="6" xfId="0" applyNumberFormat="1" applyFont="1" applyFill="1" applyBorder="1" applyAlignment="1">
      <alignment horizontal="center" vertical="center" wrapText="1"/>
    </xf>
    <xf numFmtId="0" fontId="91" fillId="0" borderId="6" xfId="0" applyFont="1" applyFill="1" applyBorder="1" applyAlignment="1">
      <alignment horizontal="center" vertical="center" wrapText="1"/>
    </xf>
    <xf numFmtId="0" fontId="91" fillId="0" borderId="6" xfId="0" applyFont="1" applyFill="1" applyBorder="1" applyAlignment="1">
      <alignment vertical="center"/>
    </xf>
    <xf numFmtId="0" fontId="27" fillId="0" borderId="6" xfId="0" applyNumberFormat="1" applyFont="1" applyFill="1" applyBorder="1" applyAlignment="1">
      <alignment horizontal="center" vertical="center" wrapText="1"/>
    </xf>
    <xf numFmtId="164" fontId="30" fillId="0" borderId="6" xfId="16" applyNumberFormat="1" applyFont="1" applyFill="1" applyBorder="1" applyAlignment="1">
      <alignment horizontal="center" vertical="center"/>
    </xf>
    <xf numFmtId="164" fontId="30" fillId="0" borderId="6" xfId="0" applyNumberFormat="1" applyFont="1" applyFill="1" applyBorder="1" applyAlignment="1">
      <alignment horizontal="center" vertical="center" wrapText="1"/>
    </xf>
    <xf numFmtId="0" fontId="27" fillId="0" borderId="6" xfId="42" applyFont="1" applyFill="1" applyBorder="1" applyAlignment="1">
      <alignment horizontal="center" vertical="center"/>
    </xf>
    <xf numFmtId="2" fontId="27" fillId="0" borderId="6" xfId="42" applyNumberFormat="1" applyFont="1" applyFill="1" applyBorder="1" applyAlignment="1">
      <alignment horizontal="center" vertical="center"/>
    </xf>
    <xf numFmtId="0" fontId="30" fillId="0" borderId="0" xfId="49" applyFont="1" applyFill="1" applyAlignment="1">
      <alignment vertical="top"/>
    </xf>
    <xf numFmtId="0" fontId="30" fillId="0" borderId="0" xfId="49" applyFont="1" applyFill="1"/>
    <xf numFmtId="0" fontId="30" fillId="0" borderId="6" xfId="42" applyFont="1" applyFill="1" applyBorder="1" applyAlignment="1">
      <alignment horizontal="left" vertical="center"/>
    </xf>
    <xf numFmtId="0" fontId="30" fillId="0" borderId="6" xfId="42" applyFont="1" applyFill="1" applyBorder="1" applyAlignment="1">
      <alignment horizontal="center" vertical="center"/>
    </xf>
    <xf numFmtId="2" fontId="30" fillId="0" borderId="6" xfId="42" applyNumberFormat="1" applyFont="1" applyFill="1" applyBorder="1" applyAlignment="1">
      <alignment horizontal="center" vertical="center"/>
    </xf>
    <xf numFmtId="0" fontId="30" fillId="0" borderId="6" xfId="49" applyFont="1" applyFill="1" applyBorder="1"/>
    <xf numFmtId="0" fontId="92" fillId="0" borderId="0" xfId="40" applyFont="1" applyFill="1" applyAlignment="1">
      <alignment vertical="top"/>
    </xf>
    <xf numFmtId="0" fontId="30" fillId="0" borderId="6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left" vertical="center"/>
    </xf>
    <xf numFmtId="0" fontId="93" fillId="0" borderId="0" xfId="50" applyFont="1" applyFill="1" applyAlignment="1">
      <alignment vertical="top"/>
    </xf>
    <xf numFmtId="0" fontId="27" fillId="0" borderId="6" xfId="39" applyFont="1" applyFill="1" applyBorder="1" applyAlignment="1">
      <alignment horizontal="center" vertical="center"/>
    </xf>
    <xf numFmtId="0" fontId="27" fillId="0" borderId="6" xfId="39" applyFont="1" applyFill="1" applyBorder="1" applyAlignment="1">
      <alignment horizontal="left" vertical="center" wrapText="1"/>
    </xf>
    <xf numFmtId="2" fontId="27" fillId="0" borderId="6" xfId="39" applyNumberFormat="1" applyFont="1" applyFill="1" applyBorder="1" applyAlignment="1">
      <alignment horizontal="center" vertical="center"/>
    </xf>
    <xf numFmtId="2" fontId="27" fillId="0" borderId="6" xfId="39" applyNumberFormat="1" applyFont="1" applyFill="1" applyBorder="1" applyAlignment="1">
      <alignment horizontal="center" vertical="top"/>
    </xf>
    <xf numFmtId="0" fontId="30" fillId="0" borderId="6" xfId="39" applyFont="1" applyFill="1" applyBorder="1" applyAlignment="1">
      <alignment horizontal="center" vertical="top"/>
    </xf>
    <xf numFmtId="0" fontId="30" fillId="0" borderId="6" xfId="39" applyFont="1" applyFill="1" applyBorder="1" applyAlignment="1">
      <alignment horizontal="left" vertical="top"/>
    </xf>
    <xf numFmtId="2" fontId="30" fillId="0" borderId="6" xfId="39" applyNumberFormat="1" applyFont="1" applyFill="1" applyBorder="1" applyAlignment="1">
      <alignment horizontal="center" vertical="top"/>
    </xf>
    <xf numFmtId="2" fontId="30" fillId="0" borderId="6" xfId="42" applyNumberFormat="1" applyFont="1" applyFill="1" applyBorder="1" applyAlignment="1">
      <alignment horizontal="center" vertical="center" wrapText="1"/>
    </xf>
    <xf numFmtId="0" fontId="93" fillId="0" borderId="0" xfId="50" applyFont="1" applyFill="1"/>
    <xf numFmtId="0" fontId="27" fillId="0" borderId="6" xfId="0" applyFont="1" applyFill="1" applyBorder="1" applyAlignment="1"/>
    <xf numFmtId="0" fontId="30" fillId="0" borderId="2" xfId="16" applyFont="1" applyFill="1" applyBorder="1" applyAlignment="1">
      <alignment horizontal="center" vertical="center"/>
    </xf>
    <xf numFmtId="0" fontId="30" fillId="0" borderId="2" xfId="16" applyFont="1" applyFill="1" applyBorder="1" applyAlignment="1">
      <alignment horizontal="left" vertical="center"/>
    </xf>
    <xf numFmtId="2" fontId="30" fillId="0" borderId="2" xfId="16" applyNumberFormat="1" applyFont="1" applyFill="1" applyBorder="1" applyAlignment="1">
      <alignment horizontal="center" vertical="center"/>
    </xf>
    <xf numFmtId="164" fontId="25" fillId="0" borderId="2" xfId="16" applyNumberFormat="1" applyFont="1" applyFill="1" applyBorder="1" applyAlignment="1">
      <alignment horizontal="center" vertical="center"/>
    </xf>
    <xf numFmtId="2" fontId="25" fillId="0" borderId="2" xfId="3" applyNumberFormat="1" applyFont="1" applyFill="1" applyBorder="1" applyAlignment="1">
      <alignment horizontal="center" vertical="center"/>
    </xf>
    <xf numFmtId="2" fontId="25" fillId="0" borderId="2" xfId="16" applyNumberFormat="1" applyFont="1" applyFill="1" applyBorder="1" applyAlignment="1">
      <alignment horizontal="center" vertical="center"/>
    </xf>
    <xf numFmtId="0" fontId="27" fillId="0" borderId="19" xfId="42" applyFont="1" applyFill="1" applyBorder="1" applyAlignment="1">
      <alignment horizontal="center" vertical="center"/>
    </xf>
    <xf numFmtId="0" fontId="30" fillId="0" borderId="19" xfId="42" applyFont="1" applyFill="1" applyBorder="1" applyAlignment="1">
      <alignment horizontal="center" vertical="top"/>
    </xf>
    <xf numFmtId="0" fontId="27" fillId="0" borderId="19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top"/>
    </xf>
    <xf numFmtId="0" fontId="27" fillId="0" borderId="19" xfId="39" applyFont="1" applyFill="1" applyBorder="1" applyAlignment="1">
      <alignment horizontal="center" vertical="top"/>
    </xf>
    <xf numFmtId="0" fontId="30" fillId="0" borderId="19" xfId="39" applyFont="1" applyFill="1" applyBorder="1" applyAlignment="1">
      <alignment horizontal="center" vertical="top"/>
    </xf>
    <xf numFmtId="0" fontId="30" fillId="0" borderId="19" xfId="42" applyFont="1" applyFill="1" applyBorder="1" applyAlignment="1">
      <alignment horizontal="center"/>
    </xf>
    <xf numFmtId="0" fontId="27" fillId="0" borderId="19" xfId="16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  <xf numFmtId="0" fontId="30" fillId="0" borderId="19" xfId="16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0" fillId="0" borderId="14" xfId="42" applyFont="1" applyFill="1" applyBorder="1" applyAlignment="1">
      <alignment horizontal="center"/>
    </xf>
    <xf numFmtId="0" fontId="30" fillId="0" borderId="15" xfId="42" applyFont="1" applyFill="1" applyBorder="1" applyAlignment="1">
      <alignment horizontal="left" vertical="center"/>
    </xf>
    <xf numFmtId="0" fontId="30" fillId="0" borderId="15" xfId="42" applyFont="1" applyFill="1" applyBorder="1" applyAlignment="1">
      <alignment horizontal="center" vertical="center"/>
    </xf>
    <xf numFmtId="2" fontId="30" fillId="0" borderId="15" xfId="42" applyNumberFormat="1" applyFont="1" applyFill="1" applyBorder="1" applyAlignment="1">
      <alignment horizontal="center" vertical="center"/>
    </xf>
    <xf numFmtId="2" fontId="30" fillId="0" borderId="15" xfId="42" applyNumberFormat="1" applyFont="1" applyFill="1" applyBorder="1" applyAlignment="1">
      <alignment horizontal="center" vertical="center" wrapText="1"/>
    </xf>
    <xf numFmtId="2" fontId="27" fillId="0" borderId="13" xfId="42" applyNumberFormat="1" applyFont="1" applyFill="1" applyBorder="1" applyAlignment="1">
      <alignment horizontal="center" vertical="center"/>
    </xf>
    <xf numFmtId="2" fontId="30" fillId="0" borderId="13" xfId="42" applyNumberFormat="1" applyFont="1" applyFill="1" applyBorder="1" applyAlignment="1">
      <alignment horizontal="center" vertical="center"/>
    </xf>
    <xf numFmtId="2" fontId="27" fillId="0" borderId="13" xfId="0" applyNumberFormat="1" applyFont="1" applyFill="1" applyBorder="1" applyAlignment="1">
      <alignment horizontal="center" vertical="center"/>
    </xf>
    <xf numFmtId="2" fontId="27" fillId="0" borderId="13" xfId="39" applyNumberFormat="1" applyFont="1" applyFill="1" applyBorder="1" applyAlignment="1">
      <alignment horizontal="center" vertical="top"/>
    </xf>
    <xf numFmtId="2" fontId="30" fillId="0" borderId="13" xfId="42" applyNumberFormat="1" applyFont="1" applyFill="1" applyBorder="1" applyAlignment="1">
      <alignment horizontal="center" vertical="center" wrapText="1"/>
    </xf>
    <xf numFmtId="2" fontId="30" fillId="0" borderId="20" xfId="42" applyNumberFormat="1" applyFont="1" applyFill="1" applyBorder="1" applyAlignment="1">
      <alignment horizontal="center" vertical="center" wrapText="1"/>
    </xf>
    <xf numFmtId="2" fontId="25" fillId="0" borderId="13" xfId="16" applyNumberFormat="1" applyFont="1" applyFill="1" applyBorder="1" applyAlignment="1">
      <alignment horizontal="center" vertical="center"/>
    </xf>
    <xf numFmtId="2" fontId="30" fillId="0" borderId="13" xfId="0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/>
    </xf>
    <xf numFmtId="0" fontId="30" fillId="0" borderId="15" xfId="0" applyFont="1" applyFill="1" applyBorder="1"/>
    <xf numFmtId="2" fontId="30" fillId="0" borderId="15" xfId="0" applyNumberFormat="1" applyFont="1" applyFill="1" applyBorder="1" applyAlignment="1">
      <alignment horizontal="center"/>
    </xf>
    <xf numFmtId="2" fontId="30" fillId="0" borderId="20" xfId="0" applyNumberFormat="1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 vertical="center" wrapText="1"/>
    </xf>
    <xf numFmtId="2" fontId="20" fillId="0" borderId="13" xfId="0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top" wrapText="1"/>
    </xf>
    <xf numFmtId="2" fontId="20" fillId="0" borderId="13" xfId="0" applyNumberFormat="1" applyFont="1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5" xfId="0" applyNumberFormat="1" applyFont="1" applyFill="1" applyBorder="1" applyAlignment="1">
      <alignment horizontal="center" vertical="top" wrapText="1"/>
    </xf>
    <xf numFmtId="2" fontId="20" fillId="0" borderId="15" xfId="0" applyNumberFormat="1" applyFont="1" applyFill="1" applyBorder="1" applyAlignment="1">
      <alignment horizontal="center" vertical="top" wrapText="1"/>
    </xf>
    <xf numFmtId="2" fontId="20" fillId="0" borderId="20" xfId="0" applyNumberFormat="1" applyFont="1" applyFill="1" applyBorder="1" applyAlignment="1">
      <alignment horizontal="center" vertical="top" wrapText="1"/>
    </xf>
    <xf numFmtId="4" fontId="20" fillId="0" borderId="6" xfId="9" applyNumberFormat="1" applyFont="1" applyFill="1" applyBorder="1" applyAlignment="1">
      <alignment horizontal="center" vertical="center" wrapText="1"/>
    </xf>
    <xf numFmtId="2" fontId="40" fillId="0" borderId="6" xfId="3" applyNumberFormat="1" applyFont="1" applyFill="1" applyBorder="1" applyAlignment="1">
      <alignment horizontal="center" vertical="center"/>
    </xf>
    <xf numFmtId="2" fontId="40" fillId="0" borderId="6" xfId="16" applyNumberFormat="1" applyFont="1" applyFill="1" applyBorder="1" applyAlignment="1">
      <alignment horizontal="center" vertical="center"/>
    </xf>
    <xf numFmtId="167" fontId="20" fillId="0" borderId="6" xfId="16" applyNumberFormat="1" applyFont="1" applyFill="1" applyBorder="1" applyAlignment="1">
      <alignment horizontal="center" vertical="center"/>
    </xf>
    <xf numFmtId="0" fontId="20" fillId="0" borderId="6" xfId="16" applyFont="1" applyFill="1" applyBorder="1" applyAlignment="1">
      <alignment horizontal="left"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0" fontId="20" fillId="0" borderId="6" xfId="14" applyNumberFormat="1" applyFont="1" applyFill="1" applyBorder="1" applyAlignment="1">
      <alignment horizontal="center" vertical="top" wrapText="1"/>
    </xf>
    <xf numFmtId="0" fontId="35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0" fontId="32" fillId="0" borderId="6" xfId="0" applyFont="1" applyFill="1" applyBorder="1"/>
    <xf numFmtId="0" fontId="32" fillId="0" borderId="0" xfId="0" applyFont="1" applyFill="1" applyAlignment="1">
      <alignment horizontal="center"/>
    </xf>
    <xf numFmtId="0" fontId="32" fillId="0" borderId="0" xfId="0" applyFont="1" applyFill="1"/>
    <xf numFmtId="0" fontId="42" fillId="0" borderId="0" xfId="0" applyFont="1" applyFill="1" applyAlignment="1">
      <alignment horizontal="center"/>
    </xf>
    <xf numFmtId="4" fontId="17" fillId="0" borderId="6" xfId="8" applyNumberFormat="1" applyFont="1" applyFill="1" applyBorder="1" applyAlignment="1">
      <alignment horizontal="center" vertical="center"/>
    </xf>
    <xf numFmtId="4" fontId="20" fillId="0" borderId="6" xfId="8" applyNumberFormat="1" applyFont="1" applyFill="1" applyBorder="1" applyAlignment="1">
      <alignment horizontal="center" vertical="center" wrapText="1"/>
    </xf>
    <xf numFmtId="0" fontId="35" fillId="0" borderId="0" xfId="8" applyFont="1" applyFill="1" applyAlignment="1">
      <alignment horizontal="center" vertical="center"/>
    </xf>
    <xf numFmtId="0" fontId="35" fillId="0" borderId="0" xfId="8" applyFont="1" applyFill="1" applyAlignment="1">
      <alignment vertical="center"/>
    </xf>
    <xf numFmtId="169" fontId="20" fillId="0" borderId="6" xfId="8" applyNumberFormat="1" applyFont="1" applyFill="1" applyBorder="1" applyAlignment="1">
      <alignment horizontal="center" vertical="center"/>
    </xf>
    <xf numFmtId="4" fontId="20" fillId="0" borderId="6" xfId="8" applyNumberFormat="1" applyFont="1" applyFill="1" applyBorder="1" applyAlignment="1">
      <alignment horizontal="center" vertical="center"/>
    </xf>
    <xf numFmtId="0" fontId="96" fillId="0" borderId="6" xfId="0" applyFont="1" applyFill="1" applyBorder="1" applyAlignment="1">
      <alignment horizontal="left" vertical="center" wrapText="1"/>
    </xf>
    <xf numFmtId="0" fontId="40" fillId="0" borderId="6" xfId="0" applyFont="1" applyFill="1" applyBorder="1" applyAlignment="1">
      <alignment horizontal="center"/>
    </xf>
    <xf numFmtId="0" fontId="64" fillId="0" borderId="0" xfId="8" applyFont="1" applyFill="1" applyAlignment="1">
      <alignment horizontal="center" vertical="center"/>
    </xf>
    <xf numFmtId="0" fontId="64" fillId="0" borderId="0" xfId="8" applyFont="1" applyFill="1" applyAlignment="1">
      <alignment vertical="center"/>
    </xf>
    <xf numFmtId="2" fontId="51" fillId="0" borderId="6" xfId="0" applyNumberFormat="1" applyFont="1" applyFill="1" applyBorder="1" applyAlignment="1">
      <alignment vertical="center"/>
    </xf>
    <xf numFmtId="1" fontId="17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35" fillId="0" borderId="0" xfId="8" applyFont="1" applyFill="1" applyAlignment="1">
      <alignment horizontal="left" vertical="center"/>
    </xf>
    <xf numFmtId="0" fontId="35" fillId="0" borderId="0" xfId="8" applyFont="1" applyFill="1" applyAlignment="1">
      <alignment horizontal="left" vertical="center" wrapText="1"/>
    </xf>
    <xf numFmtId="0" fontId="35" fillId="0" borderId="0" xfId="0" applyFont="1" applyFill="1" applyAlignment="1">
      <alignment horizontal="left" vertical="center"/>
    </xf>
    <xf numFmtId="0" fontId="98" fillId="0" borderId="0" xfId="53" applyFill="1" applyAlignment="1">
      <alignment horizontal="left" vertical="center"/>
    </xf>
    <xf numFmtId="0" fontId="42" fillId="0" borderId="6" xfId="0" applyFont="1" applyFill="1" applyBorder="1" applyAlignment="1">
      <alignment vertical="center"/>
    </xf>
    <xf numFmtId="0" fontId="42" fillId="0" borderId="0" xfId="0" applyFont="1" applyFill="1" applyAlignment="1">
      <alignment horizontal="center" vertical="center"/>
    </xf>
    <xf numFmtId="1" fontId="20" fillId="0" borderId="6" xfId="14" applyNumberFormat="1" applyFont="1" applyFill="1" applyBorder="1" applyAlignment="1">
      <alignment horizontal="center" vertical="center" wrapText="1"/>
    </xf>
    <xf numFmtId="0" fontId="98" fillId="0" borderId="0" xfId="53" applyFill="1" applyBorder="1" applyAlignment="1">
      <alignment horizontal="center" vertical="center"/>
    </xf>
    <xf numFmtId="2" fontId="30" fillId="0" borderId="6" xfId="1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top" wrapText="1"/>
    </xf>
    <xf numFmtId="0" fontId="27" fillId="0" borderId="6" xfId="0" applyFont="1" applyFill="1" applyBorder="1" applyAlignment="1">
      <alignment horizontal="left" vertical="top" wrapText="1"/>
    </xf>
    <xf numFmtId="4" fontId="27" fillId="0" borderId="6" xfId="0" applyNumberFormat="1" applyFont="1" applyFill="1" applyBorder="1" applyAlignment="1">
      <alignment horizontal="center" vertical="top" wrapText="1"/>
    </xf>
    <xf numFmtId="2" fontId="27" fillId="0" borderId="6" xfId="0" applyNumberFormat="1" applyFont="1" applyFill="1" applyBorder="1" applyAlignment="1">
      <alignment horizontal="center" vertical="top" wrapText="1"/>
    </xf>
    <xf numFmtId="2" fontId="30" fillId="0" borderId="6" xfId="0" applyNumberFormat="1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left" vertical="top" wrapText="1"/>
    </xf>
    <xf numFmtId="2" fontId="30" fillId="0" borderId="6" xfId="8" applyNumberFormat="1" applyFont="1" applyFill="1" applyBorder="1" applyAlignment="1">
      <alignment horizontal="center" vertical="center" wrapText="1"/>
    </xf>
    <xf numFmtId="2" fontId="74" fillId="0" borderId="6" xfId="0" applyNumberFormat="1" applyFont="1" applyFill="1" applyBorder="1" applyAlignment="1">
      <alignment horizontal="center" vertical="center"/>
    </xf>
    <xf numFmtId="0" fontId="30" fillId="0" borderId="6" xfId="14" applyFont="1" applyFill="1" applyBorder="1" applyAlignment="1">
      <alignment vertical="center" wrapText="1"/>
    </xf>
    <xf numFmtId="0" fontId="30" fillId="0" borderId="6" xfId="14" applyNumberFormat="1" applyFont="1" applyFill="1" applyBorder="1" applyAlignment="1">
      <alignment horizontal="center" vertical="center" wrapText="1"/>
    </xf>
    <xf numFmtId="0" fontId="27" fillId="0" borderId="6" xfId="21" applyFont="1" applyFill="1" applyBorder="1" applyAlignment="1">
      <alignment horizontal="center" vertical="center"/>
    </xf>
    <xf numFmtId="0" fontId="27" fillId="0" borderId="6" xfId="14" applyFont="1" applyFill="1" applyBorder="1" applyAlignment="1">
      <alignment vertical="center" wrapText="1"/>
    </xf>
    <xf numFmtId="0" fontId="30" fillId="0" borderId="6" xfId="21" applyFont="1" applyFill="1" applyBorder="1" applyAlignment="1">
      <alignment horizontal="center" vertical="center" wrapText="1"/>
    </xf>
    <xf numFmtId="0" fontId="27" fillId="0" borderId="6" xfId="21" applyNumberFormat="1" applyFont="1" applyFill="1" applyBorder="1" applyAlignment="1">
      <alignment horizontal="center" vertical="center" wrapText="1"/>
    </xf>
    <xf numFmtId="2" fontId="30" fillId="0" borderId="6" xfId="22" applyNumberFormat="1" applyFont="1" applyFill="1" applyBorder="1" applyAlignment="1">
      <alignment vertical="center" wrapText="1"/>
    </xf>
    <xf numFmtId="0" fontId="30" fillId="0" borderId="6" xfId="21" applyNumberFormat="1" applyFont="1" applyFill="1" applyBorder="1" applyAlignment="1">
      <alignment horizontal="center" vertical="center" wrapText="1"/>
    </xf>
    <xf numFmtId="2" fontId="30" fillId="0" borderId="6" xfId="21" applyNumberFormat="1" applyFont="1" applyFill="1" applyBorder="1" applyAlignment="1">
      <alignment horizontal="center" vertical="center"/>
    </xf>
    <xf numFmtId="0" fontId="27" fillId="0" borderId="6" xfId="0" applyNumberFormat="1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vertical="top" wrapText="1"/>
    </xf>
    <xf numFmtId="1" fontId="27" fillId="0" borderId="6" xfId="0" applyNumberFormat="1" applyFont="1" applyFill="1" applyBorder="1" applyAlignment="1">
      <alignment horizontal="center" vertical="top" wrapText="1"/>
    </xf>
    <xf numFmtId="1" fontId="27" fillId="0" borderId="6" xfId="0" applyNumberFormat="1" applyFont="1" applyFill="1" applyBorder="1" applyAlignment="1">
      <alignment horizontal="center" vertical="center" wrapText="1"/>
    </xf>
    <xf numFmtId="1" fontId="30" fillId="0" borderId="6" xfId="0" applyNumberFormat="1" applyFont="1" applyFill="1" applyBorder="1" applyAlignment="1">
      <alignment horizontal="center" vertical="top" wrapText="1"/>
    </xf>
    <xf numFmtId="165" fontId="30" fillId="0" borderId="6" xfId="0" applyNumberFormat="1" applyFont="1" applyFill="1" applyBorder="1" applyAlignment="1">
      <alignment horizontal="center" vertical="top" wrapText="1"/>
    </xf>
    <xf numFmtId="0" fontId="30" fillId="0" borderId="6" xfId="0" applyNumberFormat="1" applyFont="1" applyFill="1" applyBorder="1" applyAlignment="1">
      <alignment horizontal="center" vertical="top" wrapText="1"/>
    </xf>
    <xf numFmtId="164" fontId="30" fillId="0" borderId="6" xfId="0" applyNumberFormat="1" applyFont="1" applyFill="1" applyBorder="1" applyAlignment="1">
      <alignment horizontal="center" vertical="top" wrapText="1"/>
    </xf>
    <xf numFmtId="1" fontId="30" fillId="0" borderId="6" xfId="0" applyNumberFormat="1" applyFont="1" applyFill="1" applyBorder="1" applyAlignment="1">
      <alignment horizontal="center" vertical="center" wrapText="1"/>
    </xf>
    <xf numFmtId="164" fontId="90" fillId="0" borderId="6" xfId="0" applyNumberFormat="1" applyFont="1" applyFill="1" applyBorder="1" applyAlignment="1">
      <alignment horizontal="center" vertical="top" wrapText="1"/>
    </xf>
    <xf numFmtId="4" fontId="30" fillId="0" borderId="6" xfId="0" applyNumberFormat="1" applyFont="1" applyFill="1" applyBorder="1" applyAlignment="1">
      <alignment horizontal="center" vertical="center" wrapText="1"/>
    </xf>
    <xf numFmtId="0" fontId="69" fillId="0" borderId="6" xfId="0" applyFont="1" applyFill="1" applyBorder="1" applyAlignment="1">
      <alignment horizontal="center" vertical="center" wrapText="1"/>
    </xf>
    <xf numFmtId="0" fontId="30" fillId="0" borderId="6" xfId="14" applyFont="1" applyFill="1" applyBorder="1" applyAlignment="1">
      <alignment horizontal="center" vertical="top" wrapText="1"/>
    </xf>
    <xf numFmtId="0" fontId="30" fillId="0" borderId="6" xfId="14" applyFont="1" applyFill="1" applyBorder="1" applyAlignment="1">
      <alignment horizontal="left" vertical="top" wrapText="1"/>
    </xf>
    <xf numFmtId="0" fontId="25" fillId="0" borderId="6" xfId="14" applyNumberFormat="1" applyFont="1" applyFill="1" applyBorder="1" applyAlignment="1">
      <alignment horizontal="center" vertical="top" wrapText="1"/>
    </xf>
    <xf numFmtId="2" fontId="30" fillId="0" borderId="6" xfId="14" applyNumberFormat="1" applyFont="1" applyFill="1" applyBorder="1" applyAlignment="1">
      <alignment horizontal="center" vertical="top" wrapText="1"/>
    </xf>
    <xf numFmtId="0" fontId="32" fillId="0" borderId="6" xfId="14" applyFont="1" applyFill="1" applyBorder="1"/>
    <xf numFmtId="0" fontId="20" fillId="0" borderId="6" xfId="14" applyFont="1" applyFill="1" applyBorder="1"/>
    <xf numFmtId="0" fontId="17" fillId="0" borderId="6" xfId="14" applyFont="1" applyFill="1" applyBorder="1" applyAlignment="1">
      <alignment horizontal="left" vertical="center" wrapText="1"/>
    </xf>
    <xf numFmtId="0" fontId="27" fillId="0" borderId="6" xfId="2" applyFont="1" applyFill="1" applyBorder="1" applyAlignment="1">
      <alignment horizontal="center" vertical="center"/>
    </xf>
    <xf numFmtId="2" fontId="27" fillId="0" borderId="6" xfId="2" applyNumberFormat="1" applyFont="1" applyFill="1" applyBorder="1" applyAlignment="1">
      <alignment horizontal="center" vertical="center"/>
    </xf>
    <xf numFmtId="2" fontId="27" fillId="0" borderId="6" xfId="2" applyNumberFormat="1" applyFont="1" applyFill="1" applyBorder="1" applyAlignment="1">
      <alignment horizontal="center" vertical="center" wrapText="1"/>
    </xf>
    <xf numFmtId="166" fontId="27" fillId="0" borderId="6" xfId="8" applyNumberFormat="1" applyFont="1" applyFill="1" applyBorder="1" applyAlignment="1">
      <alignment horizontal="center" vertical="center"/>
    </xf>
    <xf numFmtId="0" fontId="97" fillId="0" borderId="6" xfId="52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vertical="center"/>
    </xf>
    <xf numFmtId="0" fontId="20" fillId="0" borderId="0" xfId="14" applyFont="1" applyFill="1" applyBorder="1" applyAlignment="1">
      <alignment horizontal="left" wrapText="1"/>
    </xf>
    <xf numFmtId="0" fontId="20" fillId="0" borderId="11" xfId="14" applyFont="1" applyFill="1" applyBorder="1" applyAlignment="1">
      <alignment horizontal="center" vertical="center" wrapText="1"/>
    </xf>
    <xf numFmtId="0" fontId="29" fillId="0" borderId="0" xfId="2" applyFont="1" applyFill="1" applyAlignment="1">
      <alignment horizontal="center" vertical="center" wrapText="1"/>
    </xf>
    <xf numFmtId="2" fontId="31" fillId="0" borderId="0" xfId="1" applyNumberFormat="1" applyFont="1" applyFill="1" applyAlignment="1">
      <alignment horizontal="center" vertical="center" wrapText="1"/>
    </xf>
    <xf numFmtId="0" fontId="56" fillId="0" borderId="19" xfId="0" applyFont="1" applyFill="1" applyBorder="1" applyAlignment="1">
      <alignment horizontal="center" vertical="center" wrapText="1"/>
    </xf>
    <xf numFmtId="0" fontId="30" fillId="0" borderId="21" xfId="0" applyFont="1" applyFill="1" applyBorder="1"/>
    <xf numFmtId="0" fontId="30" fillId="0" borderId="22" xfId="0" applyFont="1" applyFill="1" applyBorder="1"/>
    <xf numFmtId="0" fontId="27" fillId="0" borderId="22" xfId="0" applyFont="1" applyFill="1" applyBorder="1" applyAlignment="1">
      <alignment horizontal="center"/>
    </xf>
    <xf numFmtId="0" fontId="30" fillId="0" borderId="23" xfId="0" applyFont="1" applyFill="1" applyBorder="1"/>
    <xf numFmtId="0" fontId="30" fillId="0" borderId="24" xfId="0" applyFont="1" applyFill="1" applyBorder="1"/>
    <xf numFmtId="0" fontId="30" fillId="0" borderId="12" xfId="0" applyFont="1" applyFill="1" applyBorder="1"/>
    <xf numFmtId="0" fontId="27" fillId="0" borderId="22" xfId="0" applyFont="1" applyFill="1" applyBorder="1" applyAlignment="1">
      <alignment horizontal="center" wrapText="1"/>
    </xf>
    <xf numFmtId="0" fontId="12" fillId="0" borderId="24" xfId="0" applyFont="1" applyFill="1" applyBorder="1" applyAlignment="1">
      <alignment horizontal="center" vertical="center"/>
    </xf>
    <xf numFmtId="0" fontId="30" fillId="0" borderId="2" xfId="0" applyFont="1" applyFill="1" applyBorder="1"/>
    <xf numFmtId="0" fontId="27" fillId="0" borderId="2" xfId="0" applyFont="1" applyFill="1" applyBorder="1" applyAlignment="1">
      <alignment horizontal="center"/>
    </xf>
    <xf numFmtId="0" fontId="30" fillId="0" borderId="8" xfId="0" applyFont="1" applyFill="1" applyBorder="1"/>
    <xf numFmtId="0" fontId="30" fillId="0" borderId="9" xfId="0" applyFont="1" applyFill="1" applyBorder="1"/>
    <xf numFmtId="164" fontId="28" fillId="0" borderId="6" xfId="16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/>
    </xf>
    <xf numFmtId="2" fontId="20" fillId="0" borderId="6" xfId="0" applyNumberFormat="1" applyFont="1" applyFill="1" applyBorder="1" applyAlignment="1">
      <alignment horizontal="center"/>
    </xf>
    <xf numFmtId="2" fontId="20" fillId="0" borderId="6" xfId="44" applyNumberFormat="1" applyFont="1" applyFill="1" applyBorder="1" applyAlignment="1">
      <alignment horizontal="center"/>
    </xf>
    <xf numFmtId="0" fontId="30" fillId="0" borderId="21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167" fontId="28" fillId="0" borderId="6" xfId="16" applyNumberFormat="1" applyFont="1" applyFill="1" applyBorder="1" applyAlignment="1">
      <alignment horizontal="center" vertical="center"/>
    </xf>
    <xf numFmtId="164" fontId="27" fillId="0" borderId="6" xfId="0" applyNumberFormat="1" applyFont="1" applyFill="1" applyBorder="1" applyAlignment="1">
      <alignment horizontal="center"/>
    </xf>
    <xf numFmtId="164" fontId="17" fillId="0" borderId="6" xfId="0" applyNumberFormat="1" applyFont="1" applyFill="1" applyBorder="1" applyAlignment="1">
      <alignment horizontal="center" vertical="center" wrapText="1"/>
    </xf>
    <xf numFmtId="165" fontId="17" fillId="0" borderId="6" xfId="0" applyNumberFormat="1" applyFont="1" applyFill="1" applyBorder="1" applyAlignment="1">
      <alignment horizontal="center" vertical="center" wrapText="1"/>
    </xf>
    <xf numFmtId="0" fontId="20" fillId="0" borderId="6" xfId="40" applyFont="1" applyFill="1" applyBorder="1" applyAlignment="1">
      <alignment horizontal="center"/>
    </xf>
    <xf numFmtId="164" fontId="40" fillId="0" borderId="6" xfId="16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2" fontId="20" fillId="0" borderId="11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2" fontId="20" fillId="0" borderId="17" xfId="0" applyNumberFormat="1" applyFont="1" applyFill="1" applyBorder="1" applyAlignment="1">
      <alignment horizontal="center" vertical="center" wrapText="1"/>
    </xf>
    <xf numFmtId="0" fontId="97" fillId="0" borderId="0" xfId="52" applyFont="1" applyFill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2" fontId="20" fillId="0" borderId="7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2" fontId="20" fillId="0" borderId="29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20" fillId="0" borderId="6" xfId="0" applyNumberFormat="1" applyFont="1" applyFill="1" applyBorder="1" applyAlignment="1">
      <alignment vertical="center" wrapText="1"/>
    </xf>
    <xf numFmtId="2" fontId="20" fillId="0" borderId="6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2" fontId="42" fillId="0" borderId="0" xfId="0" applyNumberFormat="1" applyFont="1" applyFill="1" applyBorder="1" applyAlignment="1">
      <alignment vertical="center"/>
    </xf>
    <xf numFmtId="0" fontId="15" fillId="0" borderId="6" xfId="5" quotePrefix="1" applyNumberFormat="1" applyFont="1" applyFill="1" applyBorder="1" applyAlignment="1">
      <alignment horizontal="center" vertical="center" wrapText="1"/>
    </xf>
    <xf numFmtId="0" fontId="16" fillId="0" borderId="6" xfId="5" quotePrefix="1" applyNumberFormat="1" applyFont="1" applyFill="1" applyBorder="1" applyAlignment="1">
      <alignment horizontal="center" wrapText="1"/>
    </xf>
    <xf numFmtId="0" fontId="18" fillId="0" borderId="6" xfId="5" quotePrefix="1" applyNumberFormat="1" applyFont="1" applyFill="1" applyBorder="1" applyAlignment="1">
      <alignment horizontal="center" wrapText="1"/>
    </xf>
    <xf numFmtId="2" fontId="18" fillId="0" borderId="6" xfId="5" quotePrefix="1" applyNumberFormat="1" applyFont="1" applyFill="1" applyBorder="1" applyAlignment="1">
      <alignment horizontal="center" wrapText="1"/>
    </xf>
    <xf numFmtId="2" fontId="18" fillId="0" borderId="6" xfId="5" quotePrefix="1" applyNumberFormat="1" applyFont="1" applyFill="1" applyBorder="1" applyAlignment="1">
      <alignment horizontal="center" vertical="center" wrapText="1"/>
    </xf>
    <xf numFmtId="2" fontId="18" fillId="0" borderId="6" xfId="5" quotePrefix="1" applyNumberFormat="1" applyFont="1" applyFill="1" applyBorder="1" applyAlignment="1">
      <alignment horizontal="right" wrapText="1"/>
    </xf>
    <xf numFmtId="0" fontId="28" fillId="0" borderId="6" xfId="5" applyFont="1" applyFill="1" applyBorder="1" applyAlignment="1">
      <alignment horizontal="center" vertical="center" wrapText="1"/>
    </xf>
    <xf numFmtId="0" fontId="80" fillId="0" borderId="0" xfId="5" applyFont="1" applyFill="1" applyAlignment="1">
      <alignment vertical="center"/>
    </xf>
    <xf numFmtId="0" fontId="81" fillId="0" borderId="0" xfId="5" applyFont="1" applyFill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2" fontId="17" fillId="0" borderId="6" xfId="19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20" fillId="0" borderId="6" xfId="0" applyNumberFormat="1" applyFont="1" applyFill="1" applyBorder="1" applyAlignment="1">
      <alignment horizontal="center"/>
    </xf>
    <xf numFmtId="0" fontId="0" fillId="0" borderId="0" xfId="0" applyFill="1"/>
    <xf numFmtId="0" fontId="20" fillId="0" borderId="6" xfId="19" applyFont="1" applyFill="1" applyBorder="1" applyAlignment="1">
      <alignment horizontal="center"/>
    </xf>
    <xf numFmtId="0" fontId="17" fillId="0" borderId="6" xfId="19" applyFont="1" applyFill="1" applyBorder="1" applyAlignment="1">
      <alignment horizontal="center" vertical="center" wrapText="1"/>
    </xf>
    <xf numFmtId="164" fontId="17" fillId="0" borderId="6" xfId="19" applyNumberFormat="1" applyFont="1" applyFill="1" applyBorder="1" applyAlignment="1">
      <alignment horizontal="center" vertical="center" wrapText="1"/>
    </xf>
    <xf numFmtId="2" fontId="17" fillId="0" borderId="6" xfId="19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17" fillId="0" borderId="6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center"/>
    </xf>
    <xf numFmtId="164" fontId="17" fillId="0" borderId="6" xfId="0" applyNumberFormat="1" applyFont="1" applyFill="1" applyBorder="1" applyAlignment="1">
      <alignment horizontal="center"/>
    </xf>
    <xf numFmtId="2" fontId="17" fillId="0" borderId="6" xfId="0" applyNumberFormat="1" applyFont="1" applyFill="1" applyBorder="1" applyAlignment="1">
      <alignment horizontal="center"/>
    </xf>
    <xf numFmtId="0" fontId="17" fillId="0" borderId="6" xfId="19" applyFont="1" applyFill="1" applyBorder="1" applyAlignment="1">
      <alignment horizontal="center"/>
    </xf>
    <xf numFmtId="2" fontId="17" fillId="0" borderId="6" xfId="19" applyNumberFormat="1" applyFont="1" applyFill="1" applyBorder="1" applyAlignment="1">
      <alignment horizontal="center"/>
    </xf>
    <xf numFmtId="164" fontId="20" fillId="0" borderId="6" xfId="19" applyNumberFormat="1" applyFont="1" applyFill="1" applyBorder="1" applyAlignment="1">
      <alignment horizontal="center"/>
    </xf>
    <xf numFmtId="167" fontId="20" fillId="0" borderId="6" xfId="0" applyNumberFormat="1" applyFont="1" applyFill="1" applyBorder="1" applyAlignment="1">
      <alignment horizontal="center"/>
    </xf>
    <xf numFmtId="167" fontId="20" fillId="0" borderId="6" xfId="19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 horizontal="left" vertical="center"/>
    </xf>
    <xf numFmtId="2" fontId="17" fillId="0" borderId="6" xfId="0" applyNumberFormat="1" applyFont="1" applyFill="1" applyBorder="1" applyAlignment="1">
      <alignment horizontal="center" vertical="center"/>
    </xf>
    <xf numFmtId="0" fontId="17" fillId="0" borderId="6" xfId="19" applyFont="1" applyFill="1" applyBorder="1" applyAlignment="1">
      <alignment horizontal="center" vertical="center"/>
    </xf>
    <xf numFmtId="166" fontId="17" fillId="0" borderId="6" xfId="45" applyNumberFormat="1" applyFont="1" applyFill="1" applyBorder="1" applyAlignment="1" applyProtection="1">
      <alignment horizontal="center" vertical="top" wrapText="1"/>
    </xf>
    <xf numFmtId="2" fontId="22" fillId="0" borderId="6" xfId="45" applyNumberFormat="1" applyFont="1" applyFill="1" applyBorder="1" applyAlignment="1" applyProtection="1">
      <alignment horizontal="center" vertical="top" wrapText="1"/>
    </xf>
    <xf numFmtId="2" fontId="17" fillId="0" borderId="6" xfId="45" applyNumberFormat="1" applyFont="1" applyFill="1" applyBorder="1" applyAlignment="1" applyProtection="1">
      <alignment horizontal="center" vertical="top" wrapText="1"/>
    </xf>
    <xf numFmtId="2" fontId="20" fillId="0" borderId="6" xfId="0" applyNumberFormat="1" applyFont="1" applyFill="1" applyBorder="1" applyAlignment="1">
      <alignment horizontal="center" vertical="top"/>
    </xf>
    <xf numFmtId="2" fontId="20" fillId="0" borderId="6" xfId="40" applyNumberFormat="1" applyFont="1" applyFill="1" applyBorder="1" applyAlignment="1">
      <alignment horizontal="center" vertical="top"/>
    </xf>
    <xf numFmtId="0" fontId="27" fillId="0" borderId="6" xfId="39" applyFont="1" applyFill="1" applyBorder="1" applyAlignment="1">
      <alignment horizontal="center" vertical="center" wrapText="1"/>
    </xf>
    <xf numFmtId="0" fontId="27" fillId="0" borderId="6" xfId="40" applyFont="1" applyFill="1" applyBorder="1" applyAlignment="1">
      <alignment horizontal="left" vertical="center" wrapText="1"/>
    </xf>
    <xf numFmtId="164" fontId="25" fillId="0" borderId="6" xfId="15" applyNumberFormat="1" applyFont="1" applyFill="1" applyBorder="1" applyAlignment="1">
      <alignment horizontal="center" vertical="center" wrapText="1"/>
    </xf>
    <xf numFmtId="2" fontId="17" fillId="0" borderId="6" xfId="39" applyNumberFormat="1" applyFont="1" applyFill="1" applyBorder="1" applyAlignment="1">
      <alignment horizontal="center" vertical="center" wrapText="1"/>
    </xf>
    <xf numFmtId="2" fontId="27" fillId="0" borderId="6" xfId="39" applyNumberFormat="1" applyFont="1" applyFill="1" applyBorder="1" applyAlignment="1">
      <alignment horizontal="center" vertical="center" wrapText="1"/>
    </xf>
    <xf numFmtId="164" fontId="30" fillId="0" borderId="6" xfId="0" applyNumberFormat="1" applyFont="1" applyFill="1" applyBorder="1" applyAlignment="1">
      <alignment horizontal="center" vertical="center"/>
    </xf>
    <xf numFmtId="0" fontId="20" fillId="0" borderId="6" xfId="44" applyFont="1" applyFill="1" applyBorder="1" applyAlignment="1">
      <alignment horizontal="center" vertical="center" wrapText="1"/>
    </xf>
    <xf numFmtId="0" fontId="17" fillId="0" borderId="6" xfId="44" applyFont="1" applyFill="1" applyBorder="1" applyAlignment="1">
      <alignment horizontal="left" vertical="center" wrapText="1"/>
    </xf>
    <xf numFmtId="0" fontId="17" fillId="0" borderId="6" xfId="44" applyFont="1" applyFill="1" applyBorder="1" applyAlignment="1">
      <alignment horizontal="center" vertical="center" wrapText="1"/>
    </xf>
    <xf numFmtId="164" fontId="17" fillId="0" borderId="6" xfId="44" applyNumberFormat="1" applyFont="1" applyFill="1" applyBorder="1" applyAlignment="1">
      <alignment horizontal="center" vertical="center" wrapText="1"/>
    </xf>
    <xf numFmtId="2" fontId="17" fillId="0" borderId="6" xfId="44" applyNumberFormat="1" applyFont="1" applyFill="1" applyBorder="1" applyAlignment="1">
      <alignment horizontal="center" vertical="center" wrapText="1"/>
    </xf>
    <xf numFmtId="1" fontId="17" fillId="0" borderId="6" xfId="44" applyNumberFormat="1" applyFont="1" applyFill="1" applyBorder="1" applyAlignment="1">
      <alignment horizontal="center" vertical="center" wrapText="1"/>
    </xf>
    <xf numFmtId="0" fontId="20" fillId="0" borderId="6" xfId="44" applyFont="1" applyFill="1" applyBorder="1" applyAlignment="1">
      <alignment horizontal="center"/>
    </xf>
    <xf numFmtId="0" fontId="20" fillId="0" borderId="6" xfId="44" applyFont="1" applyFill="1" applyBorder="1" applyAlignment="1">
      <alignment horizontal="left"/>
    </xf>
    <xf numFmtId="164" fontId="20" fillId="0" borderId="6" xfId="44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 horizontal="left"/>
    </xf>
    <xf numFmtId="0" fontId="17" fillId="0" borderId="6" xfId="44" applyFont="1" applyFill="1" applyBorder="1" applyAlignment="1">
      <alignment horizontal="left"/>
    </xf>
    <xf numFmtId="0" fontId="17" fillId="0" borderId="6" xfId="44" applyFont="1" applyFill="1" applyBorder="1" applyAlignment="1">
      <alignment horizontal="center"/>
    </xf>
    <xf numFmtId="164" fontId="17" fillId="0" borderId="6" xfId="44" applyNumberFormat="1" applyFont="1" applyFill="1" applyBorder="1" applyAlignment="1">
      <alignment horizontal="center"/>
    </xf>
    <xf numFmtId="2" fontId="17" fillId="0" borderId="6" xfId="44" applyNumberFormat="1" applyFont="1" applyFill="1" applyBorder="1" applyAlignment="1">
      <alignment horizontal="center"/>
    </xf>
    <xf numFmtId="167" fontId="20" fillId="0" borderId="6" xfId="44" applyNumberFormat="1" applyFont="1" applyFill="1" applyBorder="1" applyAlignment="1">
      <alignment horizontal="center"/>
    </xf>
    <xf numFmtId="2" fontId="20" fillId="0" borderId="6" xfId="28" applyNumberFormat="1" applyFont="1" applyFill="1" applyBorder="1" applyAlignment="1">
      <alignment horizontal="center" vertical="center"/>
    </xf>
    <xf numFmtId="0" fontId="11" fillId="0" borderId="6" xfId="5" applyFont="1" applyFill="1" applyBorder="1" applyAlignment="1">
      <alignment horizontal="center" vertical="center" wrapText="1"/>
    </xf>
    <xf numFmtId="170" fontId="22" fillId="0" borderId="6" xfId="20" applyNumberFormat="1" applyFont="1" applyFill="1" applyBorder="1" applyAlignment="1">
      <alignment vertical="center" wrapText="1"/>
    </xf>
    <xf numFmtId="0" fontId="22" fillId="0" borderId="6" xfId="5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2" fontId="22" fillId="0" borderId="6" xfId="5" applyNumberFormat="1" applyFont="1" applyFill="1" applyBorder="1" applyAlignment="1">
      <alignment horizontal="center" vertical="center" wrapText="1"/>
    </xf>
    <xf numFmtId="0" fontId="11" fillId="0" borderId="6" xfId="5" applyFont="1" applyFill="1" applyBorder="1" applyAlignment="1">
      <alignment horizontal="left" vertical="center" wrapText="1"/>
    </xf>
    <xf numFmtId="0" fontId="88" fillId="0" borderId="6" xfId="5" applyFont="1" applyFill="1" applyBorder="1" applyAlignment="1">
      <alignment horizontal="left" vertical="center" wrapText="1"/>
    </xf>
    <xf numFmtId="2" fontId="11" fillId="0" borderId="6" xfId="5" applyNumberFormat="1" applyFont="1" applyFill="1" applyBorder="1" applyAlignment="1">
      <alignment horizontal="center" vertical="center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center" vertical="top" wrapText="1"/>
    </xf>
    <xf numFmtId="2" fontId="11" fillId="0" borderId="6" xfId="5" applyNumberFormat="1" applyFont="1" applyFill="1" applyBorder="1" applyAlignment="1">
      <alignment horizontal="center" vertical="top" wrapText="1"/>
    </xf>
    <xf numFmtId="0" fontId="89" fillId="0" borderId="6" xfId="5" applyFont="1" applyFill="1" applyBorder="1" applyAlignment="1">
      <alignment horizontal="center" vertical="center" wrapText="1"/>
    </xf>
    <xf numFmtId="0" fontId="11" fillId="0" borderId="6" xfId="5" applyFont="1" applyFill="1" applyBorder="1" applyAlignment="1">
      <alignment vertical="center" wrapText="1"/>
    </xf>
    <xf numFmtId="0" fontId="11" fillId="0" borderId="6" xfId="5" applyFont="1" applyFill="1" applyBorder="1" applyAlignment="1">
      <alignment horizontal="center" wrapText="1"/>
    </xf>
    <xf numFmtId="2" fontId="27" fillId="0" borderId="6" xfId="38" applyNumberFormat="1" applyFont="1" applyFill="1" applyBorder="1" applyAlignment="1">
      <alignment horizontal="center" vertical="center" wrapText="1"/>
    </xf>
    <xf numFmtId="0" fontId="27" fillId="0" borderId="6" xfId="7" applyFont="1" applyFill="1" applyBorder="1" applyAlignment="1">
      <alignment horizontal="center" vertical="center"/>
    </xf>
    <xf numFmtId="2" fontId="27" fillId="0" borderId="6" xfId="7" applyNumberFormat="1" applyFont="1" applyFill="1" applyBorder="1" applyAlignment="1">
      <alignment horizontal="center" vertical="center"/>
    </xf>
    <xf numFmtId="2" fontId="27" fillId="0" borderId="6" xfId="38" applyNumberFormat="1" applyFont="1" applyFill="1" applyBorder="1" applyAlignment="1">
      <alignment horizontal="center" vertical="center"/>
    </xf>
    <xf numFmtId="0" fontId="27" fillId="0" borderId="6" xfId="7" applyFont="1" applyFill="1" applyBorder="1" applyAlignment="1">
      <alignment horizontal="left" vertical="center" wrapText="1"/>
    </xf>
    <xf numFmtId="0" fontId="20" fillId="0" borderId="6" xfId="28" applyFont="1" applyFill="1" applyBorder="1" applyAlignment="1">
      <alignment horizontal="center" vertical="center"/>
    </xf>
    <xf numFmtId="0" fontId="17" fillId="0" borderId="6" xfId="28" applyFont="1" applyFill="1" applyBorder="1" applyAlignment="1">
      <alignment horizontal="center" vertical="center"/>
    </xf>
    <xf numFmtId="164" fontId="17" fillId="0" borderId="6" xfId="28" applyNumberFormat="1" applyFont="1" applyFill="1" applyBorder="1" applyAlignment="1">
      <alignment horizontal="center" vertical="center"/>
    </xf>
    <xf numFmtId="2" fontId="17" fillId="0" borderId="6" xfId="28" applyNumberFormat="1" applyFont="1" applyFill="1" applyBorder="1" applyAlignment="1">
      <alignment horizontal="center" vertical="center"/>
    </xf>
    <xf numFmtId="0" fontId="20" fillId="0" borderId="6" xfId="3" applyFont="1" applyFill="1" applyBorder="1" applyAlignment="1">
      <alignment horizontal="center" vertical="center"/>
    </xf>
    <xf numFmtId="0" fontId="20" fillId="0" borderId="6" xfId="28" applyFont="1" applyFill="1" applyBorder="1" applyAlignment="1">
      <alignment horizontal="center"/>
    </xf>
    <xf numFmtId="0" fontId="20" fillId="0" borderId="6" xfId="28" applyFont="1" applyFill="1" applyBorder="1" applyAlignment="1">
      <alignment horizontal="left"/>
    </xf>
    <xf numFmtId="164" fontId="20" fillId="0" borderId="6" xfId="28" applyNumberFormat="1" applyFont="1" applyFill="1" applyBorder="1" applyAlignment="1">
      <alignment horizontal="center"/>
    </xf>
    <xf numFmtId="2" fontId="20" fillId="0" borderId="6" xfId="28" applyNumberFormat="1" applyFont="1" applyFill="1" applyBorder="1" applyAlignment="1">
      <alignment horizontal="center"/>
    </xf>
    <xf numFmtId="0" fontId="20" fillId="0" borderId="6" xfId="3" applyFont="1" applyFill="1" applyBorder="1" applyAlignment="1">
      <alignment horizontal="center"/>
    </xf>
    <xf numFmtId="165" fontId="20" fillId="0" borderId="6" xfId="28" applyNumberFormat="1" applyFont="1" applyFill="1" applyBorder="1" applyAlignment="1">
      <alignment horizontal="center"/>
    </xf>
    <xf numFmtId="0" fontId="0" fillId="0" borderId="0" xfId="0" applyFill="1" applyAlignment="1">
      <alignment vertical="top"/>
    </xf>
    <xf numFmtId="0" fontId="20" fillId="0" borderId="6" xfId="28" applyFont="1" applyFill="1" applyBorder="1" applyAlignment="1">
      <alignment horizontal="center" vertical="center" wrapText="1"/>
    </xf>
    <xf numFmtId="0" fontId="17" fillId="0" borderId="6" xfId="28" applyFont="1" applyFill="1" applyBorder="1" applyAlignment="1">
      <alignment horizontal="left" vertical="center" wrapText="1"/>
    </xf>
    <xf numFmtId="0" fontId="17" fillId="0" borderId="6" xfId="28" applyFont="1" applyFill="1" applyBorder="1" applyAlignment="1">
      <alignment horizontal="center" vertical="center" wrapText="1"/>
    </xf>
    <xf numFmtId="164" fontId="17" fillId="0" borderId="6" xfId="28" applyNumberFormat="1" applyFont="1" applyFill="1" applyBorder="1" applyAlignment="1">
      <alignment horizontal="center" vertical="center" wrapText="1"/>
    </xf>
    <xf numFmtId="2" fontId="17" fillId="0" borderId="6" xfId="28" applyNumberFormat="1" applyFont="1" applyFill="1" applyBorder="1" applyAlignment="1">
      <alignment horizontal="center" vertical="center" wrapText="1"/>
    </xf>
    <xf numFmtId="0" fontId="20" fillId="0" borderId="6" xfId="3" applyFont="1" applyFill="1" applyBorder="1" applyAlignment="1">
      <alignment horizontal="center" vertical="center" wrapText="1"/>
    </xf>
    <xf numFmtId="2" fontId="20" fillId="0" borderId="6" xfId="28" applyNumberFormat="1" applyFont="1" applyFill="1" applyBorder="1" applyAlignment="1">
      <alignment horizontal="center" vertical="center" wrapText="1"/>
    </xf>
    <xf numFmtId="167" fontId="20" fillId="0" borderId="6" xfId="28" applyNumberFormat="1" applyFont="1" applyFill="1" applyBorder="1" applyAlignment="1">
      <alignment horizontal="center"/>
    </xf>
    <xf numFmtId="0" fontId="17" fillId="0" borderId="6" xfId="3" applyFont="1" applyFill="1" applyBorder="1" applyAlignment="1">
      <alignment horizontal="center" vertical="center" wrapText="1"/>
    </xf>
    <xf numFmtId="167" fontId="20" fillId="0" borderId="6" xfId="0" applyNumberFormat="1" applyFont="1" applyFill="1" applyBorder="1" applyAlignment="1">
      <alignment horizontal="center" vertical="center"/>
    </xf>
    <xf numFmtId="2" fontId="20" fillId="0" borderId="6" xfId="3" applyNumberFormat="1" applyFont="1" applyFill="1" applyBorder="1" applyAlignment="1">
      <alignment horizontal="center" vertical="center"/>
    </xf>
    <xf numFmtId="0" fontId="20" fillId="0" borderId="6" xfId="19" applyFont="1" applyFill="1" applyBorder="1" applyAlignment="1">
      <alignment horizontal="center" vertical="center" wrapText="1"/>
    </xf>
    <xf numFmtId="0" fontId="17" fillId="0" borderId="6" xfId="9" applyFont="1" applyFill="1" applyBorder="1" applyAlignment="1">
      <alignment horizontal="left" vertical="center" wrapText="1"/>
    </xf>
    <xf numFmtId="169" fontId="17" fillId="0" borderId="6" xfId="9" applyNumberFormat="1" applyFont="1" applyFill="1" applyBorder="1" applyAlignment="1">
      <alignment horizontal="center" vertical="center"/>
    </xf>
    <xf numFmtId="2" fontId="17" fillId="0" borderId="6" xfId="23" applyNumberFormat="1" applyFont="1" applyFill="1" applyBorder="1" applyAlignment="1">
      <alignment horizontal="center" vertical="center" wrapText="1"/>
    </xf>
    <xf numFmtId="2" fontId="20" fillId="0" borderId="6" xfId="9" applyNumberFormat="1" applyFont="1" applyFill="1" applyBorder="1" applyAlignment="1">
      <alignment vertical="center" wrapText="1"/>
    </xf>
    <xf numFmtId="0" fontId="17" fillId="0" borderId="10" xfId="23" applyFont="1" applyFill="1" applyBorder="1" applyAlignment="1">
      <alignment horizontal="center" vertical="center" wrapText="1"/>
    </xf>
    <xf numFmtId="0" fontId="17" fillId="0" borderId="11" xfId="23" applyFont="1" applyFill="1" applyBorder="1" applyAlignment="1">
      <alignment horizontal="left" vertical="center" wrapText="1"/>
    </xf>
    <xf numFmtId="0" fontId="17" fillId="0" borderId="11" xfId="9" applyFont="1" applyFill="1" applyBorder="1" applyAlignment="1">
      <alignment horizontal="center" vertical="center" wrapText="1"/>
    </xf>
    <xf numFmtId="0" fontId="17" fillId="0" borderId="11" xfId="23" applyFont="1" applyFill="1" applyBorder="1" applyAlignment="1">
      <alignment horizontal="center" vertical="center" wrapText="1"/>
    </xf>
    <xf numFmtId="2" fontId="17" fillId="0" borderId="11" xfId="23" applyNumberFormat="1" applyFont="1" applyFill="1" applyBorder="1" applyAlignment="1">
      <alignment horizontal="center" vertical="center" wrapText="1"/>
    </xf>
    <xf numFmtId="2" fontId="20" fillId="0" borderId="17" xfId="23" applyNumberFormat="1" applyFont="1" applyFill="1" applyBorder="1" applyAlignment="1">
      <alignment horizontal="center" vertical="top" wrapText="1"/>
    </xf>
    <xf numFmtId="0" fontId="46" fillId="0" borderId="0" xfId="23" applyFont="1" applyFill="1" applyAlignment="1">
      <alignment vertical="center"/>
    </xf>
    <xf numFmtId="0" fontId="29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left" vertical="center" wrapText="1"/>
    </xf>
    <xf numFmtId="164" fontId="29" fillId="0" borderId="11" xfId="0" applyNumberFormat="1" applyFont="1" applyFill="1" applyBorder="1" applyAlignment="1">
      <alignment horizontal="center" vertical="center" wrapText="1"/>
    </xf>
    <xf numFmtId="0" fontId="29" fillId="0" borderId="11" xfId="19" applyFont="1" applyFill="1" applyBorder="1" applyAlignment="1">
      <alignment horizontal="center" vertical="center" wrapText="1"/>
    </xf>
    <xf numFmtId="2" fontId="29" fillId="0" borderId="11" xfId="0" applyNumberFormat="1" applyFont="1" applyFill="1" applyBorder="1" applyAlignment="1">
      <alignment horizontal="center" vertical="center" wrapText="1"/>
    </xf>
    <xf numFmtId="2" fontId="29" fillId="0" borderId="17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0" fontId="20" fillId="0" borderId="19" xfId="0" applyFont="1" applyFill="1" applyBorder="1" applyAlignment="1">
      <alignment horizontal="center" vertical="center"/>
    </xf>
    <xf numFmtId="0" fontId="27" fillId="0" borderId="5" xfId="9" applyFont="1" applyFill="1" applyBorder="1" applyAlignment="1">
      <alignment horizontal="center" vertical="center" wrapText="1"/>
    </xf>
    <xf numFmtId="0" fontId="17" fillId="0" borderId="5" xfId="9" applyFont="1" applyFill="1" applyBorder="1" applyAlignment="1">
      <alignment horizontal="left" vertical="center" wrapText="1"/>
    </xf>
    <xf numFmtId="169" fontId="27" fillId="0" borderId="5" xfId="9" applyNumberFormat="1" applyFont="1" applyFill="1" applyBorder="1" applyAlignment="1">
      <alignment horizontal="center" vertical="center"/>
    </xf>
    <xf numFmtId="4" fontId="27" fillId="0" borderId="5" xfId="9" applyNumberFormat="1" applyFont="1" applyFill="1" applyBorder="1" applyAlignment="1">
      <alignment horizontal="center" vertical="center"/>
    </xf>
    <xf numFmtId="0" fontId="74" fillId="0" borderId="5" xfId="14" applyFont="1" applyFill="1" applyBorder="1" applyAlignment="1">
      <alignment vertical="center"/>
    </xf>
    <xf numFmtId="4" fontId="30" fillId="0" borderId="5" xfId="9" applyNumberFormat="1" applyFont="1" applyFill="1" applyBorder="1" applyAlignment="1">
      <alignment vertical="center" wrapText="1"/>
    </xf>
    <xf numFmtId="0" fontId="17" fillId="0" borderId="6" xfId="23" applyFont="1" applyFill="1" applyBorder="1" applyAlignment="1">
      <alignment horizontal="left" vertical="center" wrapText="1"/>
    </xf>
    <xf numFmtId="164" fontId="27" fillId="0" borderId="6" xfId="14" applyNumberFormat="1" applyFont="1" applyFill="1" applyBorder="1" applyAlignment="1">
      <alignment horizontal="center" vertical="center"/>
    </xf>
    <xf numFmtId="0" fontId="27" fillId="0" borderId="6" xfId="19" applyFont="1" applyFill="1" applyBorder="1" applyAlignment="1">
      <alignment horizontal="center" vertical="center"/>
    </xf>
    <xf numFmtId="4" fontId="27" fillId="0" borderId="6" xfId="19" applyNumberFormat="1" applyFont="1" applyFill="1" applyBorder="1" applyAlignment="1">
      <alignment horizontal="center" vertical="center"/>
    </xf>
    <xf numFmtId="2" fontId="27" fillId="0" borderId="6" xfId="14" applyNumberFormat="1" applyFont="1" applyFill="1" applyBorder="1" applyAlignment="1">
      <alignment horizontal="center" vertical="center"/>
    </xf>
    <xf numFmtId="4" fontId="27" fillId="0" borderId="6" xfId="14" applyNumberFormat="1" applyFont="1" applyFill="1" applyBorder="1" applyAlignment="1">
      <alignment horizontal="center" vertical="center"/>
    </xf>
    <xf numFmtId="0" fontId="21" fillId="0" borderId="0" xfId="14" applyFont="1" applyFill="1" applyAlignment="1">
      <alignment horizontal="center" vertical="center"/>
    </xf>
    <xf numFmtId="0" fontId="20" fillId="0" borderId="6" xfId="28" applyFont="1" applyFill="1" applyBorder="1" applyAlignment="1">
      <alignment horizontal="left" vertical="center"/>
    </xf>
    <xf numFmtId="164" fontId="20" fillId="0" borderId="6" xfId="28" applyNumberFormat="1" applyFont="1" applyFill="1" applyBorder="1" applyAlignment="1">
      <alignment horizontal="center" vertical="center"/>
    </xf>
    <xf numFmtId="0" fontId="20" fillId="0" borderId="6" xfId="28" applyFont="1" applyFill="1" applyBorder="1" applyAlignment="1">
      <alignment horizontal="left" vertical="center" wrapText="1"/>
    </xf>
    <xf numFmtId="164" fontId="20" fillId="0" borderId="6" xfId="28" applyNumberFormat="1" applyFont="1" applyFill="1" applyBorder="1" applyAlignment="1">
      <alignment horizontal="center" vertical="center" wrapText="1"/>
    </xf>
    <xf numFmtId="2" fontId="20" fillId="0" borderId="6" xfId="3" applyNumberFormat="1" applyFont="1" applyFill="1" applyBorder="1" applyAlignment="1">
      <alignment horizontal="center" vertical="center" wrapText="1"/>
    </xf>
    <xf numFmtId="0" fontId="20" fillId="0" borderId="6" xfId="28" applyFont="1" applyFill="1" applyBorder="1" applyAlignment="1">
      <alignment vertical="center"/>
    </xf>
    <xf numFmtId="2" fontId="20" fillId="0" borderId="6" xfId="28" applyNumberFormat="1" applyFont="1" applyFill="1" applyBorder="1" applyAlignment="1">
      <alignment vertical="center"/>
    </xf>
    <xf numFmtId="0" fontId="20" fillId="0" borderId="10" xfId="40" applyFont="1" applyFill="1" applyBorder="1" applyAlignment="1">
      <alignment horizontal="center" vertical="center"/>
    </xf>
    <xf numFmtId="0" fontId="17" fillId="0" borderId="11" xfId="40" applyFont="1" applyFill="1" applyBorder="1" applyAlignment="1">
      <alignment horizontal="left" vertical="center" wrapText="1"/>
    </xf>
    <xf numFmtId="0" fontId="17" fillId="0" borderId="11" xfId="4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2" fontId="17" fillId="0" borderId="11" xfId="40" applyNumberFormat="1" applyFont="1" applyFill="1" applyBorder="1" applyAlignment="1">
      <alignment horizontal="center" vertical="center"/>
    </xf>
    <xf numFmtId="2" fontId="17" fillId="0" borderId="11" xfId="38" applyNumberFormat="1" applyFont="1" applyFill="1" applyBorder="1" applyAlignment="1">
      <alignment horizontal="center" vertical="center"/>
    </xf>
    <xf numFmtId="2" fontId="20" fillId="0" borderId="11" xfId="38" applyNumberFormat="1" applyFont="1" applyFill="1" applyBorder="1" applyAlignment="1">
      <alignment horizontal="center" vertical="center"/>
    </xf>
    <xf numFmtId="2" fontId="20" fillId="0" borderId="11" xfId="38" applyNumberFormat="1" applyFont="1" applyFill="1" applyBorder="1" applyAlignment="1">
      <alignment horizontal="center" vertical="center" wrapText="1"/>
    </xf>
    <xf numFmtId="2" fontId="17" fillId="0" borderId="17" xfId="38" applyNumberFormat="1" applyFont="1" applyFill="1" applyBorder="1" applyAlignment="1">
      <alignment horizontal="center" vertical="center"/>
    </xf>
    <xf numFmtId="0" fontId="20" fillId="0" borderId="19" xfId="40" applyFont="1" applyFill="1" applyBorder="1" applyAlignment="1">
      <alignment horizontal="center"/>
    </xf>
    <xf numFmtId="0" fontId="20" fillId="0" borderId="6" xfId="40" applyFont="1" applyFill="1" applyBorder="1" applyAlignment="1">
      <alignment horizontal="left"/>
    </xf>
    <xf numFmtId="2" fontId="20" fillId="0" borderId="6" xfId="40" applyNumberFormat="1" applyFont="1" applyFill="1" applyBorder="1" applyAlignment="1">
      <alignment horizontal="center"/>
    </xf>
    <xf numFmtId="0" fontId="20" fillId="0" borderId="14" xfId="40" applyFont="1" applyFill="1" applyBorder="1" applyAlignment="1">
      <alignment horizontal="center"/>
    </xf>
    <xf numFmtId="0" fontId="20" fillId="0" borderId="15" xfId="40" applyFont="1" applyFill="1" applyBorder="1" applyAlignment="1">
      <alignment horizontal="center"/>
    </xf>
    <xf numFmtId="0" fontId="20" fillId="0" borderId="15" xfId="40" applyFont="1" applyFill="1" applyBorder="1" applyAlignment="1">
      <alignment horizontal="left"/>
    </xf>
    <xf numFmtId="0" fontId="17" fillId="0" borderId="10" xfId="23" applyFont="1" applyFill="1" applyBorder="1" applyAlignment="1">
      <alignment horizontal="center" vertical="center"/>
    </xf>
    <xf numFmtId="164" fontId="17" fillId="0" borderId="11" xfId="23" applyNumberFormat="1" applyFont="1" applyFill="1" applyBorder="1" applyAlignment="1">
      <alignment horizontal="center" vertical="center"/>
    </xf>
    <xf numFmtId="2" fontId="17" fillId="0" borderId="11" xfId="23" applyNumberFormat="1" applyFont="1" applyFill="1" applyBorder="1" applyAlignment="1">
      <alignment horizontal="center" vertical="center"/>
    </xf>
    <xf numFmtId="2" fontId="17" fillId="0" borderId="11" xfId="3" applyNumberFormat="1" applyFont="1" applyFill="1" applyBorder="1" applyAlignment="1">
      <alignment horizontal="center" vertical="center"/>
    </xf>
    <xf numFmtId="2" fontId="17" fillId="0" borderId="17" xfId="23" applyNumberFormat="1" applyFont="1" applyFill="1" applyBorder="1" applyAlignment="1">
      <alignment horizontal="center" vertical="center" wrapText="1"/>
    </xf>
    <xf numFmtId="0" fontId="17" fillId="0" borderId="0" xfId="23" applyFont="1" applyFill="1" applyBorder="1" applyAlignment="1">
      <alignment horizontal="center" vertical="center"/>
    </xf>
    <xf numFmtId="0" fontId="17" fillId="0" borderId="6" xfId="3" applyFont="1" applyFill="1" applyBorder="1" applyAlignment="1">
      <alignment horizontal="center" vertical="center"/>
    </xf>
    <xf numFmtId="165" fontId="17" fillId="0" borderId="6" xfId="28" applyNumberFormat="1" applyFont="1" applyFill="1" applyBorder="1" applyAlignment="1">
      <alignment horizontal="center" vertical="center"/>
    </xf>
    <xf numFmtId="165" fontId="20" fillId="0" borderId="6" xfId="28" applyNumberFormat="1" applyFont="1" applyFill="1" applyBorder="1" applyAlignment="1">
      <alignment horizontal="center" vertical="center" wrapText="1"/>
    </xf>
    <xf numFmtId="0" fontId="20" fillId="0" borderId="6" xfId="7" applyFont="1" applyFill="1" applyBorder="1" applyAlignment="1">
      <alignment horizontal="center" vertical="center"/>
    </xf>
    <xf numFmtId="164" fontId="26" fillId="0" borderId="6" xfId="47" applyNumberFormat="1" applyFill="1" applyBorder="1" applyAlignment="1">
      <alignment horizontal="center" vertical="center" wrapText="1"/>
    </xf>
    <xf numFmtId="2" fontId="17" fillId="0" borderId="6" xfId="38" applyNumberFormat="1" applyFont="1" applyFill="1" applyBorder="1" applyAlignment="1">
      <alignment horizontal="center" vertical="center"/>
    </xf>
    <xf numFmtId="2" fontId="20" fillId="0" borderId="6" xfId="38" applyNumberFormat="1" applyFont="1" applyFill="1" applyBorder="1" applyAlignment="1">
      <alignment horizontal="center" vertical="center"/>
    </xf>
    <xf numFmtId="2" fontId="20" fillId="0" borderId="6" xfId="38" applyNumberFormat="1" applyFont="1" applyFill="1" applyBorder="1" applyAlignment="1">
      <alignment horizontal="center" vertical="center" wrapText="1"/>
    </xf>
    <xf numFmtId="0" fontId="20" fillId="0" borderId="6" xfId="7" applyFont="1" applyFill="1" applyBorder="1" applyAlignment="1">
      <alignment horizontal="center" vertical="top"/>
    </xf>
    <xf numFmtId="0" fontId="20" fillId="0" borderId="6" xfId="7" applyFont="1" applyFill="1" applyBorder="1" applyAlignment="1">
      <alignment vertical="top"/>
    </xf>
    <xf numFmtId="0" fontId="20" fillId="0" borderId="6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horizontal="center" vertical="top" wrapText="1"/>
    </xf>
    <xf numFmtId="0" fontId="26" fillId="0" borderId="0" xfId="48" applyFill="1"/>
    <xf numFmtId="0" fontId="26" fillId="0" borderId="6" xfId="48" applyFill="1" applyBorder="1" applyAlignment="1">
      <alignment horizontal="center"/>
    </xf>
    <xf numFmtId="166" fontId="17" fillId="0" borderId="6" xfId="45" applyNumberFormat="1" applyFont="1" applyFill="1" applyBorder="1" applyAlignment="1" applyProtection="1">
      <alignment horizontal="center" vertical="center" wrapText="1"/>
    </xf>
    <xf numFmtId="164" fontId="20" fillId="0" borderId="6" xfId="40" applyNumberFormat="1" applyFont="1" applyFill="1" applyBorder="1" applyAlignment="1">
      <alignment horizontal="center" vertical="center"/>
    </xf>
    <xf numFmtId="2" fontId="30" fillId="0" borderId="6" xfId="47" applyNumberFormat="1" applyFont="1" applyFill="1" applyBorder="1" applyAlignment="1">
      <alignment horizontal="center" vertical="center" wrapText="1"/>
    </xf>
    <xf numFmtId="2" fontId="27" fillId="0" borderId="6" xfId="47" applyNumberFormat="1" applyFont="1" applyFill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left" vertical="center" wrapText="1"/>
    </xf>
    <xf numFmtId="2" fontId="70" fillId="0" borderId="6" xfId="0" applyNumberFormat="1" applyFont="1" applyFill="1" applyBorder="1" applyAlignment="1">
      <alignment horizontal="left" vertical="center" wrapText="1"/>
    </xf>
    <xf numFmtId="0" fontId="30" fillId="2" borderId="21" xfId="0" applyFont="1" applyFill="1" applyBorder="1"/>
    <xf numFmtId="0" fontId="30" fillId="2" borderId="22" xfId="0" applyFont="1" applyFill="1" applyBorder="1"/>
    <xf numFmtId="0" fontId="27" fillId="2" borderId="22" xfId="0" applyFont="1" applyFill="1" applyBorder="1" applyAlignment="1">
      <alignment horizontal="center" wrapText="1"/>
    </xf>
    <xf numFmtId="0" fontId="30" fillId="2" borderId="23" xfId="0" applyFont="1" applyFill="1" applyBorder="1"/>
    <xf numFmtId="0" fontId="30" fillId="2" borderId="24" xfId="0" applyFont="1" applyFill="1" applyBorder="1"/>
    <xf numFmtId="0" fontId="12" fillId="2" borderId="24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left" vertical="center" wrapText="1"/>
    </xf>
    <xf numFmtId="2" fontId="27" fillId="3" borderId="6" xfId="0" applyNumberFormat="1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30" fillId="3" borderId="6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left" vertical="center"/>
    </xf>
    <xf numFmtId="2" fontId="30" fillId="3" borderId="6" xfId="0" applyNumberFormat="1" applyFont="1" applyFill="1" applyBorder="1" applyAlignment="1">
      <alignment horizontal="center"/>
    </xf>
    <xf numFmtId="2" fontId="30" fillId="4" borderId="6" xfId="0" applyNumberFormat="1" applyFont="1" applyFill="1" applyBorder="1" applyAlignment="1">
      <alignment horizontal="center"/>
    </xf>
    <xf numFmtId="2" fontId="30" fillId="3" borderId="6" xfId="19" applyNumberFormat="1" applyFont="1" applyFill="1" applyBorder="1" applyAlignment="1">
      <alignment horizontal="center"/>
    </xf>
    <xf numFmtId="0" fontId="31" fillId="3" borderId="0" xfId="0" applyFont="1" applyFill="1" applyAlignment="1">
      <alignment horizontal="center"/>
    </xf>
    <xf numFmtId="0" fontId="31" fillId="3" borderId="0" xfId="0" applyFont="1" applyFill="1"/>
    <xf numFmtId="0" fontId="27" fillId="0" borderId="6" xfId="8" applyFont="1" applyFill="1" applyBorder="1" applyAlignment="1">
      <alignment horizontal="left" vertical="center" wrapText="1"/>
    </xf>
    <xf numFmtId="4" fontId="27" fillId="0" borderId="6" xfId="8" applyNumberFormat="1" applyFont="1" applyFill="1" applyBorder="1" applyAlignment="1">
      <alignment horizontal="center" vertical="center"/>
    </xf>
    <xf numFmtId="4" fontId="27" fillId="0" borderId="6" xfId="8" applyNumberFormat="1" applyFont="1" applyFill="1" applyBorder="1" applyAlignment="1">
      <alignment vertical="center" wrapText="1"/>
    </xf>
    <xf numFmtId="0" fontId="37" fillId="0" borderId="0" xfId="0" applyFont="1" applyFill="1" applyAlignment="1">
      <alignment vertical="center"/>
    </xf>
    <xf numFmtId="4" fontId="30" fillId="0" borderId="6" xfId="8" applyNumberFormat="1" applyFont="1" applyFill="1" applyBorder="1" applyAlignment="1">
      <alignment horizontal="center" vertical="center"/>
    </xf>
    <xf numFmtId="166" fontId="30" fillId="0" borderId="6" xfId="0" applyNumberFormat="1" applyFont="1" applyFill="1" applyBorder="1" applyAlignment="1">
      <alignment horizontal="center" vertical="center" wrapText="1"/>
    </xf>
    <xf numFmtId="4" fontId="30" fillId="4" borderId="6" xfId="8" applyNumberFormat="1" applyFont="1" applyFill="1" applyBorder="1" applyAlignment="1">
      <alignment horizontal="center" vertical="center" wrapText="1"/>
    </xf>
    <xf numFmtId="4" fontId="30" fillId="0" borderId="6" xfId="8" applyNumberFormat="1" applyFont="1" applyFill="1" applyBorder="1" applyAlignment="1" applyProtection="1">
      <alignment horizontal="center" vertical="center" wrapText="1"/>
    </xf>
    <xf numFmtId="4" fontId="30" fillId="0" borderId="6" xfId="8" applyNumberFormat="1" applyFont="1" applyFill="1" applyBorder="1" applyAlignment="1">
      <alignment horizontal="center" vertical="center" wrapText="1"/>
    </xf>
    <xf numFmtId="0" fontId="30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/>
    </xf>
    <xf numFmtId="0" fontId="31" fillId="3" borderId="0" xfId="0" applyFont="1" applyFill="1" applyBorder="1"/>
    <xf numFmtId="4" fontId="37" fillId="0" borderId="0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49" applyFont="1" applyFill="1" applyBorder="1" applyAlignment="1">
      <alignment vertical="top"/>
    </xf>
    <xf numFmtId="0" fontId="92" fillId="0" borderId="0" xfId="40" applyFont="1" applyFill="1" applyBorder="1" applyAlignment="1">
      <alignment vertical="top"/>
    </xf>
    <xf numFmtId="0" fontId="93" fillId="0" borderId="0" xfId="50" applyFont="1" applyFill="1" applyBorder="1" applyAlignment="1">
      <alignment vertical="top"/>
    </xf>
    <xf numFmtId="0" fontId="30" fillId="0" borderId="0" xfId="49" applyFont="1" applyFill="1" applyBorder="1"/>
    <xf numFmtId="0" fontId="93" fillId="0" borderId="0" xfId="50" applyFont="1" applyFill="1" applyBorder="1"/>
    <xf numFmtId="2" fontId="27" fillId="0" borderId="0" xfId="0" applyNumberFormat="1" applyFont="1" applyFill="1" applyBorder="1"/>
    <xf numFmtId="0" fontId="54" fillId="0" borderId="0" xfId="0" applyFont="1" applyFill="1" applyBorder="1"/>
    <xf numFmtId="2" fontId="30" fillId="0" borderId="0" xfId="0" applyNumberFormat="1" applyFont="1" applyFill="1" applyBorder="1"/>
    <xf numFmtId="0" fontId="4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2" fontId="26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top" wrapText="1"/>
    </xf>
    <xf numFmtId="0" fontId="48" fillId="0" borderId="0" xfId="8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left" vertical="center" wrapText="1"/>
    </xf>
    <xf numFmtId="0" fontId="31" fillId="0" borderId="24" xfId="1" applyFont="1" applyFill="1" applyBorder="1"/>
    <xf numFmtId="2" fontId="6" fillId="0" borderId="24" xfId="1" applyNumberFormat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/>
    </xf>
    <xf numFmtId="0" fontId="10" fillId="0" borderId="33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29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 wrapText="1"/>
    </xf>
    <xf numFmtId="1" fontId="13" fillId="0" borderId="26" xfId="1" applyNumberFormat="1" applyFont="1" applyFill="1" applyBorder="1" applyAlignment="1">
      <alignment horizontal="center" vertical="center" wrapText="1"/>
    </xf>
    <xf numFmtId="2" fontId="57" fillId="0" borderId="20" xfId="0" applyNumberFormat="1" applyFont="1" applyFill="1" applyBorder="1" applyAlignment="1">
      <alignment horizontal="center" vertical="center" wrapText="1"/>
    </xf>
    <xf numFmtId="0" fontId="30" fillId="2" borderId="12" xfId="0" applyFont="1" applyFill="1" applyBorder="1"/>
    <xf numFmtId="0" fontId="27" fillId="3" borderId="19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/>
    </xf>
    <xf numFmtId="2" fontId="30" fillId="3" borderId="13" xfId="0" applyNumberFormat="1" applyFont="1" applyFill="1" applyBorder="1" applyAlignment="1">
      <alignment horizontal="center"/>
    </xf>
    <xf numFmtId="0" fontId="27" fillId="0" borderId="19" xfId="8" applyFont="1" applyFill="1" applyBorder="1" applyAlignment="1">
      <alignment horizontal="center" vertical="center" wrapText="1"/>
    </xf>
    <xf numFmtId="2" fontId="27" fillId="0" borderId="13" xfId="0" applyNumberFormat="1" applyFont="1" applyFill="1" applyBorder="1" applyAlignment="1" applyProtection="1">
      <alignment horizontal="center" vertical="center"/>
    </xf>
    <xf numFmtId="0" fontId="30" fillId="0" borderId="19" xfId="8" applyFont="1" applyFill="1" applyBorder="1" applyAlignment="1">
      <alignment horizontal="center" vertical="center" wrapText="1"/>
    </xf>
    <xf numFmtId="2" fontId="30" fillId="0" borderId="13" xfId="8" applyNumberFormat="1" applyFont="1" applyFill="1" applyBorder="1" applyAlignment="1" applyProtection="1">
      <alignment horizontal="center" vertical="center" wrapText="1"/>
    </xf>
    <xf numFmtId="166" fontId="28" fillId="0" borderId="13" xfId="5" applyNumberFormat="1" applyFont="1" applyFill="1" applyBorder="1" applyAlignment="1">
      <alignment horizontal="center" vertical="center" wrapText="1"/>
    </xf>
    <xf numFmtId="166" fontId="25" fillId="0" borderId="13" xfId="5" applyNumberFormat="1" applyFont="1" applyFill="1" applyBorder="1" applyAlignment="1">
      <alignment horizontal="center" vertical="center" wrapText="1"/>
    </xf>
    <xf numFmtId="4" fontId="78" fillId="0" borderId="13" xfId="0" applyNumberFormat="1" applyFont="1" applyFill="1" applyBorder="1" applyAlignment="1">
      <alignment horizontal="center"/>
    </xf>
    <xf numFmtId="4" fontId="90" fillId="0" borderId="13" xfId="0" applyNumberFormat="1" applyFont="1" applyFill="1" applyBorder="1" applyAlignment="1">
      <alignment horizontal="center"/>
    </xf>
    <xf numFmtId="4" fontId="90" fillId="0" borderId="20" xfId="0" applyNumberFormat="1" applyFont="1" applyFill="1" applyBorder="1" applyAlignment="1">
      <alignment horizontal="center"/>
    </xf>
    <xf numFmtId="0" fontId="30" fillId="0" borderId="25" xfId="0" applyFont="1" applyFill="1" applyBorder="1"/>
    <xf numFmtId="0" fontId="30" fillId="0" borderId="26" xfId="0" applyFont="1" applyFill="1" applyBorder="1"/>
    <xf numFmtId="0" fontId="30" fillId="0" borderId="19" xfId="0" applyFont="1" applyFill="1" applyBorder="1"/>
    <xf numFmtId="0" fontId="27" fillId="0" borderId="19" xfId="0" applyFont="1" applyFill="1" applyBorder="1" applyAlignment="1">
      <alignment horizontal="center" vertical="center" wrapText="1"/>
    </xf>
    <xf numFmtId="2" fontId="69" fillId="0" borderId="13" xfId="0" applyNumberFormat="1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2" fontId="59" fillId="0" borderId="13" xfId="0" applyNumberFormat="1" applyFon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horizontal="center" vertical="center" wrapText="1"/>
    </xf>
    <xf numFmtId="2" fontId="27" fillId="0" borderId="13" xfId="0" applyNumberFormat="1" applyFont="1" applyFill="1" applyBorder="1" applyAlignment="1">
      <alignment horizontal="center" vertical="center" wrapText="1"/>
    </xf>
    <xf numFmtId="2" fontId="30" fillId="0" borderId="13" xfId="0" applyNumberFormat="1" applyFont="1" applyFill="1" applyBorder="1" applyAlignment="1">
      <alignment horizontal="center" vertical="center" wrapText="1"/>
    </xf>
    <xf numFmtId="0" fontId="30" fillId="0" borderId="25" xfId="16" applyFont="1" applyFill="1" applyBorder="1" applyAlignment="1">
      <alignment horizontal="center" vertical="center"/>
    </xf>
    <xf numFmtId="2" fontId="25" fillId="0" borderId="26" xfId="16" applyNumberFormat="1" applyFont="1" applyFill="1" applyBorder="1" applyAlignment="1">
      <alignment horizontal="center" vertical="center"/>
    </xf>
    <xf numFmtId="0" fontId="59" fillId="0" borderId="19" xfId="0" applyFont="1" applyFill="1" applyBorder="1" applyAlignment="1">
      <alignment horizontal="center" vertical="center" wrapText="1"/>
    </xf>
    <xf numFmtId="0" fontId="67" fillId="0" borderId="13" xfId="0" applyFont="1" applyFill="1" applyBorder="1" applyAlignment="1">
      <alignment horizontal="center" vertical="center" wrapText="1"/>
    </xf>
    <xf numFmtId="2" fontId="17" fillId="0" borderId="13" xfId="0" applyNumberFormat="1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17" fillId="0" borderId="19" xfId="16" applyFont="1" applyFill="1" applyBorder="1" applyAlignment="1">
      <alignment horizontal="center" vertical="center"/>
    </xf>
    <xf numFmtId="2" fontId="40" fillId="0" borderId="13" xfId="16" applyNumberFormat="1" applyFont="1" applyFill="1" applyBorder="1" applyAlignment="1">
      <alignment horizontal="center" vertical="center"/>
    </xf>
    <xf numFmtId="0" fontId="20" fillId="0" borderId="19" xfId="16" applyFont="1" applyFill="1" applyBorder="1" applyAlignment="1">
      <alignment horizontal="center" vertical="center"/>
    </xf>
    <xf numFmtId="2" fontId="26" fillId="0" borderId="13" xfId="16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top" wrapText="1"/>
    </xf>
    <xf numFmtId="2" fontId="27" fillId="0" borderId="13" xfId="8" applyNumberFormat="1" applyFont="1" applyFill="1" applyBorder="1" applyAlignment="1">
      <alignment horizontal="center" vertical="center" wrapText="1"/>
    </xf>
    <xf numFmtId="0" fontId="30" fillId="0" borderId="19" xfId="10" applyFont="1" applyFill="1" applyBorder="1" applyAlignment="1">
      <alignment horizontal="center" vertical="center" wrapText="1"/>
    </xf>
    <xf numFmtId="2" fontId="27" fillId="0" borderId="13" xfId="1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vertical="top" wrapText="1"/>
    </xf>
    <xf numFmtId="2" fontId="17" fillId="0" borderId="13" xfId="0" applyNumberFormat="1" applyFont="1" applyFill="1" applyBorder="1" applyAlignment="1">
      <alignment horizontal="center" vertical="top" wrapText="1"/>
    </xf>
    <xf numFmtId="49" fontId="17" fillId="0" borderId="14" xfId="0" applyNumberFormat="1" applyFont="1" applyFill="1" applyBorder="1" applyAlignment="1">
      <alignment vertical="top" wrapText="1"/>
    </xf>
    <xf numFmtId="0" fontId="17" fillId="0" borderId="30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 vertical="top" wrapText="1"/>
    </xf>
    <xf numFmtId="2" fontId="17" fillId="0" borderId="15" xfId="0" applyNumberFormat="1" applyFont="1" applyFill="1" applyBorder="1" applyAlignment="1">
      <alignment horizontal="center" vertical="top" wrapText="1"/>
    </xf>
    <xf numFmtId="4" fontId="17" fillId="0" borderId="15" xfId="0" applyNumberFormat="1" applyFont="1" applyFill="1" applyBorder="1" applyAlignment="1">
      <alignment horizontal="center" vertical="top" wrapText="1"/>
    </xf>
    <xf numFmtId="2" fontId="17" fillId="0" borderId="15" xfId="0" applyNumberFormat="1" applyFont="1" applyFill="1" applyBorder="1" applyAlignment="1">
      <alignment vertical="top" wrapText="1"/>
    </xf>
    <xf numFmtId="2" fontId="17" fillId="0" borderId="20" xfId="0" applyNumberFormat="1" applyFont="1" applyFill="1" applyBorder="1" applyAlignment="1">
      <alignment horizontal="center" vertical="top" wrapText="1"/>
    </xf>
    <xf numFmtId="0" fontId="90" fillId="0" borderId="19" xfId="0" applyFont="1" applyFill="1" applyBorder="1" applyAlignment="1">
      <alignment horizontal="center" vertical="center"/>
    </xf>
    <xf numFmtId="4" fontId="90" fillId="0" borderId="6" xfId="0" applyNumberFormat="1" applyFont="1" applyFill="1" applyBorder="1" applyAlignment="1">
      <alignment horizontal="center" vertical="center"/>
    </xf>
    <xf numFmtId="4" fontId="90" fillId="0" borderId="6" xfId="19" applyNumberFormat="1" applyFont="1" applyFill="1" applyBorder="1" applyAlignment="1">
      <alignment horizontal="center" vertical="center"/>
    </xf>
    <xf numFmtId="4" fontId="90" fillId="0" borderId="13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22" fillId="0" borderId="0" xfId="2" applyFont="1" applyFill="1" applyAlignment="1">
      <alignment horizontal="center" vertical="center" wrapText="1"/>
    </xf>
    <xf numFmtId="0" fontId="17" fillId="0" borderId="0" xfId="14" applyFont="1" applyFill="1" applyBorder="1" applyAlignment="1">
      <alignment horizontal="center" vertical="center" wrapText="1"/>
    </xf>
    <xf numFmtId="0" fontId="20" fillId="0" borderId="0" xfId="14" applyFont="1" applyFill="1" applyBorder="1" applyAlignment="1">
      <alignment horizontal="left" wrapText="1"/>
    </xf>
    <xf numFmtId="0" fontId="20" fillId="0" borderId="10" xfId="14" applyFont="1" applyFill="1" applyBorder="1" applyAlignment="1">
      <alignment horizontal="center" vertical="center" wrapText="1"/>
    </xf>
    <xf numFmtId="0" fontId="35" fillId="0" borderId="14" xfId="14" applyFont="1" applyFill="1" applyBorder="1" applyAlignment="1">
      <alignment wrapText="1"/>
    </xf>
    <xf numFmtId="0" fontId="20" fillId="0" borderId="11" xfId="14" quotePrefix="1" applyFont="1" applyFill="1" applyBorder="1" applyAlignment="1">
      <alignment horizontal="center" vertical="center" wrapText="1"/>
    </xf>
    <xf numFmtId="0" fontId="35" fillId="0" borderId="15" xfId="14" applyFont="1" applyFill="1" applyBorder="1" applyAlignment="1">
      <alignment wrapText="1"/>
    </xf>
    <xf numFmtId="0" fontId="20" fillId="0" borderId="11" xfId="14" applyFont="1" applyFill="1" applyBorder="1" applyAlignment="1">
      <alignment horizontal="center" vertical="center" wrapText="1"/>
    </xf>
    <xf numFmtId="0" fontId="20" fillId="0" borderId="12" xfId="14" applyFont="1" applyFill="1" applyBorder="1" applyAlignment="1">
      <alignment horizontal="center" vertical="center" wrapText="1"/>
    </xf>
    <xf numFmtId="0" fontId="35" fillId="0" borderId="16" xfId="14" applyFont="1" applyFill="1" applyBorder="1" applyAlignment="1">
      <alignment wrapText="1"/>
    </xf>
    <xf numFmtId="0" fontId="29" fillId="0" borderId="0" xfId="2" applyFont="1" applyFill="1" applyAlignment="1">
      <alignment horizontal="center" vertical="center" wrapText="1"/>
    </xf>
    <xf numFmtId="2" fontId="20" fillId="0" borderId="0" xfId="1" applyNumberFormat="1" applyFont="1" applyFill="1" applyBorder="1" applyAlignment="1">
      <alignment horizontal="center" vertical="center" wrapText="1"/>
    </xf>
    <xf numFmtId="2" fontId="20" fillId="0" borderId="2" xfId="1" applyNumberFormat="1" applyFont="1" applyFill="1" applyBorder="1" applyAlignment="1">
      <alignment horizontal="center" vertical="center" wrapText="1"/>
    </xf>
    <xf numFmtId="2" fontId="20" fillId="0" borderId="5" xfId="1" applyNumberFormat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2" fontId="20" fillId="0" borderId="3" xfId="1" applyNumberFormat="1" applyFont="1" applyFill="1" applyBorder="1" applyAlignment="1">
      <alignment horizontal="center" vertical="center" wrapText="1"/>
    </xf>
    <xf numFmtId="2" fontId="20" fillId="0" borderId="4" xfId="1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2" fontId="31" fillId="0" borderId="0" xfId="1" applyNumberFormat="1" applyFont="1" applyFill="1" applyAlignment="1">
      <alignment horizontal="center" vertical="center" wrapText="1"/>
    </xf>
    <xf numFmtId="0" fontId="29" fillId="0" borderId="0" xfId="2" applyFont="1" applyFill="1" applyAlignment="1">
      <alignment horizontal="left" vertical="center" wrapText="1"/>
    </xf>
    <xf numFmtId="2" fontId="31" fillId="0" borderId="0" xfId="1" applyNumberFormat="1" applyFont="1" applyFill="1" applyAlignment="1">
      <alignment horizontal="right"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27" fillId="0" borderId="5" xfId="1" applyFont="1" applyFill="1" applyBorder="1" applyAlignment="1">
      <alignment horizontal="center" vertical="center" wrapText="1"/>
    </xf>
    <xf numFmtId="0" fontId="20" fillId="0" borderId="1" xfId="14" applyFont="1" applyFill="1" applyBorder="1" applyAlignment="1">
      <alignment horizontal="left" wrapText="1"/>
    </xf>
    <xf numFmtId="2" fontId="33" fillId="0" borderId="1" xfId="4" applyNumberFormat="1" applyFont="1" applyFill="1" applyBorder="1" applyAlignment="1">
      <alignment horizontal="center" vertical="center" wrapText="1"/>
    </xf>
    <xf numFmtId="2" fontId="11" fillId="0" borderId="3" xfId="1" applyNumberFormat="1" applyFont="1" applyFill="1" applyBorder="1" applyAlignment="1">
      <alignment horizontal="center" vertical="center" wrapText="1"/>
    </xf>
    <xf numFmtId="2" fontId="11" fillId="0" borderId="4" xfId="1" applyNumberFormat="1" applyFont="1" applyFill="1" applyBorder="1" applyAlignment="1">
      <alignment horizontal="center" vertical="center" wrapText="1"/>
    </xf>
    <xf numFmtId="2" fontId="11" fillId="0" borderId="26" xfId="1" applyNumberFormat="1" applyFont="1" applyFill="1" applyBorder="1" applyAlignment="1">
      <alignment horizontal="center" vertical="center" wrapText="1"/>
    </xf>
    <xf numFmtId="2" fontId="11" fillId="0" borderId="36" xfId="1" applyNumberFormat="1" applyFont="1" applyFill="1" applyBorder="1" applyAlignment="1">
      <alignment horizontal="center" vertical="center" wrapText="1"/>
    </xf>
    <xf numFmtId="0" fontId="56" fillId="0" borderId="19" xfId="0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25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2" fontId="6" fillId="0" borderId="24" xfId="1" applyNumberFormat="1" applyFont="1" applyFill="1" applyBorder="1" applyAlignment="1">
      <alignment horizontal="center" vertical="center" wrapText="1"/>
    </xf>
    <xf numFmtId="2" fontId="6" fillId="0" borderId="32" xfId="1" applyNumberFormat="1" applyFont="1" applyFill="1" applyBorder="1" applyAlignment="1">
      <alignment horizontal="center" vertical="center" wrapText="1"/>
    </xf>
    <xf numFmtId="0" fontId="8" fillId="0" borderId="33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34" xfId="1" applyNumberFormat="1" applyFont="1" applyFill="1" applyBorder="1" applyAlignment="1">
      <alignment horizontal="right" vertical="center" wrapText="1"/>
    </xf>
    <xf numFmtId="0" fontId="8" fillId="0" borderId="33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34" xfId="2" applyFont="1" applyFill="1" applyBorder="1" applyAlignment="1">
      <alignment horizontal="center" vertical="center" wrapText="1"/>
    </xf>
    <xf numFmtId="2" fontId="30" fillId="4" borderId="6" xfId="0" applyNumberFormat="1" applyFont="1" applyFill="1" applyBorder="1" applyAlignment="1">
      <alignment horizontal="center" vertical="center"/>
    </xf>
    <xf numFmtId="2" fontId="20" fillId="4" borderId="6" xfId="0" applyNumberFormat="1" applyFont="1" applyFill="1" applyBorder="1" applyAlignment="1">
      <alignment horizontal="center"/>
    </xf>
    <xf numFmtId="2" fontId="20" fillId="4" borderId="6" xfId="0" applyNumberFormat="1" applyFont="1" applyFill="1" applyBorder="1" applyAlignment="1">
      <alignment horizontal="center" vertical="center"/>
    </xf>
    <xf numFmtId="2" fontId="20" fillId="4" borderId="6" xfId="45" applyNumberFormat="1" applyFont="1" applyFill="1" applyBorder="1" applyAlignment="1" applyProtection="1">
      <alignment horizontal="center" vertical="top" wrapText="1"/>
    </xf>
    <xf numFmtId="2" fontId="20" fillId="4" borderId="6" xfId="44" applyNumberFormat="1" applyFont="1" applyFill="1" applyBorder="1" applyAlignment="1">
      <alignment horizontal="center"/>
    </xf>
    <xf numFmtId="2" fontId="20" fillId="4" borderId="6" xfId="28" applyNumberFormat="1" applyFont="1" applyFill="1" applyBorder="1" applyAlignment="1">
      <alignment horizontal="center" vertical="center"/>
    </xf>
    <xf numFmtId="2" fontId="20" fillId="4" borderId="6" xfId="38" applyNumberFormat="1" applyFont="1" applyFill="1" applyBorder="1" applyAlignment="1">
      <alignment horizontal="center"/>
    </xf>
    <xf numFmtId="2" fontId="20" fillId="4" borderId="6" xfId="38" applyNumberFormat="1" applyFont="1" applyFill="1" applyBorder="1" applyAlignment="1">
      <alignment horizontal="center" vertical="top"/>
    </xf>
    <xf numFmtId="2" fontId="20" fillId="4" borderId="6" xfId="0" applyNumberFormat="1" applyFont="1" applyFill="1" applyBorder="1" applyAlignment="1">
      <alignment horizontal="center" vertical="center" wrapText="1"/>
    </xf>
    <xf numFmtId="2" fontId="11" fillId="4" borderId="6" xfId="45" applyNumberFormat="1" applyFont="1" applyFill="1" applyBorder="1" applyAlignment="1" applyProtection="1">
      <alignment horizontal="center" vertical="top" wrapText="1"/>
    </xf>
    <xf numFmtId="2" fontId="38" fillId="4" borderId="6" xfId="0" applyNumberFormat="1" applyFont="1" applyFill="1" applyBorder="1" applyAlignment="1">
      <alignment horizontal="center" vertical="center"/>
    </xf>
    <xf numFmtId="2" fontId="59" fillId="4" borderId="6" xfId="0" applyNumberFormat="1" applyFont="1" applyFill="1" applyBorder="1" applyAlignment="1">
      <alignment horizontal="center" vertical="top" wrapText="1"/>
    </xf>
    <xf numFmtId="2" fontId="20" fillId="4" borderId="6" xfId="5" applyNumberFormat="1" applyFont="1" applyFill="1" applyBorder="1" applyAlignment="1">
      <alignment horizontal="center" vertical="center" wrapText="1"/>
    </xf>
    <xf numFmtId="2" fontId="20" fillId="4" borderId="6" xfId="5" applyNumberFormat="1" applyFont="1" applyFill="1" applyBorder="1" applyAlignment="1">
      <alignment horizontal="center" vertical="top" wrapText="1"/>
    </xf>
    <xf numFmtId="2" fontId="20" fillId="4" borderId="6" xfId="28" applyNumberFormat="1" applyFont="1" applyFill="1" applyBorder="1" applyAlignment="1">
      <alignment horizontal="center"/>
    </xf>
    <xf numFmtId="2" fontId="20" fillId="4" borderId="6" xfId="9" applyNumberFormat="1" applyFont="1" applyFill="1" applyBorder="1" applyAlignment="1">
      <alignment horizontal="center" vertical="center" wrapText="1"/>
    </xf>
    <xf numFmtId="2" fontId="20" fillId="4" borderId="2" xfId="0" applyNumberFormat="1" applyFont="1" applyFill="1" applyBorder="1" applyAlignment="1">
      <alignment horizontal="center"/>
    </xf>
    <xf numFmtId="2" fontId="20" fillId="4" borderId="6" xfId="23" applyNumberFormat="1" applyFont="1" applyFill="1" applyBorder="1" applyAlignment="1">
      <alignment horizontal="center" vertical="center" wrapText="1"/>
    </xf>
    <xf numFmtId="2" fontId="20" fillId="4" borderId="15" xfId="0" applyNumberFormat="1" applyFont="1" applyFill="1" applyBorder="1" applyAlignment="1">
      <alignment horizontal="center"/>
    </xf>
    <xf numFmtId="0" fontId="20" fillId="4" borderId="6" xfId="19" applyFont="1" applyFill="1" applyBorder="1" applyAlignment="1">
      <alignment horizontal="center" vertical="center"/>
    </xf>
    <xf numFmtId="2" fontId="30" fillId="4" borderId="6" xfId="9" applyNumberFormat="1" applyFont="1" applyFill="1" applyBorder="1" applyAlignment="1">
      <alignment horizontal="center" vertical="center" wrapText="1"/>
    </xf>
    <xf numFmtId="2" fontId="30" fillId="4" borderId="6" xfId="46" applyNumberFormat="1" applyFont="1" applyFill="1" applyBorder="1" applyAlignment="1">
      <alignment horizontal="center" vertical="center" wrapText="1"/>
    </xf>
    <xf numFmtId="2" fontId="30" fillId="4" borderId="6" xfId="19" applyNumberFormat="1" applyFont="1" applyFill="1" applyBorder="1" applyAlignment="1">
      <alignment horizontal="center" vertical="center"/>
    </xf>
    <xf numFmtId="2" fontId="20" fillId="4" borderId="6" xfId="28" applyNumberFormat="1" applyFont="1" applyFill="1" applyBorder="1" applyAlignment="1">
      <alignment horizontal="center" vertical="center" wrapText="1"/>
    </xf>
    <xf numFmtId="2" fontId="20" fillId="4" borderId="15" xfId="38" applyNumberFormat="1" applyFont="1" applyFill="1" applyBorder="1" applyAlignment="1">
      <alignment horizontal="center"/>
    </xf>
    <xf numFmtId="2" fontId="20" fillId="4" borderId="6" xfId="23" applyNumberFormat="1" applyFont="1" applyFill="1" applyBorder="1" applyAlignment="1">
      <alignment horizontal="center"/>
    </xf>
    <xf numFmtId="2" fontId="20" fillId="4" borderId="15" xfId="23" applyNumberFormat="1" applyFont="1" applyFill="1" applyBorder="1" applyAlignment="1">
      <alignment horizontal="center" vertical="center" wrapText="1"/>
    </xf>
    <xf numFmtId="2" fontId="59" fillId="4" borderId="6" xfId="0" applyNumberFormat="1" applyFont="1" applyFill="1" applyBorder="1" applyAlignment="1">
      <alignment horizontal="center" vertical="center" wrapText="1"/>
    </xf>
    <xf numFmtId="2" fontId="20" fillId="4" borderId="6" xfId="0" applyNumberFormat="1" applyFont="1" applyFill="1" applyBorder="1" applyAlignment="1">
      <alignment horizontal="center" vertical="top" wrapText="1"/>
    </xf>
    <xf numFmtId="2" fontId="30" fillId="4" borderId="6" xfId="47" applyNumberFormat="1" applyFont="1" applyFill="1" applyBorder="1" applyAlignment="1">
      <alignment horizontal="center" vertical="center" wrapText="1"/>
    </xf>
    <xf numFmtId="166" fontId="25" fillId="4" borderId="6" xfId="5" applyNumberFormat="1" applyFont="1" applyFill="1" applyBorder="1" applyAlignment="1">
      <alignment horizontal="center" vertical="center"/>
    </xf>
    <xf numFmtId="4" fontId="25" fillId="4" borderId="6" xfId="5" applyNumberFormat="1" applyFont="1" applyFill="1" applyBorder="1" applyAlignment="1">
      <alignment horizontal="center" vertical="center"/>
    </xf>
    <xf numFmtId="9" fontId="19" fillId="4" borderId="6" xfId="0" applyNumberFormat="1" applyFont="1" applyFill="1" applyBorder="1" applyAlignment="1">
      <alignment horizontal="center" vertical="center" wrapText="1"/>
    </xf>
    <xf numFmtId="0" fontId="20" fillId="4" borderId="6" xfId="0" applyNumberFormat="1" applyFont="1" applyFill="1" applyBorder="1" applyAlignment="1">
      <alignment horizontal="center" vertical="center" wrapText="1"/>
    </xf>
    <xf numFmtId="165" fontId="20" fillId="4" borderId="6" xfId="0" applyNumberFormat="1" applyFont="1" applyFill="1" applyBorder="1" applyAlignment="1">
      <alignment horizontal="center" vertical="center" wrapText="1"/>
    </xf>
    <xf numFmtId="9" fontId="27" fillId="4" borderId="6" xfId="11" applyFont="1" applyFill="1" applyBorder="1" applyAlignment="1">
      <alignment horizontal="center" vertical="center" wrapText="1"/>
    </xf>
    <xf numFmtId="2" fontId="30" fillId="4" borderId="6" xfId="0" applyNumberFormat="1" applyFont="1" applyFill="1" applyBorder="1" applyAlignment="1">
      <alignment horizontal="center" vertical="top" wrapText="1"/>
    </xf>
    <xf numFmtId="0" fontId="20" fillId="4" borderId="6" xfId="14" applyNumberFormat="1" applyFont="1" applyFill="1" applyBorder="1" applyAlignment="1">
      <alignment horizontal="center" vertical="top" wrapText="1"/>
    </xf>
    <xf numFmtId="0" fontId="20" fillId="4" borderId="6" xfId="0" applyNumberFormat="1" applyFont="1" applyFill="1" applyBorder="1" applyAlignment="1">
      <alignment horizontal="center" vertical="top" wrapText="1"/>
    </xf>
    <xf numFmtId="4" fontId="20" fillId="4" borderId="6" xfId="8" applyNumberFormat="1" applyFont="1" applyFill="1" applyBorder="1" applyAlignment="1">
      <alignment horizontal="center" vertical="center" wrapText="1"/>
    </xf>
    <xf numFmtId="2" fontId="30" fillId="4" borderId="6" xfId="0" applyNumberFormat="1" applyFont="1" applyFill="1" applyBorder="1" applyAlignment="1">
      <alignment horizontal="center" vertical="center" wrapText="1"/>
    </xf>
    <xf numFmtId="2" fontId="74" fillId="4" borderId="6" xfId="0" applyNumberFormat="1" applyFont="1" applyFill="1" applyBorder="1" applyAlignment="1">
      <alignment horizontal="center" vertical="center"/>
    </xf>
    <xf numFmtId="2" fontId="30" fillId="4" borderId="6" xfId="21" applyNumberFormat="1" applyFont="1" applyFill="1" applyBorder="1" applyAlignment="1">
      <alignment horizontal="center" vertical="center"/>
    </xf>
    <xf numFmtId="0" fontId="30" fillId="4" borderId="6" xfId="0" applyNumberFormat="1" applyFont="1" applyFill="1" applyBorder="1" applyAlignment="1">
      <alignment horizontal="center" vertical="center" wrapText="1"/>
    </xf>
    <xf numFmtId="165" fontId="30" fillId="4" borderId="6" xfId="0" applyNumberFormat="1" applyFont="1" applyFill="1" applyBorder="1" applyAlignment="1">
      <alignment horizontal="center" vertical="top" wrapText="1"/>
    </xf>
    <xf numFmtId="0" fontId="91" fillId="4" borderId="6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 wrapText="1"/>
    </xf>
    <xf numFmtId="165" fontId="20" fillId="4" borderId="6" xfId="14" applyNumberFormat="1" applyFont="1" applyFill="1" applyBorder="1" applyAlignment="1">
      <alignment horizontal="center" vertical="top" wrapText="1"/>
    </xf>
    <xf numFmtId="165" fontId="20" fillId="4" borderId="6" xfId="14" applyNumberFormat="1" applyFont="1" applyFill="1" applyBorder="1" applyAlignment="1">
      <alignment horizontal="center" vertical="center" wrapText="1"/>
    </xf>
    <xf numFmtId="0" fontId="20" fillId="4" borderId="6" xfId="14" applyFont="1" applyFill="1" applyBorder="1" applyAlignment="1">
      <alignment horizontal="center" vertical="top" wrapText="1"/>
    </xf>
    <xf numFmtId="2" fontId="20" fillId="4" borderId="6" xfId="14" applyNumberFormat="1" applyFont="1" applyFill="1" applyBorder="1" applyAlignment="1">
      <alignment horizontal="center" vertical="top" wrapText="1"/>
    </xf>
    <xf numFmtId="0" fontId="20" fillId="4" borderId="6" xfId="14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top" wrapText="1"/>
    </xf>
    <xf numFmtId="165" fontId="20" fillId="4" borderId="6" xfId="0" applyNumberFormat="1" applyFont="1" applyFill="1" applyBorder="1" applyAlignment="1">
      <alignment horizontal="center" vertical="top" wrapText="1"/>
    </xf>
    <xf numFmtId="9" fontId="27" fillId="4" borderId="6" xfId="11" applyFont="1" applyFill="1" applyBorder="1" applyAlignment="1">
      <alignment horizontal="center" vertical="center"/>
    </xf>
    <xf numFmtId="9" fontId="20" fillId="4" borderId="6" xfId="14" applyNumberFormat="1" applyFont="1" applyFill="1" applyBorder="1" applyAlignment="1">
      <alignment horizontal="center" vertical="top" wrapText="1"/>
    </xf>
    <xf numFmtId="9" fontId="20" fillId="4" borderId="6" xfId="14" applyNumberFormat="1" applyFont="1" applyFill="1" applyBorder="1" applyAlignment="1">
      <alignment horizontal="center" vertical="center" wrapText="1"/>
    </xf>
    <xf numFmtId="2" fontId="57" fillId="4" borderId="6" xfId="0" applyNumberFormat="1" applyFont="1" applyFill="1" applyBorder="1" applyAlignment="1">
      <alignment horizontal="center" vertical="top" wrapText="1"/>
    </xf>
    <xf numFmtId="2" fontId="25" fillId="4" borderId="6" xfId="3" applyNumberFormat="1" applyFont="1" applyFill="1" applyBorder="1" applyAlignment="1">
      <alignment horizontal="center" vertical="center"/>
    </xf>
    <xf numFmtId="2" fontId="30" fillId="4" borderId="6" xfId="42" applyNumberFormat="1" applyFont="1" applyFill="1" applyBorder="1" applyAlignment="1">
      <alignment horizontal="center" vertical="center"/>
    </xf>
    <xf numFmtId="2" fontId="30" fillId="4" borderId="6" xfId="42" applyNumberFormat="1" applyFont="1" applyFill="1" applyBorder="1" applyAlignment="1">
      <alignment horizontal="center" vertical="center" wrapText="1"/>
    </xf>
    <xf numFmtId="2" fontId="57" fillId="4" borderId="6" xfId="0" applyNumberFormat="1" applyFont="1" applyFill="1" applyBorder="1" applyAlignment="1">
      <alignment horizontal="center" vertical="center" wrapText="1"/>
    </xf>
    <xf numFmtId="2" fontId="57" fillId="4" borderId="2" xfId="0" applyNumberFormat="1" applyFont="1" applyFill="1" applyBorder="1" applyAlignment="1">
      <alignment horizontal="center" vertical="center" wrapText="1"/>
    </xf>
    <xf numFmtId="4" fontId="90" fillId="4" borderId="6" xfId="0" applyNumberFormat="1" applyFont="1" applyFill="1" applyBorder="1" applyAlignment="1">
      <alignment horizontal="center" vertical="center"/>
    </xf>
    <xf numFmtId="4" fontId="90" fillId="4" borderId="15" xfId="0" applyNumberFormat="1" applyFont="1" applyFill="1" applyBorder="1" applyAlignment="1">
      <alignment horizontal="center"/>
    </xf>
    <xf numFmtId="2" fontId="25" fillId="4" borderId="6" xfId="16" applyNumberFormat="1" applyFont="1" applyFill="1" applyBorder="1" applyAlignment="1">
      <alignment horizontal="center" vertical="center"/>
    </xf>
    <xf numFmtId="2" fontId="25" fillId="4" borderId="2" xfId="16" applyNumberFormat="1" applyFont="1" applyFill="1" applyBorder="1" applyAlignment="1">
      <alignment horizontal="center" vertical="center"/>
    </xf>
    <xf numFmtId="2" fontId="25" fillId="4" borderId="6" xfId="0" applyNumberFormat="1" applyFont="1" applyFill="1" applyBorder="1" applyAlignment="1">
      <alignment horizontal="center" vertical="center" wrapText="1"/>
    </xf>
    <xf numFmtId="2" fontId="30" fillId="4" borderId="15" xfId="0" applyNumberFormat="1" applyFont="1" applyFill="1" applyBorder="1" applyAlignment="1">
      <alignment horizontal="center" vertical="center"/>
    </xf>
    <xf numFmtId="2" fontId="26" fillId="4" borderId="6" xfId="3" applyNumberFormat="1" applyFont="1" applyFill="1" applyBorder="1" applyAlignment="1">
      <alignment horizontal="center" vertical="center"/>
    </xf>
    <xf numFmtId="4" fontId="90" fillId="4" borderId="6" xfId="0" applyNumberFormat="1" applyFont="1" applyFill="1" applyBorder="1" applyAlignment="1">
      <alignment horizontal="center"/>
    </xf>
    <xf numFmtId="2" fontId="30" fillId="4" borderId="15" xfId="42" applyNumberFormat="1" applyFont="1" applyFill="1" applyBorder="1" applyAlignment="1">
      <alignment horizontal="center" vertical="center"/>
    </xf>
  </cellXfs>
  <cellStyles count="54">
    <cellStyle name="Comma" xfId="34" builtinId="3"/>
    <cellStyle name="Comma 2" xfId="17"/>
    <cellStyle name="Comma 2 8" xfId="37"/>
    <cellStyle name="Comma 51 4" xfId="38"/>
    <cellStyle name="Comma 51 6" xfId="45"/>
    <cellStyle name="Hyperlink" xfId="53" builtinId="8"/>
    <cellStyle name="Normal" xfId="0" builtinId="0"/>
    <cellStyle name="Normal 10" xfId="2"/>
    <cellStyle name="Normal 11 2" xfId="33"/>
    <cellStyle name="Normal 13" xfId="51"/>
    <cellStyle name="Normal 13 5" xfId="1"/>
    <cellStyle name="Normal 14 3" xfId="22"/>
    <cellStyle name="Normal 14_anakia II etapi.xls sm. defeqturi" xfId="16"/>
    <cellStyle name="Normal 2 10" xfId="30"/>
    <cellStyle name="Normal 2 2" xfId="15"/>
    <cellStyle name="Normal 2 2 2" xfId="35"/>
    <cellStyle name="Normal 2 2 4" xfId="36"/>
    <cellStyle name="Normal 2 57" xfId="47"/>
    <cellStyle name="Normal 29" xfId="12"/>
    <cellStyle name="Normal 3" xfId="14"/>
    <cellStyle name="Normal 3 2" xfId="18"/>
    <cellStyle name="Normal 3 2 2" xfId="41"/>
    <cellStyle name="Normal 36 2 2 3" xfId="29"/>
    <cellStyle name="Normal 38 2" xfId="32"/>
    <cellStyle name="Normal 47 4" xfId="13"/>
    <cellStyle name="Normal 53" xfId="42"/>
    <cellStyle name="Normal 53 3" xfId="52"/>
    <cellStyle name="Normal 55 2" xfId="43"/>
    <cellStyle name="Normal 56" xfId="44"/>
    <cellStyle name="Normal 7" xfId="23"/>
    <cellStyle name="Normal 7 2" xfId="46"/>
    <cellStyle name="Normal 8" xfId="24"/>
    <cellStyle name="Normal_2-1-1" xfId="20"/>
    <cellStyle name="Normal_dasakorektirebeli xarjTaRricxva auziT 2" xfId="40"/>
    <cellStyle name="Normal_gare wyalsadfenigagarini 10" xfId="19"/>
    <cellStyle name="Normal_gare wyalsadfenigagarini 2_SMSH2008-IIkv ." xfId="3"/>
    <cellStyle name="Normal_mcenareta dacva Tinikos gakeTebuli" xfId="49"/>
    <cellStyle name="Normal_senaki keTilmowyoba" xfId="48"/>
    <cellStyle name="Normal_sida wyalsadeni 2_SMSH2008-IIkv ." xfId="4"/>
    <cellStyle name="Normal_stadion-1" xfId="5"/>
    <cellStyle name="Normal_xarj. 2 2" xfId="50"/>
    <cellStyle name="Normal_Xl0000048 2" xfId="39"/>
    <cellStyle name="Percent 2" xfId="11"/>
    <cellStyle name="Percent 3" xfId="31"/>
    <cellStyle name="Style 1" xfId="7"/>
    <cellStyle name="Обычный 2 2" xfId="28"/>
    <cellStyle name="Обычный 3" xfId="25"/>
    <cellStyle name="Обычный 4 3" xfId="26"/>
    <cellStyle name="Обычный 5 2 2" xfId="6"/>
    <cellStyle name="Обычный_ELEQ_SUSTI DENEBI_axalqalaqis skola " xfId="27"/>
    <cellStyle name="Обычный_SAN2008-I" xfId="10"/>
    <cellStyle name="Обычный_Лист1 2 2" xfId="21"/>
    <cellStyle name="Обычный_დემონტაჟი" xfId="8"/>
    <cellStyle name="Обычный_დემონტაჟი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771525</xdr:colOff>
      <xdr:row>33</xdr:row>
      <xdr:rowOff>0</xdr:rowOff>
    </xdr:from>
    <xdr:to>
      <xdr:col>13</xdr:col>
      <xdr:colOff>76199</xdr:colOff>
      <xdr:row>40</xdr:row>
      <xdr:rowOff>112020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00000000-0008-0000-0400-000089040000}"/>
            </a:ext>
          </a:extLst>
        </xdr:cNvPr>
        <xdr:cNvSpPr txBox="1">
          <a:spLocks noChangeArrowheads="1"/>
        </xdr:cNvSpPr>
      </xdr:nvSpPr>
      <xdr:spPr bwMode="auto">
        <a:xfrm>
          <a:off x="10467975" y="17364075"/>
          <a:ext cx="76200" cy="143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3" name="Text Box 15">
          <a:extLst>
            <a:ext uri="{FF2B5EF4-FFF2-40B4-BE49-F238E27FC236}">
              <a16:creationId xmlns="" xmlns:a16="http://schemas.microsoft.com/office/drawing/2014/main" id="{00000000-0008-0000-0400-0000F90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4" name="Text Box 16">
          <a:extLst>
            <a:ext uri="{FF2B5EF4-FFF2-40B4-BE49-F238E27FC236}">
              <a16:creationId xmlns="" xmlns:a16="http://schemas.microsoft.com/office/drawing/2014/main" id="{00000000-0008-0000-0400-0000FA0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5" name="Text Box 17">
          <a:extLst>
            <a:ext uri="{FF2B5EF4-FFF2-40B4-BE49-F238E27FC236}">
              <a16:creationId xmlns="" xmlns:a16="http://schemas.microsoft.com/office/drawing/2014/main" id="{00000000-0008-0000-0400-0000FB0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6" name="Text Box 18">
          <a:extLst>
            <a:ext uri="{FF2B5EF4-FFF2-40B4-BE49-F238E27FC236}">
              <a16:creationId xmlns="" xmlns:a16="http://schemas.microsoft.com/office/drawing/2014/main" id="{00000000-0008-0000-0400-0000FC0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7" name="Text Box 19">
          <a:extLst>
            <a:ext uri="{FF2B5EF4-FFF2-40B4-BE49-F238E27FC236}">
              <a16:creationId xmlns="" xmlns:a16="http://schemas.microsoft.com/office/drawing/2014/main" id="{00000000-0008-0000-0400-0000FD0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8" name="Text Box 20">
          <a:extLst>
            <a:ext uri="{FF2B5EF4-FFF2-40B4-BE49-F238E27FC236}">
              <a16:creationId xmlns="" xmlns:a16="http://schemas.microsoft.com/office/drawing/2014/main" id="{00000000-0008-0000-0400-0000FE0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9" name="Text Box 21">
          <a:extLst>
            <a:ext uri="{FF2B5EF4-FFF2-40B4-BE49-F238E27FC236}">
              <a16:creationId xmlns="" xmlns:a16="http://schemas.microsoft.com/office/drawing/2014/main" id="{00000000-0008-0000-0400-0000FF0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10" name="Text Box 22">
          <a:extLst>
            <a:ext uri="{FF2B5EF4-FFF2-40B4-BE49-F238E27FC236}">
              <a16:creationId xmlns="" xmlns:a16="http://schemas.microsoft.com/office/drawing/2014/main" id="{00000000-0008-0000-0400-000000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400-000001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12" name="Text Box 5">
          <a:extLst>
            <a:ext uri="{FF2B5EF4-FFF2-40B4-BE49-F238E27FC236}">
              <a16:creationId xmlns="" xmlns:a16="http://schemas.microsoft.com/office/drawing/2014/main" id="{00000000-0008-0000-0400-000002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13" name="Text Box 6">
          <a:extLst>
            <a:ext uri="{FF2B5EF4-FFF2-40B4-BE49-F238E27FC236}">
              <a16:creationId xmlns="" xmlns:a16="http://schemas.microsoft.com/office/drawing/2014/main" id="{00000000-0008-0000-0400-000003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14" name="Text Box 7">
          <a:extLst>
            <a:ext uri="{FF2B5EF4-FFF2-40B4-BE49-F238E27FC236}">
              <a16:creationId xmlns="" xmlns:a16="http://schemas.microsoft.com/office/drawing/2014/main" id="{00000000-0008-0000-0400-000004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15" name="Text Box 8">
          <a:extLst>
            <a:ext uri="{FF2B5EF4-FFF2-40B4-BE49-F238E27FC236}">
              <a16:creationId xmlns="" xmlns:a16="http://schemas.microsoft.com/office/drawing/2014/main" id="{00000000-0008-0000-0400-000005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16" name="Text Box 16">
          <a:extLst>
            <a:ext uri="{FF2B5EF4-FFF2-40B4-BE49-F238E27FC236}">
              <a16:creationId xmlns="" xmlns:a16="http://schemas.microsoft.com/office/drawing/2014/main" id="{00000000-0008-0000-0400-000006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17" name="Text Box 19">
          <a:extLst>
            <a:ext uri="{FF2B5EF4-FFF2-40B4-BE49-F238E27FC236}">
              <a16:creationId xmlns="" xmlns:a16="http://schemas.microsoft.com/office/drawing/2014/main" id="{00000000-0008-0000-0400-000007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18" name="Text Box 20">
          <a:extLst>
            <a:ext uri="{FF2B5EF4-FFF2-40B4-BE49-F238E27FC236}">
              <a16:creationId xmlns="" xmlns:a16="http://schemas.microsoft.com/office/drawing/2014/main" id="{00000000-0008-0000-0400-000008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19" name="Text Box 21">
          <a:extLst>
            <a:ext uri="{FF2B5EF4-FFF2-40B4-BE49-F238E27FC236}">
              <a16:creationId xmlns="" xmlns:a16="http://schemas.microsoft.com/office/drawing/2014/main" id="{00000000-0008-0000-0400-000009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20" name="Text Box 22">
          <a:extLst>
            <a:ext uri="{FF2B5EF4-FFF2-40B4-BE49-F238E27FC236}">
              <a16:creationId xmlns="" xmlns:a16="http://schemas.microsoft.com/office/drawing/2014/main" id="{00000000-0008-0000-0400-00000A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21" name="Text Box 30">
          <a:extLst>
            <a:ext uri="{FF2B5EF4-FFF2-40B4-BE49-F238E27FC236}">
              <a16:creationId xmlns="" xmlns:a16="http://schemas.microsoft.com/office/drawing/2014/main" id="{00000000-0008-0000-0400-00000B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22" name="Text Box 31">
          <a:extLst>
            <a:ext uri="{FF2B5EF4-FFF2-40B4-BE49-F238E27FC236}">
              <a16:creationId xmlns="" xmlns:a16="http://schemas.microsoft.com/office/drawing/2014/main" id="{00000000-0008-0000-0400-00000C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23" name="Text Box 32">
          <a:extLst>
            <a:ext uri="{FF2B5EF4-FFF2-40B4-BE49-F238E27FC236}">
              <a16:creationId xmlns="" xmlns:a16="http://schemas.microsoft.com/office/drawing/2014/main" id="{00000000-0008-0000-0400-00000D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24" name="Text Box 34">
          <a:extLst>
            <a:ext uri="{FF2B5EF4-FFF2-40B4-BE49-F238E27FC236}">
              <a16:creationId xmlns="" xmlns:a16="http://schemas.microsoft.com/office/drawing/2014/main" id="{00000000-0008-0000-0400-00000E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25" name="Text Box 35">
          <a:extLst>
            <a:ext uri="{FF2B5EF4-FFF2-40B4-BE49-F238E27FC236}">
              <a16:creationId xmlns="" xmlns:a16="http://schemas.microsoft.com/office/drawing/2014/main" id="{00000000-0008-0000-0400-00000F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26" name="Text Box 15">
          <a:extLst>
            <a:ext uri="{FF2B5EF4-FFF2-40B4-BE49-F238E27FC236}">
              <a16:creationId xmlns="" xmlns:a16="http://schemas.microsoft.com/office/drawing/2014/main" id="{00000000-0008-0000-0400-000010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27" name="Text Box 16">
          <a:extLst>
            <a:ext uri="{FF2B5EF4-FFF2-40B4-BE49-F238E27FC236}">
              <a16:creationId xmlns="" xmlns:a16="http://schemas.microsoft.com/office/drawing/2014/main" id="{00000000-0008-0000-0400-000011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28" name="Text Box 17">
          <a:extLst>
            <a:ext uri="{FF2B5EF4-FFF2-40B4-BE49-F238E27FC236}">
              <a16:creationId xmlns="" xmlns:a16="http://schemas.microsoft.com/office/drawing/2014/main" id="{00000000-0008-0000-0400-000012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29" name="Text Box 18">
          <a:extLst>
            <a:ext uri="{FF2B5EF4-FFF2-40B4-BE49-F238E27FC236}">
              <a16:creationId xmlns="" xmlns:a16="http://schemas.microsoft.com/office/drawing/2014/main" id="{00000000-0008-0000-0400-000013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30" name="Text Box 19">
          <a:extLst>
            <a:ext uri="{FF2B5EF4-FFF2-40B4-BE49-F238E27FC236}">
              <a16:creationId xmlns="" xmlns:a16="http://schemas.microsoft.com/office/drawing/2014/main" id="{00000000-0008-0000-0400-000014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31" name="Text Box 20">
          <a:extLst>
            <a:ext uri="{FF2B5EF4-FFF2-40B4-BE49-F238E27FC236}">
              <a16:creationId xmlns="" xmlns:a16="http://schemas.microsoft.com/office/drawing/2014/main" id="{00000000-0008-0000-0400-000015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32" name="Text Box 21">
          <a:extLst>
            <a:ext uri="{FF2B5EF4-FFF2-40B4-BE49-F238E27FC236}">
              <a16:creationId xmlns="" xmlns:a16="http://schemas.microsoft.com/office/drawing/2014/main" id="{00000000-0008-0000-0400-000016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33" name="Text Box 22">
          <a:extLst>
            <a:ext uri="{FF2B5EF4-FFF2-40B4-BE49-F238E27FC236}">
              <a16:creationId xmlns="" xmlns:a16="http://schemas.microsoft.com/office/drawing/2014/main" id="{00000000-0008-0000-0400-000017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34" name="Text Box 1">
          <a:extLst>
            <a:ext uri="{FF2B5EF4-FFF2-40B4-BE49-F238E27FC236}">
              <a16:creationId xmlns="" xmlns:a16="http://schemas.microsoft.com/office/drawing/2014/main" id="{00000000-0008-0000-0400-000018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400-000019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36" name="Text Box 6">
          <a:extLst>
            <a:ext uri="{FF2B5EF4-FFF2-40B4-BE49-F238E27FC236}">
              <a16:creationId xmlns="" xmlns:a16="http://schemas.microsoft.com/office/drawing/2014/main" id="{00000000-0008-0000-0400-00001A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37" name="Text Box 7">
          <a:extLst>
            <a:ext uri="{FF2B5EF4-FFF2-40B4-BE49-F238E27FC236}">
              <a16:creationId xmlns="" xmlns:a16="http://schemas.microsoft.com/office/drawing/2014/main" id="{00000000-0008-0000-0400-00001B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38" name="Text Box 8">
          <a:extLst>
            <a:ext uri="{FF2B5EF4-FFF2-40B4-BE49-F238E27FC236}">
              <a16:creationId xmlns="" xmlns:a16="http://schemas.microsoft.com/office/drawing/2014/main" id="{00000000-0008-0000-0400-00001C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39" name="Text Box 16">
          <a:extLst>
            <a:ext uri="{FF2B5EF4-FFF2-40B4-BE49-F238E27FC236}">
              <a16:creationId xmlns="" xmlns:a16="http://schemas.microsoft.com/office/drawing/2014/main" id="{00000000-0008-0000-0400-00001D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40" name="Text Box 19">
          <a:extLst>
            <a:ext uri="{FF2B5EF4-FFF2-40B4-BE49-F238E27FC236}">
              <a16:creationId xmlns="" xmlns:a16="http://schemas.microsoft.com/office/drawing/2014/main" id="{00000000-0008-0000-0400-00001E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41" name="Text Box 20">
          <a:extLst>
            <a:ext uri="{FF2B5EF4-FFF2-40B4-BE49-F238E27FC236}">
              <a16:creationId xmlns="" xmlns:a16="http://schemas.microsoft.com/office/drawing/2014/main" id="{00000000-0008-0000-0400-00001F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42" name="Text Box 21">
          <a:extLst>
            <a:ext uri="{FF2B5EF4-FFF2-40B4-BE49-F238E27FC236}">
              <a16:creationId xmlns="" xmlns:a16="http://schemas.microsoft.com/office/drawing/2014/main" id="{00000000-0008-0000-0400-000020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43" name="Text Box 22">
          <a:extLst>
            <a:ext uri="{FF2B5EF4-FFF2-40B4-BE49-F238E27FC236}">
              <a16:creationId xmlns="" xmlns:a16="http://schemas.microsoft.com/office/drawing/2014/main" id="{00000000-0008-0000-0400-000021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44" name="Text Box 30">
          <a:extLst>
            <a:ext uri="{FF2B5EF4-FFF2-40B4-BE49-F238E27FC236}">
              <a16:creationId xmlns="" xmlns:a16="http://schemas.microsoft.com/office/drawing/2014/main" id="{00000000-0008-0000-0400-000022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45" name="Text Box 31">
          <a:extLst>
            <a:ext uri="{FF2B5EF4-FFF2-40B4-BE49-F238E27FC236}">
              <a16:creationId xmlns="" xmlns:a16="http://schemas.microsoft.com/office/drawing/2014/main" id="{00000000-0008-0000-0400-000023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46" name="Text Box 32">
          <a:extLst>
            <a:ext uri="{FF2B5EF4-FFF2-40B4-BE49-F238E27FC236}">
              <a16:creationId xmlns="" xmlns:a16="http://schemas.microsoft.com/office/drawing/2014/main" id="{00000000-0008-0000-0400-000024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47" name="Text Box 34">
          <a:extLst>
            <a:ext uri="{FF2B5EF4-FFF2-40B4-BE49-F238E27FC236}">
              <a16:creationId xmlns="" xmlns:a16="http://schemas.microsoft.com/office/drawing/2014/main" id="{00000000-0008-0000-0400-000025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48" name="Text Box 35">
          <a:extLst>
            <a:ext uri="{FF2B5EF4-FFF2-40B4-BE49-F238E27FC236}">
              <a16:creationId xmlns="" xmlns:a16="http://schemas.microsoft.com/office/drawing/2014/main" id="{00000000-0008-0000-0400-00002610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49" name="Text Box 15">
          <a:extLst>
            <a:ext uri="{FF2B5EF4-FFF2-40B4-BE49-F238E27FC236}">
              <a16:creationId xmlns="" xmlns:a16="http://schemas.microsoft.com/office/drawing/2014/main" id="{00000000-0008-0000-0400-000087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50" name="Text Box 16">
          <a:extLst>
            <a:ext uri="{FF2B5EF4-FFF2-40B4-BE49-F238E27FC236}">
              <a16:creationId xmlns="" xmlns:a16="http://schemas.microsoft.com/office/drawing/2014/main" id="{00000000-0008-0000-0400-000088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51" name="Text Box 17">
          <a:extLst>
            <a:ext uri="{FF2B5EF4-FFF2-40B4-BE49-F238E27FC236}">
              <a16:creationId xmlns="" xmlns:a16="http://schemas.microsoft.com/office/drawing/2014/main" id="{00000000-0008-0000-0400-000089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52" name="Text Box 18">
          <a:extLst>
            <a:ext uri="{FF2B5EF4-FFF2-40B4-BE49-F238E27FC236}">
              <a16:creationId xmlns="" xmlns:a16="http://schemas.microsoft.com/office/drawing/2014/main" id="{00000000-0008-0000-0400-00008A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53" name="Text Box 19">
          <a:extLst>
            <a:ext uri="{FF2B5EF4-FFF2-40B4-BE49-F238E27FC236}">
              <a16:creationId xmlns="" xmlns:a16="http://schemas.microsoft.com/office/drawing/2014/main" id="{00000000-0008-0000-0400-00008B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54" name="Text Box 20">
          <a:extLst>
            <a:ext uri="{FF2B5EF4-FFF2-40B4-BE49-F238E27FC236}">
              <a16:creationId xmlns="" xmlns:a16="http://schemas.microsoft.com/office/drawing/2014/main" id="{00000000-0008-0000-0400-00008C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55" name="Text Box 21">
          <a:extLst>
            <a:ext uri="{FF2B5EF4-FFF2-40B4-BE49-F238E27FC236}">
              <a16:creationId xmlns="" xmlns:a16="http://schemas.microsoft.com/office/drawing/2014/main" id="{00000000-0008-0000-0400-00008D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56" name="Text Box 22">
          <a:extLst>
            <a:ext uri="{FF2B5EF4-FFF2-40B4-BE49-F238E27FC236}">
              <a16:creationId xmlns="" xmlns:a16="http://schemas.microsoft.com/office/drawing/2014/main" id="{00000000-0008-0000-0400-00008E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57" name="Text Box 1">
          <a:extLst>
            <a:ext uri="{FF2B5EF4-FFF2-40B4-BE49-F238E27FC236}">
              <a16:creationId xmlns="" xmlns:a16="http://schemas.microsoft.com/office/drawing/2014/main" id="{00000000-0008-0000-0400-00008F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400-000090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59" name="Text Box 6">
          <a:extLst>
            <a:ext uri="{FF2B5EF4-FFF2-40B4-BE49-F238E27FC236}">
              <a16:creationId xmlns="" xmlns:a16="http://schemas.microsoft.com/office/drawing/2014/main" id="{00000000-0008-0000-0400-000091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60" name="Text Box 7">
          <a:extLst>
            <a:ext uri="{FF2B5EF4-FFF2-40B4-BE49-F238E27FC236}">
              <a16:creationId xmlns="" xmlns:a16="http://schemas.microsoft.com/office/drawing/2014/main" id="{00000000-0008-0000-0400-000092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61" name="Text Box 8">
          <a:extLst>
            <a:ext uri="{FF2B5EF4-FFF2-40B4-BE49-F238E27FC236}">
              <a16:creationId xmlns="" xmlns:a16="http://schemas.microsoft.com/office/drawing/2014/main" id="{00000000-0008-0000-0400-000093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62" name="Text Box 16">
          <a:extLst>
            <a:ext uri="{FF2B5EF4-FFF2-40B4-BE49-F238E27FC236}">
              <a16:creationId xmlns="" xmlns:a16="http://schemas.microsoft.com/office/drawing/2014/main" id="{00000000-0008-0000-0400-000094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63" name="Text Box 19">
          <a:extLst>
            <a:ext uri="{FF2B5EF4-FFF2-40B4-BE49-F238E27FC236}">
              <a16:creationId xmlns="" xmlns:a16="http://schemas.microsoft.com/office/drawing/2014/main" id="{00000000-0008-0000-0400-000095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64" name="Text Box 20">
          <a:extLst>
            <a:ext uri="{FF2B5EF4-FFF2-40B4-BE49-F238E27FC236}">
              <a16:creationId xmlns="" xmlns:a16="http://schemas.microsoft.com/office/drawing/2014/main" id="{00000000-0008-0000-0400-000096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65" name="Text Box 21">
          <a:extLst>
            <a:ext uri="{FF2B5EF4-FFF2-40B4-BE49-F238E27FC236}">
              <a16:creationId xmlns="" xmlns:a16="http://schemas.microsoft.com/office/drawing/2014/main" id="{00000000-0008-0000-0400-000097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66" name="Text Box 22">
          <a:extLst>
            <a:ext uri="{FF2B5EF4-FFF2-40B4-BE49-F238E27FC236}">
              <a16:creationId xmlns="" xmlns:a16="http://schemas.microsoft.com/office/drawing/2014/main" id="{00000000-0008-0000-0400-000098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67" name="Text Box 30">
          <a:extLst>
            <a:ext uri="{FF2B5EF4-FFF2-40B4-BE49-F238E27FC236}">
              <a16:creationId xmlns="" xmlns:a16="http://schemas.microsoft.com/office/drawing/2014/main" id="{00000000-0008-0000-0400-000099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68" name="Text Box 31">
          <a:extLst>
            <a:ext uri="{FF2B5EF4-FFF2-40B4-BE49-F238E27FC236}">
              <a16:creationId xmlns="" xmlns:a16="http://schemas.microsoft.com/office/drawing/2014/main" id="{00000000-0008-0000-0400-00009A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69" name="Text Box 32">
          <a:extLst>
            <a:ext uri="{FF2B5EF4-FFF2-40B4-BE49-F238E27FC236}">
              <a16:creationId xmlns="" xmlns:a16="http://schemas.microsoft.com/office/drawing/2014/main" id="{00000000-0008-0000-0400-00009B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70" name="Text Box 34">
          <a:extLst>
            <a:ext uri="{FF2B5EF4-FFF2-40B4-BE49-F238E27FC236}">
              <a16:creationId xmlns="" xmlns:a16="http://schemas.microsoft.com/office/drawing/2014/main" id="{00000000-0008-0000-0400-00009C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71" name="Text Box 35">
          <a:extLst>
            <a:ext uri="{FF2B5EF4-FFF2-40B4-BE49-F238E27FC236}">
              <a16:creationId xmlns="" xmlns:a16="http://schemas.microsoft.com/office/drawing/2014/main" id="{00000000-0008-0000-0400-00009D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72" name="Text Box 15">
          <a:extLst>
            <a:ext uri="{FF2B5EF4-FFF2-40B4-BE49-F238E27FC236}">
              <a16:creationId xmlns="" xmlns:a16="http://schemas.microsoft.com/office/drawing/2014/main" id="{00000000-0008-0000-0400-00009E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73" name="Text Box 16">
          <a:extLst>
            <a:ext uri="{FF2B5EF4-FFF2-40B4-BE49-F238E27FC236}">
              <a16:creationId xmlns="" xmlns:a16="http://schemas.microsoft.com/office/drawing/2014/main" id="{00000000-0008-0000-0400-00009F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74" name="Text Box 17">
          <a:extLst>
            <a:ext uri="{FF2B5EF4-FFF2-40B4-BE49-F238E27FC236}">
              <a16:creationId xmlns="" xmlns:a16="http://schemas.microsoft.com/office/drawing/2014/main" id="{00000000-0008-0000-0400-0000A0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75" name="Text Box 18">
          <a:extLst>
            <a:ext uri="{FF2B5EF4-FFF2-40B4-BE49-F238E27FC236}">
              <a16:creationId xmlns="" xmlns:a16="http://schemas.microsoft.com/office/drawing/2014/main" id="{00000000-0008-0000-0400-0000A1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76" name="Text Box 19">
          <a:extLst>
            <a:ext uri="{FF2B5EF4-FFF2-40B4-BE49-F238E27FC236}">
              <a16:creationId xmlns="" xmlns:a16="http://schemas.microsoft.com/office/drawing/2014/main" id="{00000000-0008-0000-0400-0000A2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77" name="Text Box 20">
          <a:extLst>
            <a:ext uri="{FF2B5EF4-FFF2-40B4-BE49-F238E27FC236}">
              <a16:creationId xmlns="" xmlns:a16="http://schemas.microsoft.com/office/drawing/2014/main" id="{00000000-0008-0000-0400-0000A3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78" name="Text Box 21">
          <a:extLst>
            <a:ext uri="{FF2B5EF4-FFF2-40B4-BE49-F238E27FC236}">
              <a16:creationId xmlns="" xmlns:a16="http://schemas.microsoft.com/office/drawing/2014/main" id="{00000000-0008-0000-0400-0000A4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79" name="Text Box 22">
          <a:extLst>
            <a:ext uri="{FF2B5EF4-FFF2-40B4-BE49-F238E27FC236}">
              <a16:creationId xmlns="" xmlns:a16="http://schemas.microsoft.com/office/drawing/2014/main" id="{00000000-0008-0000-0400-0000A5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80" name="Text Box 1">
          <a:extLst>
            <a:ext uri="{FF2B5EF4-FFF2-40B4-BE49-F238E27FC236}">
              <a16:creationId xmlns="" xmlns:a16="http://schemas.microsoft.com/office/drawing/2014/main" id="{00000000-0008-0000-0400-0000A6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400-0000A7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82" name="Text Box 6">
          <a:extLst>
            <a:ext uri="{FF2B5EF4-FFF2-40B4-BE49-F238E27FC236}">
              <a16:creationId xmlns="" xmlns:a16="http://schemas.microsoft.com/office/drawing/2014/main" id="{00000000-0008-0000-0400-0000A8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83" name="Text Box 7">
          <a:extLst>
            <a:ext uri="{FF2B5EF4-FFF2-40B4-BE49-F238E27FC236}">
              <a16:creationId xmlns="" xmlns:a16="http://schemas.microsoft.com/office/drawing/2014/main" id="{00000000-0008-0000-0400-0000A9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84" name="Text Box 8">
          <a:extLst>
            <a:ext uri="{FF2B5EF4-FFF2-40B4-BE49-F238E27FC236}">
              <a16:creationId xmlns="" xmlns:a16="http://schemas.microsoft.com/office/drawing/2014/main" id="{00000000-0008-0000-0400-0000AA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85" name="Text Box 16">
          <a:extLst>
            <a:ext uri="{FF2B5EF4-FFF2-40B4-BE49-F238E27FC236}">
              <a16:creationId xmlns="" xmlns:a16="http://schemas.microsoft.com/office/drawing/2014/main" id="{00000000-0008-0000-0400-0000AB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86" name="Text Box 19">
          <a:extLst>
            <a:ext uri="{FF2B5EF4-FFF2-40B4-BE49-F238E27FC236}">
              <a16:creationId xmlns="" xmlns:a16="http://schemas.microsoft.com/office/drawing/2014/main" id="{00000000-0008-0000-0400-0000AC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87" name="Text Box 20">
          <a:extLst>
            <a:ext uri="{FF2B5EF4-FFF2-40B4-BE49-F238E27FC236}">
              <a16:creationId xmlns="" xmlns:a16="http://schemas.microsoft.com/office/drawing/2014/main" id="{00000000-0008-0000-0400-0000AD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88" name="Text Box 21">
          <a:extLst>
            <a:ext uri="{FF2B5EF4-FFF2-40B4-BE49-F238E27FC236}">
              <a16:creationId xmlns="" xmlns:a16="http://schemas.microsoft.com/office/drawing/2014/main" id="{00000000-0008-0000-0400-0000AE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89" name="Text Box 22">
          <a:extLst>
            <a:ext uri="{FF2B5EF4-FFF2-40B4-BE49-F238E27FC236}">
              <a16:creationId xmlns="" xmlns:a16="http://schemas.microsoft.com/office/drawing/2014/main" id="{00000000-0008-0000-0400-0000AF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90" name="Text Box 30">
          <a:extLst>
            <a:ext uri="{FF2B5EF4-FFF2-40B4-BE49-F238E27FC236}">
              <a16:creationId xmlns="" xmlns:a16="http://schemas.microsoft.com/office/drawing/2014/main" id="{00000000-0008-0000-0400-0000B0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91" name="Text Box 31">
          <a:extLst>
            <a:ext uri="{FF2B5EF4-FFF2-40B4-BE49-F238E27FC236}">
              <a16:creationId xmlns="" xmlns:a16="http://schemas.microsoft.com/office/drawing/2014/main" id="{00000000-0008-0000-0400-0000B1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92" name="Text Box 32">
          <a:extLst>
            <a:ext uri="{FF2B5EF4-FFF2-40B4-BE49-F238E27FC236}">
              <a16:creationId xmlns="" xmlns:a16="http://schemas.microsoft.com/office/drawing/2014/main" id="{00000000-0008-0000-0400-0000B2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93" name="Text Box 34">
          <a:extLst>
            <a:ext uri="{FF2B5EF4-FFF2-40B4-BE49-F238E27FC236}">
              <a16:creationId xmlns="" xmlns:a16="http://schemas.microsoft.com/office/drawing/2014/main" id="{00000000-0008-0000-0400-0000B3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242</xdr:row>
      <xdr:rowOff>0</xdr:rowOff>
    </xdr:from>
    <xdr:ext cx="76200" cy="200025"/>
    <xdr:sp macro="" textlink="">
      <xdr:nvSpPr>
        <xdr:cNvPr id="94" name="Text Box 35">
          <a:extLst>
            <a:ext uri="{FF2B5EF4-FFF2-40B4-BE49-F238E27FC236}">
              <a16:creationId xmlns="" xmlns:a16="http://schemas.microsoft.com/office/drawing/2014/main" id="{00000000-0008-0000-0400-0000B42F0000}"/>
            </a:ext>
          </a:extLst>
        </xdr:cNvPr>
        <xdr:cNvSpPr txBox="1">
          <a:spLocks noChangeArrowheads="1"/>
        </xdr:cNvSpPr>
      </xdr:nvSpPr>
      <xdr:spPr bwMode="auto">
        <a:xfrm>
          <a:off x="3829050" y="42652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95" name="Text Box 15">
          <a:extLst>
            <a:ext uri="{FF2B5EF4-FFF2-40B4-BE49-F238E27FC236}">
              <a16:creationId xmlns="" xmlns:a16="http://schemas.microsoft.com/office/drawing/2014/main" id="{00000000-0008-0000-0400-000055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96" name="Text Box 16">
          <a:extLst>
            <a:ext uri="{FF2B5EF4-FFF2-40B4-BE49-F238E27FC236}">
              <a16:creationId xmlns="" xmlns:a16="http://schemas.microsoft.com/office/drawing/2014/main" id="{00000000-0008-0000-0400-000056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97" name="Text Box 17">
          <a:extLst>
            <a:ext uri="{FF2B5EF4-FFF2-40B4-BE49-F238E27FC236}">
              <a16:creationId xmlns="" xmlns:a16="http://schemas.microsoft.com/office/drawing/2014/main" id="{00000000-0008-0000-0400-000057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98" name="Text Box 18">
          <a:extLst>
            <a:ext uri="{FF2B5EF4-FFF2-40B4-BE49-F238E27FC236}">
              <a16:creationId xmlns="" xmlns:a16="http://schemas.microsoft.com/office/drawing/2014/main" id="{00000000-0008-0000-0400-000058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99" name="Text Box 19">
          <a:extLst>
            <a:ext uri="{FF2B5EF4-FFF2-40B4-BE49-F238E27FC236}">
              <a16:creationId xmlns="" xmlns:a16="http://schemas.microsoft.com/office/drawing/2014/main" id="{00000000-0008-0000-0400-000059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00" name="Text Box 20">
          <a:extLst>
            <a:ext uri="{FF2B5EF4-FFF2-40B4-BE49-F238E27FC236}">
              <a16:creationId xmlns="" xmlns:a16="http://schemas.microsoft.com/office/drawing/2014/main" id="{00000000-0008-0000-0400-00005A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01" name="Text Box 21">
          <a:extLst>
            <a:ext uri="{FF2B5EF4-FFF2-40B4-BE49-F238E27FC236}">
              <a16:creationId xmlns="" xmlns:a16="http://schemas.microsoft.com/office/drawing/2014/main" id="{00000000-0008-0000-0400-00005B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02" name="Text Box 22">
          <a:extLst>
            <a:ext uri="{FF2B5EF4-FFF2-40B4-BE49-F238E27FC236}">
              <a16:creationId xmlns="" xmlns:a16="http://schemas.microsoft.com/office/drawing/2014/main" id="{00000000-0008-0000-0400-00005C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03" name="Text Box 1">
          <a:extLst>
            <a:ext uri="{FF2B5EF4-FFF2-40B4-BE49-F238E27FC236}">
              <a16:creationId xmlns="" xmlns:a16="http://schemas.microsoft.com/office/drawing/2014/main" id="{00000000-0008-0000-0400-00005D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04" name="Text Box 5">
          <a:extLst>
            <a:ext uri="{FF2B5EF4-FFF2-40B4-BE49-F238E27FC236}">
              <a16:creationId xmlns="" xmlns:a16="http://schemas.microsoft.com/office/drawing/2014/main" id="{00000000-0008-0000-0400-00005E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05" name="Text Box 6">
          <a:extLst>
            <a:ext uri="{FF2B5EF4-FFF2-40B4-BE49-F238E27FC236}">
              <a16:creationId xmlns="" xmlns:a16="http://schemas.microsoft.com/office/drawing/2014/main" id="{00000000-0008-0000-0400-00005F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06" name="Text Box 7">
          <a:extLst>
            <a:ext uri="{FF2B5EF4-FFF2-40B4-BE49-F238E27FC236}">
              <a16:creationId xmlns="" xmlns:a16="http://schemas.microsoft.com/office/drawing/2014/main" id="{00000000-0008-0000-0400-000060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07" name="Text Box 8">
          <a:extLst>
            <a:ext uri="{FF2B5EF4-FFF2-40B4-BE49-F238E27FC236}">
              <a16:creationId xmlns="" xmlns:a16="http://schemas.microsoft.com/office/drawing/2014/main" id="{00000000-0008-0000-0400-000061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08" name="Text Box 16">
          <a:extLst>
            <a:ext uri="{FF2B5EF4-FFF2-40B4-BE49-F238E27FC236}">
              <a16:creationId xmlns="" xmlns:a16="http://schemas.microsoft.com/office/drawing/2014/main" id="{00000000-0008-0000-0400-000062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09" name="Text Box 19">
          <a:extLst>
            <a:ext uri="{FF2B5EF4-FFF2-40B4-BE49-F238E27FC236}">
              <a16:creationId xmlns="" xmlns:a16="http://schemas.microsoft.com/office/drawing/2014/main" id="{00000000-0008-0000-0400-000063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10" name="Text Box 20">
          <a:extLst>
            <a:ext uri="{FF2B5EF4-FFF2-40B4-BE49-F238E27FC236}">
              <a16:creationId xmlns="" xmlns:a16="http://schemas.microsoft.com/office/drawing/2014/main" id="{00000000-0008-0000-0400-000064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11" name="Text Box 21">
          <a:extLst>
            <a:ext uri="{FF2B5EF4-FFF2-40B4-BE49-F238E27FC236}">
              <a16:creationId xmlns="" xmlns:a16="http://schemas.microsoft.com/office/drawing/2014/main" id="{00000000-0008-0000-0400-000065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12" name="Text Box 22">
          <a:extLst>
            <a:ext uri="{FF2B5EF4-FFF2-40B4-BE49-F238E27FC236}">
              <a16:creationId xmlns="" xmlns:a16="http://schemas.microsoft.com/office/drawing/2014/main" id="{00000000-0008-0000-0400-000066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13" name="Text Box 30">
          <a:extLst>
            <a:ext uri="{FF2B5EF4-FFF2-40B4-BE49-F238E27FC236}">
              <a16:creationId xmlns="" xmlns:a16="http://schemas.microsoft.com/office/drawing/2014/main" id="{00000000-0008-0000-0400-000067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14" name="Text Box 31">
          <a:extLst>
            <a:ext uri="{FF2B5EF4-FFF2-40B4-BE49-F238E27FC236}">
              <a16:creationId xmlns="" xmlns:a16="http://schemas.microsoft.com/office/drawing/2014/main" id="{00000000-0008-0000-0400-000068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15" name="Text Box 32">
          <a:extLst>
            <a:ext uri="{FF2B5EF4-FFF2-40B4-BE49-F238E27FC236}">
              <a16:creationId xmlns="" xmlns:a16="http://schemas.microsoft.com/office/drawing/2014/main" id="{00000000-0008-0000-0400-000069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16" name="Text Box 34">
          <a:extLst>
            <a:ext uri="{FF2B5EF4-FFF2-40B4-BE49-F238E27FC236}">
              <a16:creationId xmlns="" xmlns:a16="http://schemas.microsoft.com/office/drawing/2014/main" id="{00000000-0008-0000-0400-00006A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17" name="Text Box 35">
          <a:extLst>
            <a:ext uri="{FF2B5EF4-FFF2-40B4-BE49-F238E27FC236}">
              <a16:creationId xmlns="" xmlns:a16="http://schemas.microsoft.com/office/drawing/2014/main" id="{00000000-0008-0000-0400-00006B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18" name="Text Box 15">
          <a:extLst>
            <a:ext uri="{FF2B5EF4-FFF2-40B4-BE49-F238E27FC236}">
              <a16:creationId xmlns="" xmlns:a16="http://schemas.microsoft.com/office/drawing/2014/main" id="{00000000-0008-0000-0400-00006C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19" name="Text Box 16">
          <a:extLst>
            <a:ext uri="{FF2B5EF4-FFF2-40B4-BE49-F238E27FC236}">
              <a16:creationId xmlns="" xmlns:a16="http://schemas.microsoft.com/office/drawing/2014/main" id="{00000000-0008-0000-0400-00006D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20" name="Text Box 17">
          <a:extLst>
            <a:ext uri="{FF2B5EF4-FFF2-40B4-BE49-F238E27FC236}">
              <a16:creationId xmlns="" xmlns:a16="http://schemas.microsoft.com/office/drawing/2014/main" id="{00000000-0008-0000-0400-00006E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21" name="Text Box 18">
          <a:extLst>
            <a:ext uri="{FF2B5EF4-FFF2-40B4-BE49-F238E27FC236}">
              <a16:creationId xmlns="" xmlns:a16="http://schemas.microsoft.com/office/drawing/2014/main" id="{00000000-0008-0000-0400-00006F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22" name="Text Box 19">
          <a:extLst>
            <a:ext uri="{FF2B5EF4-FFF2-40B4-BE49-F238E27FC236}">
              <a16:creationId xmlns="" xmlns:a16="http://schemas.microsoft.com/office/drawing/2014/main" id="{00000000-0008-0000-0400-000070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23" name="Text Box 20">
          <a:extLst>
            <a:ext uri="{FF2B5EF4-FFF2-40B4-BE49-F238E27FC236}">
              <a16:creationId xmlns="" xmlns:a16="http://schemas.microsoft.com/office/drawing/2014/main" id="{00000000-0008-0000-0400-000071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24" name="Text Box 21">
          <a:extLst>
            <a:ext uri="{FF2B5EF4-FFF2-40B4-BE49-F238E27FC236}">
              <a16:creationId xmlns="" xmlns:a16="http://schemas.microsoft.com/office/drawing/2014/main" id="{00000000-0008-0000-0400-000072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25" name="Text Box 22">
          <a:extLst>
            <a:ext uri="{FF2B5EF4-FFF2-40B4-BE49-F238E27FC236}">
              <a16:creationId xmlns="" xmlns:a16="http://schemas.microsoft.com/office/drawing/2014/main" id="{00000000-0008-0000-0400-000073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26" name="Text Box 1">
          <a:extLst>
            <a:ext uri="{FF2B5EF4-FFF2-40B4-BE49-F238E27FC236}">
              <a16:creationId xmlns="" xmlns:a16="http://schemas.microsoft.com/office/drawing/2014/main" id="{00000000-0008-0000-0400-000074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27" name="Text Box 5">
          <a:extLst>
            <a:ext uri="{FF2B5EF4-FFF2-40B4-BE49-F238E27FC236}">
              <a16:creationId xmlns="" xmlns:a16="http://schemas.microsoft.com/office/drawing/2014/main" id="{00000000-0008-0000-0400-000075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28" name="Text Box 6">
          <a:extLst>
            <a:ext uri="{FF2B5EF4-FFF2-40B4-BE49-F238E27FC236}">
              <a16:creationId xmlns="" xmlns:a16="http://schemas.microsoft.com/office/drawing/2014/main" id="{00000000-0008-0000-0400-000076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29" name="Text Box 7">
          <a:extLst>
            <a:ext uri="{FF2B5EF4-FFF2-40B4-BE49-F238E27FC236}">
              <a16:creationId xmlns="" xmlns:a16="http://schemas.microsoft.com/office/drawing/2014/main" id="{00000000-0008-0000-0400-000077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30" name="Text Box 8">
          <a:extLst>
            <a:ext uri="{FF2B5EF4-FFF2-40B4-BE49-F238E27FC236}">
              <a16:creationId xmlns="" xmlns:a16="http://schemas.microsoft.com/office/drawing/2014/main" id="{00000000-0008-0000-0400-000078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31" name="Text Box 16">
          <a:extLst>
            <a:ext uri="{FF2B5EF4-FFF2-40B4-BE49-F238E27FC236}">
              <a16:creationId xmlns="" xmlns:a16="http://schemas.microsoft.com/office/drawing/2014/main" id="{00000000-0008-0000-0400-000079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32" name="Text Box 19">
          <a:extLst>
            <a:ext uri="{FF2B5EF4-FFF2-40B4-BE49-F238E27FC236}">
              <a16:creationId xmlns="" xmlns:a16="http://schemas.microsoft.com/office/drawing/2014/main" id="{00000000-0008-0000-0400-00007A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33" name="Text Box 20">
          <a:extLst>
            <a:ext uri="{FF2B5EF4-FFF2-40B4-BE49-F238E27FC236}">
              <a16:creationId xmlns="" xmlns:a16="http://schemas.microsoft.com/office/drawing/2014/main" id="{00000000-0008-0000-0400-00007B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34" name="Text Box 21">
          <a:extLst>
            <a:ext uri="{FF2B5EF4-FFF2-40B4-BE49-F238E27FC236}">
              <a16:creationId xmlns="" xmlns:a16="http://schemas.microsoft.com/office/drawing/2014/main" id="{00000000-0008-0000-0400-00007C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35" name="Text Box 22">
          <a:extLst>
            <a:ext uri="{FF2B5EF4-FFF2-40B4-BE49-F238E27FC236}">
              <a16:creationId xmlns="" xmlns:a16="http://schemas.microsoft.com/office/drawing/2014/main" id="{00000000-0008-0000-0400-00007D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36" name="Text Box 30">
          <a:extLst>
            <a:ext uri="{FF2B5EF4-FFF2-40B4-BE49-F238E27FC236}">
              <a16:creationId xmlns="" xmlns:a16="http://schemas.microsoft.com/office/drawing/2014/main" id="{00000000-0008-0000-0400-00007E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37" name="Text Box 31">
          <a:extLst>
            <a:ext uri="{FF2B5EF4-FFF2-40B4-BE49-F238E27FC236}">
              <a16:creationId xmlns="" xmlns:a16="http://schemas.microsoft.com/office/drawing/2014/main" id="{00000000-0008-0000-0400-00007F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38" name="Text Box 32">
          <a:extLst>
            <a:ext uri="{FF2B5EF4-FFF2-40B4-BE49-F238E27FC236}">
              <a16:creationId xmlns="" xmlns:a16="http://schemas.microsoft.com/office/drawing/2014/main" id="{00000000-0008-0000-0400-000080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39" name="Text Box 34">
          <a:extLst>
            <a:ext uri="{FF2B5EF4-FFF2-40B4-BE49-F238E27FC236}">
              <a16:creationId xmlns="" xmlns:a16="http://schemas.microsoft.com/office/drawing/2014/main" id="{00000000-0008-0000-0400-000081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40" name="Text Box 35">
          <a:extLst>
            <a:ext uri="{FF2B5EF4-FFF2-40B4-BE49-F238E27FC236}">
              <a16:creationId xmlns="" xmlns:a16="http://schemas.microsoft.com/office/drawing/2014/main" id="{00000000-0008-0000-0400-000082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41" name="Text Box 15">
          <a:extLst>
            <a:ext uri="{FF2B5EF4-FFF2-40B4-BE49-F238E27FC236}">
              <a16:creationId xmlns="" xmlns:a16="http://schemas.microsoft.com/office/drawing/2014/main" id="{00000000-0008-0000-0400-000083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42" name="Text Box 16">
          <a:extLst>
            <a:ext uri="{FF2B5EF4-FFF2-40B4-BE49-F238E27FC236}">
              <a16:creationId xmlns="" xmlns:a16="http://schemas.microsoft.com/office/drawing/2014/main" id="{00000000-0008-0000-0400-000084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43" name="Text Box 17">
          <a:extLst>
            <a:ext uri="{FF2B5EF4-FFF2-40B4-BE49-F238E27FC236}">
              <a16:creationId xmlns="" xmlns:a16="http://schemas.microsoft.com/office/drawing/2014/main" id="{00000000-0008-0000-0400-000085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44" name="Text Box 18">
          <a:extLst>
            <a:ext uri="{FF2B5EF4-FFF2-40B4-BE49-F238E27FC236}">
              <a16:creationId xmlns="" xmlns:a16="http://schemas.microsoft.com/office/drawing/2014/main" id="{00000000-0008-0000-0400-000086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45" name="Text Box 19">
          <a:extLst>
            <a:ext uri="{FF2B5EF4-FFF2-40B4-BE49-F238E27FC236}">
              <a16:creationId xmlns="" xmlns:a16="http://schemas.microsoft.com/office/drawing/2014/main" id="{00000000-0008-0000-0400-000087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46" name="Text Box 20">
          <a:extLst>
            <a:ext uri="{FF2B5EF4-FFF2-40B4-BE49-F238E27FC236}">
              <a16:creationId xmlns="" xmlns:a16="http://schemas.microsoft.com/office/drawing/2014/main" id="{00000000-0008-0000-0400-000088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47" name="Text Box 21">
          <a:extLst>
            <a:ext uri="{FF2B5EF4-FFF2-40B4-BE49-F238E27FC236}">
              <a16:creationId xmlns="" xmlns:a16="http://schemas.microsoft.com/office/drawing/2014/main" id="{00000000-0008-0000-0400-000089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48" name="Text Box 22">
          <a:extLst>
            <a:ext uri="{FF2B5EF4-FFF2-40B4-BE49-F238E27FC236}">
              <a16:creationId xmlns="" xmlns:a16="http://schemas.microsoft.com/office/drawing/2014/main" id="{00000000-0008-0000-0400-00008A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49" name="Text Box 1">
          <a:extLst>
            <a:ext uri="{FF2B5EF4-FFF2-40B4-BE49-F238E27FC236}">
              <a16:creationId xmlns="" xmlns:a16="http://schemas.microsoft.com/office/drawing/2014/main" id="{00000000-0008-0000-0400-00008B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50" name="Text Box 5">
          <a:extLst>
            <a:ext uri="{FF2B5EF4-FFF2-40B4-BE49-F238E27FC236}">
              <a16:creationId xmlns="" xmlns:a16="http://schemas.microsoft.com/office/drawing/2014/main" id="{00000000-0008-0000-0400-00008C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51" name="Text Box 6">
          <a:extLst>
            <a:ext uri="{FF2B5EF4-FFF2-40B4-BE49-F238E27FC236}">
              <a16:creationId xmlns="" xmlns:a16="http://schemas.microsoft.com/office/drawing/2014/main" id="{00000000-0008-0000-0400-00008D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52" name="Text Box 7">
          <a:extLst>
            <a:ext uri="{FF2B5EF4-FFF2-40B4-BE49-F238E27FC236}">
              <a16:creationId xmlns="" xmlns:a16="http://schemas.microsoft.com/office/drawing/2014/main" id="{00000000-0008-0000-0400-00008E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53" name="Text Box 8">
          <a:extLst>
            <a:ext uri="{FF2B5EF4-FFF2-40B4-BE49-F238E27FC236}">
              <a16:creationId xmlns="" xmlns:a16="http://schemas.microsoft.com/office/drawing/2014/main" id="{00000000-0008-0000-0400-00008F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54" name="Text Box 16">
          <a:extLst>
            <a:ext uri="{FF2B5EF4-FFF2-40B4-BE49-F238E27FC236}">
              <a16:creationId xmlns="" xmlns:a16="http://schemas.microsoft.com/office/drawing/2014/main" id="{00000000-0008-0000-0400-000090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55" name="Text Box 19">
          <a:extLst>
            <a:ext uri="{FF2B5EF4-FFF2-40B4-BE49-F238E27FC236}">
              <a16:creationId xmlns="" xmlns:a16="http://schemas.microsoft.com/office/drawing/2014/main" id="{00000000-0008-0000-0400-000091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56" name="Text Box 20">
          <a:extLst>
            <a:ext uri="{FF2B5EF4-FFF2-40B4-BE49-F238E27FC236}">
              <a16:creationId xmlns="" xmlns:a16="http://schemas.microsoft.com/office/drawing/2014/main" id="{00000000-0008-0000-0400-000092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57" name="Text Box 21">
          <a:extLst>
            <a:ext uri="{FF2B5EF4-FFF2-40B4-BE49-F238E27FC236}">
              <a16:creationId xmlns="" xmlns:a16="http://schemas.microsoft.com/office/drawing/2014/main" id="{00000000-0008-0000-0400-000093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58" name="Text Box 22">
          <a:extLst>
            <a:ext uri="{FF2B5EF4-FFF2-40B4-BE49-F238E27FC236}">
              <a16:creationId xmlns="" xmlns:a16="http://schemas.microsoft.com/office/drawing/2014/main" id="{00000000-0008-0000-0400-000094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59" name="Text Box 30">
          <a:extLst>
            <a:ext uri="{FF2B5EF4-FFF2-40B4-BE49-F238E27FC236}">
              <a16:creationId xmlns="" xmlns:a16="http://schemas.microsoft.com/office/drawing/2014/main" id="{00000000-0008-0000-0400-000095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60" name="Text Box 31">
          <a:extLst>
            <a:ext uri="{FF2B5EF4-FFF2-40B4-BE49-F238E27FC236}">
              <a16:creationId xmlns="" xmlns:a16="http://schemas.microsoft.com/office/drawing/2014/main" id="{00000000-0008-0000-0400-000096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61" name="Text Box 32">
          <a:extLst>
            <a:ext uri="{FF2B5EF4-FFF2-40B4-BE49-F238E27FC236}">
              <a16:creationId xmlns="" xmlns:a16="http://schemas.microsoft.com/office/drawing/2014/main" id="{00000000-0008-0000-0400-000097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62" name="Text Box 34">
          <a:extLst>
            <a:ext uri="{FF2B5EF4-FFF2-40B4-BE49-F238E27FC236}">
              <a16:creationId xmlns="" xmlns:a16="http://schemas.microsoft.com/office/drawing/2014/main" id="{00000000-0008-0000-0400-000098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63" name="Text Box 35">
          <a:extLst>
            <a:ext uri="{FF2B5EF4-FFF2-40B4-BE49-F238E27FC236}">
              <a16:creationId xmlns="" xmlns:a16="http://schemas.microsoft.com/office/drawing/2014/main" id="{00000000-0008-0000-0400-0000991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64" name="Text Box 15">
          <a:extLst>
            <a:ext uri="{FF2B5EF4-FFF2-40B4-BE49-F238E27FC236}">
              <a16:creationId xmlns="" xmlns:a16="http://schemas.microsoft.com/office/drawing/2014/main" id="{00000000-0008-0000-0400-0000E3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65" name="Text Box 16">
          <a:extLst>
            <a:ext uri="{FF2B5EF4-FFF2-40B4-BE49-F238E27FC236}">
              <a16:creationId xmlns="" xmlns:a16="http://schemas.microsoft.com/office/drawing/2014/main" id="{00000000-0008-0000-0400-0000E4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66" name="Text Box 17">
          <a:extLst>
            <a:ext uri="{FF2B5EF4-FFF2-40B4-BE49-F238E27FC236}">
              <a16:creationId xmlns="" xmlns:a16="http://schemas.microsoft.com/office/drawing/2014/main" id="{00000000-0008-0000-0400-0000E5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67" name="Text Box 18">
          <a:extLst>
            <a:ext uri="{FF2B5EF4-FFF2-40B4-BE49-F238E27FC236}">
              <a16:creationId xmlns="" xmlns:a16="http://schemas.microsoft.com/office/drawing/2014/main" id="{00000000-0008-0000-0400-0000E6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68" name="Text Box 19">
          <a:extLst>
            <a:ext uri="{FF2B5EF4-FFF2-40B4-BE49-F238E27FC236}">
              <a16:creationId xmlns="" xmlns:a16="http://schemas.microsoft.com/office/drawing/2014/main" id="{00000000-0008-0000-0400-0000E7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69" name="Text Box 20">
          <a:extLst>
            <a:ext uri="{FF2B5EF4-FFF2-40B4-BE49-F238E27FC236}">
              <a16:creationId xmlns="" xmlns:a16="http://schemas.microsoft.com/office/drawing/2014/main" id="{00000000-0008-0000-0400-0000E8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70" name="Text Box 21">
          <a:extLst>
            <a:ext uri="{FF2B5EF4-FFF2-40B4-BE49-F238E27FC236}">
              <a16:creationId xmlns="" xmlns:a16="http://schemas.microsoft.com/office/drawing/2014/main" id="{00000000-0008-0000-0400-0000E9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71" name="Text Box 22">
          <a:extLst>
            <a:ext uri="{FF2B5EF4-FFF2-40B4-BE49-F238E27FC236}">
              <a16:creationId xmlns="" xmlns:a16="http://schemas.microsoft.com/office/drawing/2014/main" id="{00000000-0008-0000-0400-0000EA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72" name="Text Box 1">
          <a:extLst>
            <a:ext uri="{FF2B5EF4-FFF2-40B4-BE49-F238E27FC236}">
              <a16:creationId xmlns="" xmlns:a16="http://schemas.microsoft.com/office/drawing/2014/main" id="{00000000-0008-0000-0400-0000EB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73" name="Text Box 5">
          <a:extLst>
            <a:ext uri="{FF2B5EF4-FFF2-40B4-BE49-F238E27FC236}">
              <a16:creationId xmlns="" xmlns:a16="http://schemas.microsoft.com/office/drawing/2014/main" id="{00000000-0008-0000-0400-0000EC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74" name="Text Box 6">
          <a:extLst>
            <a:ext uri="{FF2B5EF4-FFF2-40B4-BE49-F238E27FC236}">
              <a16:creationId xmlns="" xmlns:a16="http://schemas.microsoft.com/office/drawing/2014/main" id="{00000000-0008-0000-0400-0000ED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75" name="Text Box 7">
          <a:extLst>
            <a:ext uri="{FF2B5EF4-FFF2-40B4-BE49-F238E27FC236}">
              <a16:creationId xmlns="" xmlns:a16="http://schemas.microsoft.com/office/drawing/2014/main" id="{00000000-0008-0000-0400-0000EE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76" name="Text Box 8">
          <a:extLst>
            <a:ext uri="{FF2B5EF4-FFF2-40B4-BE49-F238E27FC236}">
              <a16:creationId xmlns="" xmlns:a16="http://schemas.microsoft.com/office/drawing/2014/main" id="{00000000-0008-0000-0400-0000EF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77" name="Text Box 16">
          <a:extLst>
            <a:ext uri="{FF2B5EF4-FFF2-40B4-BE49-F238E27FC236}">
              <a16:creationId xmlns="" xmlns:a16="http://schemas.microsoft.com/office/drawing/2014/main" id="{00000000-0008-0000-0400-0000F0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78" name="Text Box 19">
          <a:extLst>
            <a:ext uri="{FF2B5EF4-FFF2-40B4-BE49-F238E27FC236}">
              <a16:creationId xmlns="" xmlns:a16="http://schemas.microsoft.com/office/drawing/2014/main" id="{00000000-0008-0000-0400-0000F1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79" name="Text Box 20">
          <a:extLst>
            <a:ext uri="{FF2B5EF4-FFF2-40B4-BE49-F238E27FC236}">
              <a16:creationId xmlns="" xmlns:a16="http://schemas.microsoft.com/office/drawing/2014/main" id="{00000000-0008-0000-0400-0000F2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80" name="Text Box 21">
          <a:extLst>
            <a:ext uri="{FF2B5EF4-FFF2-40B4-BE49-F238E27FC236}">
              <a16:creationId xmlns="" xmlns:a16="http://schemas.microsoft.com/office/drawing/2014/main" id="{00000000-0008-0000-0400-0000F3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81" name="Text Box 22">
          <a:extLst>
            <a:ext uri="{FF2B5EF4-FFF2-40B4-BE49-F238E27FC236}">
              <a16:creationId xmlns="" xmlns:a16="http://schemas.microsoft.com/office/drawing/2014/main" id="{00000000-0008-0000-0400-0000F4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82" name="Text Box 30">
          <a:extLst>
            <a:ext uri="{FF2B5EF4-FFF2-40B4-BE49-F238E27FC236}">
              <a16:creationId xmlns="" xmlns:a16="http://schemas.microsoft.com/office/drawing/2014/main" id="{00000000-0008-0000-0400-0000F5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83" name="Text Box 31">
          <a:extLst>
            <a:ext uri="{FF2B5EF4-FFF2-40B4-BE49-F238E27FC236}">
              <a16:creationId xmlns="" xmlns:a16="http://schemas.microsoft.com/office/drawing/2014/main" id="{00000000-0008-0000-0400-0000F6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84" name="Text Box 32">
          <a:extLst>
            <a:ext uri="{FF2B5EF4-FFF2-40B4-BE49-F238E27FC236}">
              <a16:creationId xmlns="" xmlns:a16="http://schemas.microsoft.com/office/drawing/2014/main" id="{00000000-0008-0000-0400-0000F7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85" name="Text Box 34">
          <a:extLst>
            <a:ext uri="{FF2B5EF4-FFF2-40B4-BE49-F238E27FC236}">
              <a16:creationId xmlns="" xmlns:a16="http://schemas.microsoft.com/office/drawing/2014/main" id="{00000000-0008-0000-0400-0000F8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86" name="Text Box 35">
          <a:extLst>
            <a:ext uri="{FF2B5EF4-FFF2-40B4-BE49-F238E27FC236}">
              <a16:creationId xmlns="" xmlns:a16="http://schemas.microsoft.com/office/drawing/2014/main" id="{00000000-0008-0000-0400-0000F9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87" name="Text Box 15">
          <a:extLst>
            <a:ext uri="{FF2B5EF4-FFF2-40B4-BE49-F238E27FC236}">
              <a16:creationId xmlns="" xmlns:a16="http://schemas.microsoft.com/office/drawing/2014/main" id="{00000000-0008-0000-0400-0000FA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88" name="Text Box 16">
          <a:extLst>
            <a:ext uri="{FF2B5EF4-FFF2-40B4-BE49-F238E27FC236}">
              <a16:creationId xmlns="" xmlns:a16="http://schemas.microsoft.com/office/drawing/2014/main" id="{00000000-0008-0000-0400-0000FB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89" name="Text Box 17">
          <a:extLst>
            <a:ext uri="{FF2B5EF4-FFF2-40B4-BE49-F238E27FC236}">
              <a16:creationId xmlns="" xmlns:a16="http://schemas.microsoft.com/office/drawing/2014/main" id="{00000000-0008-0000-0400-0000FC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90" name="Text Box 18">
          <a:extLst>
            <a:ext uri="{FF2B5EF4-FFF2-40B4-BE49-F238E27FC236}">
              <a16:creationId xmlns="" xmlns:a16="http://schemas.microsoft.com/office/drawing/2014/main" id="{00000000-0008-0000-0400-0000FD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91" name="Text Box 19">
          <a:extLst>
            <a:ext uri="{FF2B5EF4-FFF2-40B4-BE49-F238E27FC236}">
              <a16:creationId xmlns="" xmlns:a16="http://schemas.microsoft.com/office/drawing/2014/main" id="{00000000-0008-0000-0400-0000FE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92" name="Text Box 20">
          <a:extLst>
            <a:ext uri="{FF2B5EF4-FFF2-40B4-BE49-F238E27FC236}">
              <a16:creationId xmlns="" xmlns:a16="http://schemas.microsoft.com/office/drawing/2014/main" id="{00000000-0008-0000-0400-0000FF2F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93" name="Text Box 21">
          <a:extLst>
            <a:ext uri="{FF2B5EF4-FFF2-40B4-BE49-F238E27FC236}">
              <a16:creationId xmlns="" xmlns:a16="http://schemas.microsoft.com/office/drawing/2014/main" id="{00000000-0008-0000-0400-000000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94" name="Text Box 22">
          <a:extLst>
            <a:ext uri="{FF2B5EF4-FFF2-40B4-BE49-F238E27FC236}">
              <a16:creationId xmlns="" xmlns:a16="http://schemas.microsoft.com/office/drawing/2014/main" id="{00000000-0008-0000-0400-000001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95" name="Text Box 1">
          <a:extLst>
            <a:ext uri="{FF2B5EF4-FFF2-40B4-BE49-F238E27FC236}">
              <a16:creationId xmlns="" xmlns:a16="http://schemas.microsoft.com/office/drawing/2014/main" id="{00000000-0008-0000-0400-000002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96" name="Text Box 5">
          <a:extLst>
            <a:ext uri="{FF2B5EF4-FFF2-40B4-BE49-F238E27FC236}">
              <a16:creationId xmlns="" xmlns:a16="http://schemas.microsoft.com/office/drawing/2014/main" id="{00000000-0008-0000-0400-000003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97" name="Text Box 6">
          <a:extLst>
            <a:ext uri="{FF2B5EF4-FFF2-40B4-BE49-F238E27FC236}">
              <a16:creationId xmlns="" xmlns:a16="http://schemas.microsoft.com/office/drawing/2014/main" id="{00000000-0008-0000-0400-000004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98" name="Text Box 7">
          <a:extLst>
            <a:ext uri="{FF2B5EF4-FFF2-40B4-BE49-F238E27FC236}">
              <a16:creationId xmlns="" xmlns:a16="http://schemas.microsoft.com/office/drawing/2014/main" id="{00000000-0008-0000-0400-000005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199" name="Text Box 8">
          <a:extLst>
            <a:ext uri="{FF2B5EF4-FFF2-40B4-BE49-F238E27FC236}">
              <a16:creationId xmlns="" xmlns:a16="http://schemas.microsoft.com/office/drawing/2014/main" id="{00000000-0008-0000-0400-000006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00" name="Text Box 16">
          <a:extLst>
            <a:ext uri="{FF2B5EF4-FFF2-40B4-BE49-F238E27FC236}">
              <a16:creationId xmlns="" xmlns:a16="http://schemas.microsoft.com/office/drawing/2014/main" id="{00000000-0008-0000-0400-000007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01" name="Text Box 19">
          <a:extLst>
            <a:ext uri="{FF2B5EF4-FFF2-40B4-BE49-F238E27FC236}">
              <a16:creationId xmlns="" xmlns:a16="http://schemas.microsoft.com/office/drawing/2014/main" id="{00000000-0008-0000-0400-000008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02" name="Text Box 20">
          <a:extLst>
            <a:ext uri="{FF2B5EF4-FFF2-40B4-BE49-F238E27FC236}">
              <a16:creationId xmlns="" xmlns:a16="http://schemas.microsoft.com/office/drawing/2014/main" id="{00000000-0008-0000-0400-000009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03" name="Text Box 21">
          <a:extLst>
            <a:ext uri="{FF2B5EF4-FFF2-40B4-BE49-F238E27FC236}">
              <a16:creationId xmlns="" xmlns:a16="http://schemas.microsoft.com/office/drawing/2014/main" id="{00000000-0008-0000-0400-00000A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04" name="Text Box 22">
          <a:extLst>
            <a:ext uri="{FF2B5EF4-FFF2-40B4-BE49-F238E27FC236}">
              <a16:creationId xmlns="" xmlns:a16="http://schemas.microsoft.com/office/drawing/2014/main" id="{00000000-0008-0000-0400-00000B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05" name="Text Box 30">
          <a:extLst>
            <a:ext uri="{FF2B5EF4-FFF2-40B4-BE49-F238E27FC236}">
              <a16:creationId xmlns="" xmlns:a16="http://schemas.microsoft.com/office/drawing/2014/main" id="{00000000-0008-0000-0400-00000C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06" name="Text Box 31">
          <a:extLst>
            <a:ext uri="{FF2B5EF4-FFF2-40B4-BE49-F238E27FC236}">
              <a16:creationId xmlns="" xmlns:a16="http://schemas.microsoft.com/office/drawing/2014/main" id="{00000000-0008-0000-0400-00000D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07" name="Text Box 32">
          <a:extLst>
            <a:ext uri="{FF2B5EF4-FFF2-40B4-BE49-F238E27FC236}">
              <a16:creationId xmlns="" xmlns:a16="http://schemas.microsoft.com/office/drawing/2014/main" id="{00000000-0008-0000-0400-00000E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08" name="Text Box 34">
          <a:extLst>
            <a:ext uri="{FF2B5EF4-FFF2-40B4-BE49-F238E27FC236}">
              <a16:creationId xmlns="" xmlns:a16="http://schemas.microsoft.com/office/drawing/2014/main" id="{00000000-0008-0000-0400-00000F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09" name="Text Box 35">
          <a:extLst>
            <a:ext uri="{FF2B5EF4-FFF2-40B4-BE49-F238E27FC236}">
              <a16:creationId xmlns="" xmlns:a16="http://schemas.microsoft.com/office/drawing/2014/main" id="{00000000-0008-0000-0400-000010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10" name="Text Box 15">
          <a:extLst>
            <a:ext uri="{FF2B5EF4-FFF2-40B4-BE49-F238E27FC236}">
              <a16:creationId xmlns="" xmlns:a16="http://schemas.microsoft.com/office/drawing/2014/main" id="{00000000-0008-0000-0400-000011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11" name="Text Box 16">
          <a:extLst>
            <a:ext uri="{FF2B5EF4-FFF2-40B4-BE49-F238E27FC236}">
              <a16:creationId xmlns="" xmlns:a16="http://schemas.microsoft.com/office/drawing/2014/main" id="{00000000-0008-0000-0400-000012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12" name="Text Box 17">
          <a:extLst>
            <a:ext uri="{FF2B5EF4-FFF2-40B4-BE49-F238E27FC236}">
              <a16:creationId xmlns="" xmlns:a16="http://schemas.microsoft.com/office/drawing/2014/main" id="{00000000-0008-0000-0400-000013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13" name="Text Box 18">
          <a:extLst>
            <a:ext uri="{FF2B5EF4-FFF2-40B4-BE49-F238E27FC236}">
              <a16:creationId xmlns="" xmlns:a16="http://schemas.microsoft.com/office/drawing/2014/main" id="{00000000-0008-0000-0400-000014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14" name="Text Box 19">
          <a:extLst>
            <a:ext uri="{FF2B5EF4-FFF2-40B4-BE49-F238E27FC236}">
              <a16:creationId xmlns="" xmlns:a16="http://schemas.microsoft.com/office/drawing/2014/main" id="{00000000-0008-0000-0400-000015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15" name="Text Box 20">
          <a:extLst>
            <a:ext uri="{FF2B5EF4-FFF2-40B4-BE49-F238E27FC236}">
              <a16:creationId xmlns="" xmlns:a16="http://schemas.microsoft.com/office/drawing/2014/main" id="{00000000-0008-0000-0400-000016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16" name="Text Box 21">
          <a:extLst>
            <a:ext uri="{FF2B5EF4-FFF2-40B4-BE49-F238E27FC236}">
              <a16:creationId xmlns="" xmlns:a16="http://schemas.microsoft.com/office/drawing/2014/main" id="{00000000-0008-0000-0400-000017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17" name="Text Box 22">
          <a:extLst>
            <a:ext uri="{FF2B5EF4-FFF2-40B4-BE49-F238E27FC236}">
              <a16:creationId xmlns="" xmlns:a16="http://schemas.microsoft.com/office/drawing/2014/main" id="{00000000-0008-0000-0400-000018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18" name="Text Box 1">
          <a:extLst>
            <a:ext uri="{FF2B5EF4-FFF2-40B4-BE49-F238E27FC236}">
              <a16:creationId xmlns="" xmlns:a16="http://schemas.microsoft.com/office/drawing/2014/main" id="{00000000-0008-0000-0400-000019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19" name="Text Box 5">
          <a:extLst>
            <a:ext uri="{FF2B5EF4-FFF2-40B4-BE49-F238E27FC236}">
              <a16:creationId xmlns="" xmlns:a16="http://schemas.microsoft.com/office/drawing/2014/main" id="{00000000-0008-0000-0400-00001A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20" name="Text Box 6">
          <a:extLst>
            <a:ext uri="{FF2B5EF4-FFF2-40B4-BE49-F238E27FC236}">
              <a16:creationId xmlns="" xmlns:a16="http://schemas.microsoft.com/office/drawing/2014/main" id="{00000000-0008-0000-0400-00001B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21" name="Text Box 7">
          <a:extLst>
            <a:ext uri="{FF2B5EF4-FFF2-40B4-BE49-F238E27FC236}">
              <a16:creationId xmlns="" xmlns:a16="http://schemas.microsoft.com/office/drawing/2014/main" id="{00000000-0008-0000-0400-00001C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22" name="Text Box 8">
          <a:extLst>
            <a:ext uri="{FF2B5EF4-FFF2-40B4-BE49-F238E27FC236}">
              <a16:creationId xmlns="" xmlns:a16="http://schemas.microsoft.com/office/drawing/2014/main" id="{00000000-0008-0000-0400-00001D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23" name="Text Box 16">
          <a:extLst>
            <a:ext uri="{FF2B5EF4-FFF2-40B4-BE49-F238E27FC236}">
              <a16:creationId xmlns="" xmlns:a16="http://schemas.microsoft.com/office/drawing/2014/main" id="{00000000-0008-0000-0400-00001E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24" name="Text Box 19">
          <a:extLst>
            <a:ext uri="{FF2B5EF4-FFF2-40B4-BE49-F238E27FC236}">
              <a16:creationId xmlns="" xmlns:a16="http://schemas.microsoft.com/office/drawing/2014/main" id="{00000000-0008-0000-0400-00001F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25" name="Text Box 20">
          <a:extLst>
            <a:ext uri="{FF2B5EF4-FFF2-40B4-BE49-F238E27FC236}">
              <a16:creationId xmlns="" xmlns:a16="http://schemas.microsoft.com/office/drawing/2014/main" id="{00000000-0008-0000-0400-000020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26" name="Text Box 21">
          <a:extLst>
            <a:ext uri="{FF2B5EF4-FFF2-40B4-BE49-F238E27FC236}">
              <a16:creationId xmlns="" xmlns:a16="http://schemas.microsoft.com/office/drawing/2014/main" id="{00000000-0008-0000-0400-000021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27" name="Text Box 22">
          <a:extLst>
            <a:ext uri="{FF2B5EF4-FFF2-40B4-BE49-F238E27FC236}">
              <a16:creationId xmlns="" xmlns:a16="http://schemas.microsoft.com/office/drawing/2014/main" id="{00000000-0008-0000-0400-000022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28" name="Text Box 30">
          <a:extLst>
            <a:ext uri="{FF2B5EF4-FFF2-40B4-BE49-F238E27FC236}">
              <a16:creationId xmlns="" xmlns:a16="http://schemas.microsoft.com/office/drawing/2014/main" id="{00000000-0008-0000-0400-000023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29" name="Text Box 31">
          <a:extLst>
            <a:ext uri="{FF2B5EF4-FFF2-40B4-BE49-F238E27FC236}">
              <a16:creationId xmlns="" xmlns:a16="http://schemas.microsoft.com/office/drawing/2014/main" id="{00000000-0008-0000-0400-000024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30" name="Text Box 32">
          <a:extLst>
            <a:ext uri="{FF2B5EF4-FFF2-40B4-BE49-F238E27FC236}">
              <a16:creationId xmlns="" xmlns:a16="http://schemas.microsoft.com/office/drawing/2014/main" id="{00000000-0008-0000-0400-000025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31" name="Text Box 34">
          <a:extLst>
            <a:ext uri="{FF2B5EF4-FFF2-40B4-BE49-F238E27FC236}">
              <a16:creationId xmlns="" xmlns:a16="http://schemas.microsoft.com/office/drawing/2014/main" id="{00000000-0008-0000-0400-000026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258</xdr:row>
      <xdr:rowOff>0</xdr:rowOff>
    </xdr:from>
    <xdr:ext cx="76200" cy="200025"/>
    <xdr:sp macro="" textlink="">
      <xdr:nvSpPr>
        <xdr:cNvPr id="232" name="Text Box 35">
          <a:extLst>
            <a:ext uri="{FF2B5EF4-FFF2-40B4-BE49-F238E27FC236}">
              <a16:creationId xmlns="" xmlns:a16="http://schemas.microsoft.com/office/drawing/2014/main" id="{00000000-0008-0000-0400-000027300000}"/>
            </a:ext>
          </a:extLst>
        </xdr:cNvPr>
        <xdr:cNvSpPr txBox="1">
          <a:spLocks noChangeArrowheads="1"/>
        </xdr:cNvSpPr>
      </xdr:nvSpPr>
      <xdr:spPr bwMode="auto">
        <a:xfrm>
          <a:off x="3829050" y="70227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adashvili\&#4315;&#4317;&#4320;&#4329;&#4308;&#4316;&#4312;&#4314;&#4308;&#4305;&#4312;\&#4321;&#4304;&#4322;&#4327;&#4308;&#4317;%202022\jigaura\mza\morcha\&#4335;&#4312;&#4326;&#4304;&#4323;&#4320;&#4304;&#4321;%20&#4305;&#4304;&#4310;&#4312;&#4321;%20&#4334;&#4304;&#4320;&#4335;&#4311;&#4304;&#4326;&#4320;&#4312;&#4330;&#4334;&#4309;&#4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სანაკრებო"/>
      <sheetName val="კოტეჯის სამშენებლო "/>
      <sheetName val="წყალ-კანალი "/>
      <sheetName val="ელექტრობა-სუსტი დენები "/>
      <sheetName val="კეთილმოწყობა"/>
    </sheetNames>
    <sheetDataSet>
      <sheetData sheetId="0">
        <row r="13">
          <cell r="C13" t="str">
            <v>el.qselis da susti denebis mowyobis samuSaoebi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BreakPreview" zoomScale="110" zoomScaleNormal="110" zoomScaleSheetLayoutView="110" workbookViewId="0">
      <selection activeCell="B25" sqref="B25"/>
    </sheetView>
  </sheetViews>
  <sheetFormatPr defaultRowHeight="12.75" x14ac:dyDescent="0.2"/>
  <cols>
    <col min="1" max="1" width="7.7109375" style="132" customWidth="1"/>
    <col min="2" max="2" width="13" style="132" customWidth="1"/>
    <col min="3" max="3" width="67.85546875" style="132" customWidth="1"/>
    <col min="4" max="4" width="17.5703125" style="132" customWidth="1"/>
    <col min="5" max="5" width="16.5703125" style="132" customWidth="1"/>
    <col min="6" max="6" width="10.5703125" style="132" bestFit="1" customWidth="1"/>
    <col min="7" max="252" width="9.140625" style="132"/>
    <col min="253" max="253" width="7.42578125" style="132" customWidth="1"/>
    <col min="254" max="254" width="13.85546875" style="132" customWidth="1"/>
    <col min="255" max="255" width="52" style="132" customWidth="1"/>
    <col min="256" max="259" width="12.140625" style="132" customWidth="1"/>
    <col min="260" max="260" width="18.7109375" style="132" customWidth="1"/>
    <col min="261" max="261" width="11.5703125" style="132" bestFit="1" customWidth="1"/>
    <col min="262" max="262" width="10.5703125" style="132" bestFit="1" customWidth="1"/>
    <col min="263" max="508" width="9.140625" style="132"/>
    <col min="509" max="509" width="7.42578125" style="132" customWidth="1"/>
    <col min="510" max="510" width="13.85546875" style="132" customWidth="1"/>
    <col min="511" max="511" width="52" style="132" customWidth="1"/>
    <col min="512" max="515" width="12.140625" style="132" customWidth="1"/>
    <col min="516" max="516" width="18.7109375" style="132" customWidth="1"/>
    <col min="517" max="517" width="11.5703125" style="132" bestFit="1" customWidth="1"/>
    <col min="518" max="518" width="10.5703125" style="132" bestFit="1" customWidth="1"/>
    <col min="519" max="764" width="9.140625" style="132"/>
    <col min="765" max="765" width="7.42578125" style="132" customWidth="1"/>
    <col min="766" max="766" width="13.85546875" style="132" customWidth="1"/>
    <col min="767" max="767" width="52" style="132" customWidth="1"/>
    <col min="768" max="771" width="12.140625" style="132" customWidth="1"/>
    <col min="772" max="772" width="18.7109375" style="132" customWidth="1"/>
    <col min="773" max="773" width="11.5703125" style="132" bestFit="1" customWidth="1"/>
    <col min="774" max="774" width="10.5703125" style="132" bestFit="1" customWidth="1"/>
    <col min="775" max="1020" width="9.140625" style="132"/>
    <col min="1021" max="1021" width="7.42578125" style="132" customWidth="1"/>
    <col min="1022" max="1022" width="13.85546875" style="132" customWidth="1"/>
    <col min="1023" max="1023" width="52" style="132" customWidth="1"/>
    <col min="1024" max="1027" width="12.140625" style="132" customWidth="1"/>
    <col min="1028" max="1028" width="18.7109375" style="132" customWidth="1"/>
    <col min="1029" max="1029" width="11.5703125" style="132" bestFit="1" customWidth="1"/>
    <col min="1030" max="1030" width="10.5703125" style="132" bestFit="1" customWidth="1"/>
    <col min="1031" max="1276" width="9.140625" style="132"/>
    <col min="1277" max="1277" width="7.42578125" style="132" customWidth="1"/>
    <col min="1278" max="1278" width="13.85546875" style="132" customWidth="1"/>
    <col min="1279" max="1279" width="52" style="132" customWidth="1"/>
    <col min="1280" max="1283" width="12.140625" style="132" customWidth="1"/>
    <col min="1284" max="1284" width="18.7109375" style="132" customWidth="1"/>
    <col min="1285" max="1285" width="11.5703125" style="132" bestFit="1" customWidth="1"/>
    <col min="1286" max="1286" width="10.5703125" style="132" bestFit="1" customWidth="1"/>
    <col min="1287" max="1532" width="9.140625" style="132"/>
    <col min="1533" max="1533" width="7.42578125" style="132" customWidth="1"/>
    <col min="1534" max="1534" width="13.85546875" style="132" customWidth="1"/>
    <col min="1535" max="1535" width="52" style="132" customWidth="1"/>
    <col min="1536" max="1539" width="12.140625" style="132" customWidth="1"/>
    <col min="1540" max="1540" width="18.7109375" style="132" customWidth="1"/>
    <col min="1541" max="1541" width="11.5703125" style="132" bestFit="1" customWidth="1"/>
    <col min="1542" max="1542" width="10.5703125" style="132" bestFit="1" customWidth="1"/>
    <col min="1543" max="1788" width="9.140625" style="132"/>
    <col min="1789" max="1789" width="7.42578125" style="132" customWidth="1"/>
    <col min="1790" max="1790" width="13.85546875" style="132" customWidth="1"/>
    <col min="1791" max="1791" width="52" style="132" customWidth="1"/>
    <col min="1792" max="1795" width="12.140625" style="132" customWidth="1"/>
    <col min="1796" max="1796" width="18.7109375" style="132" customWidth="1"/>
    <col min="1797" max="1797" width="11.5703125" style="132" bestFit="1" customWidth="1"/>
    <col min="1798" max="1798" width="10.5703125" style="132" bestFit="1" customWidth="1"/>
    <col min="1799" max="2044" width="9.140625" style="132"/>
    <col min="2045" max="2045" width="7.42578125" style="132" customWidth="1"/>
    <col min="2046" max="2046" width="13.85546875" style="132" customWidth="1"/>
    <col min="2047" max="2047" width="52" style="132" customWidth="1"/>
    <col min="2048" max="2051" width="12.140625" style="132" customWidth="1"/>
    <col min="2052" max="2052" width="18.7109375" style="132" customWidth="1"/>
    <col min="2053" max="2053" width="11.5703125" style="132" bestFit="1" customWidth="1"/>
    <col min="2054" max="2054" width="10.5703125" style="132" bestFit="1" customWidth="1"/>
    <col min="2055" max="2300" width="9.140625" style="132"/>
    <col min="2301" max="2301" width="7.42578125" style="132" customWidth="1"/>
    <col min="2302" max="2302" width="13.85546875" style="132" customWidth="1"/>
    <col min="2303" max="2303" width="52" style="132" customWidth="1"/>
    <col min="2304" max="2307" width="12.140625" style="132" customWidth="1"/>
    <col min="2308" max="2308" width="18.7109375" style="132" customWidth="1"/>
    <col min="2309" max="2309" width="11.5703125" style="132" bestFit="1" customWidth="1"/>
    <col min="2310" max="2310" width="10.5703125" style="132" bestFit="1" customWidth="1"/>
    <col min="2311" max="2556" width="9.140625" style="132"/>
    <col min="2557" max="2557" width="7.42578125" style="132" customWidth="1"/>
    <col min="2558" max="2558" width="13.85546875" style="132" customWidth="1"/>
    <col min="2559" max="2559" width="52" style="132" customWidth="1"/>
    <col min="2560" max="2563" width="12.140625" style="132" customWidth="1"/>
    <col min="2564" max="2564" width="18.7109375" style="132" customWidth="1"/>
    <col min="2565" max="2565" width="11.5703125" style="132" bestFit="1" customWidth="1"/>
    <col min="2566" max="2566" width="10.5703125" style="132" bestFit="1" customWidth="1"/>
    <col min="2567" max="2812" width="9.140625" style="132"/>
    <col min="2813" max="2813" width="7.42578125" style="132" customWidth="1"/>
    <col min="2814" max="2814" width="13.85546875" style="132" customWidth="1"/>
    <col min="2815" max="2815" width="52" style="132" customWidth="1"/>
    <col min="2816" max="2819" width="12.140625" style="132" customWidth="1"/>
    <col min="2820" max="2820" width="18.7109375" style="132" customWidth="1"/>
    <col min="2821" max="2821" width="11.5703125" style="132" bestFit="1" customWidth="1"/>
    <col min="2822" max="2822" width="10.5703125" style="132" bestFit="1" customWidth="1"/>
    <col min="2823" max="3068" width="9.140625" style="132"/>
    <col min="3069" max="3069" width="7.42578125" style="132" customWidth="1"/>
    <col min="3070" max="3070" width="13.85546875" style="132" customWidth="1"/>
    <col min="3071" max="3071" width="52" style="132" customWidth="1"/>
    <col min="3072" max="3075" width="12.140625" style="132" customWidth="1"/>
    <col min="3076" max="3076" width="18.7109375" style="132" customWidth="1"/>
    <col min="3077" max="3077" width="11.5703125" style="132" bestFit="1" customWidth="1"/>
    <col min="3078" max="3078" width="10.5703125" style="132" bestFit="1" customWidth="1"/>
    <col min="3079" max="3324" width="9.140625" style="132"/>
    <col min="3325" max="3325" width="7.42578125" style="132" customWidth="1"/>
    <col min="3326" max="3326" width="13.85546875" style="132" customWidth="1"/>
    <col min="3327" max="3327" width="52" style="132" customWidth="1"/>
    <col min="3328" max="3331" width="12.140625" style="132" customWidth="1"/>
    <col min="3332" max="3332" width="18.7109375" style="132" customWidth="1"/>
    <col min="3333" max="3333" width="11.5703125" style="132" bestFit="1" customWidth="1"/>
    <col min="3334" max="3334" width="10.5703125" style="132" bestFit="1" customWidth="1"/>
    <col min="3335" max="3580" width="9.140625" style="132"/>
    <col min="3581" max="3581" width="7.42578125" style="132" customWidth="1"/>
    <col min="3582" max="3582" width="13.85546875" style="132" customWidth="1"/>
    <col min="3583" max="3583" width="52" style="132" customWidth="1"/>
    <col min="3584" max="3587" width="12.140625" style="132" customWidth="1"/>
    <col min="3588" max="3588" width="18.7109375" style="132" customWidth="1"/>
    <col min="3589" max="3589" width="11.5703125" style="132" bestFit="1" customWidth="1"/>
    <col min="3590" max="3590" width="10.5703125" style="132" bestFit="1" customWidth="1"/>
    <col min="3591" max="3836" width="9.140625" style="132"/>
    <col min="3837" max="3837" width="7.42578125" style="132" customWidth="1"/>
    <col min="3838" max="3838" width="13.85546875" style="132" customWidth="1"/>
    <col min="3839" max="3839" width="52" style="132" customWidth="1"/>
    <col min="3840" max="3843" width="12.140625" style="132" customWidth="1"/>
    <col min="3844" max="3844" width="18.7109375" style="132" customWidth="1"/>
    <col min="3845" max="3845" width="11.5703125" style="132" bestFit="1" customWidth="1"/>
    <col min="3846" max="3846" width="10.5703125" style="132" bestFit="1" customWidth="1"/>
    <col min="3847" max="4092" width="9.140625" style="132"/>
    <col min="4093" max="4093" width="7.42578125" style="132" customWidth="1"/>
    <col min="4094" max="4094" width="13.85546875" style="132" customWidth="1"/>
    <col min="4095" max="4095" width="52" style="132" customWidth="1"/>
    <col min="4096" max="4099" width="12.140625" style="132" customWidth="1"/>
    <col min="4100" max="4100" width="18.7109375" style="132" customWidth="1"/>
    <col min="4101" max="4101" width="11.5703125" style="132" bestFit="1" customWidth="1"/>
    <col min="4102" max="4102" width="10.5703125" style="132" bestFit="1" customWidth="1"/>
    <col min="4103" max="4348" width="9.140625" style="132"/>
    <col min="4349" max="4349" width="7.42578125" style="132" customWidth="1"/>
    <col min="4350" max="4350" width="13.85546875" style="132" customWidth="1"/>
    <col min="4351" max="4351" width="52" style="132" customWidth="1"/>
    <col min="4352" max="4355" width="12.140625" style="132" customWidth="1"/>
    <col min="4356" max="4356" width="18.7109375" style="132" customWidth="1"/>
    <col min="4357" max="4357" width="11.5703125" style="132" bestFit="1" customWidth="1"/>
    <col min="4358" max="4358" width="10.5703125" style="132" bestFit="1" customWidth="1"/>
    <col min="4359" max="4604" width="9.140625" style="132"/>
    <col min="4605" max="4605" width="7.42578125" style="132" customWidth="1"/>
    <col min="4606" max="4606" width="13.85546875" style="132" customWidth="1"/>
    <col min="4607" max="4607" width="52" style="132" customWidth="1"/>
    <col min="4608" max="4611" width="12.140625" style="132" customWidth="1"/>
    <col min="4612" max="4612" width="18.7109375" style="132" customWidth="1"/>
    <col min="4613" max="4613" width="11.5703125" style="132" bestFit="1" customWidth="1"/>
    <col min="4614" max="4614" width="10.5703125" style="132" bestFit="1" customWidth="1"/>
    <col min="4615" max="4860" width="9.140625" style="132"/>
    <col min="4861" max="4861" width="7.42578125" style="132" customWidth="1"/>
    <col min="4862" max="4862" width="13.85546875" style="132" customWidth="1"/>
    <col min="4863" max="4863" width="52" style="132" customWidth="1"/>
    <col min="4864" max="4867" width="12.140625" style="132" customWidth="1"/>
    <col min="4868" max="4868" width="18.7109375" style="132" customWidth="1"/>
    <col min="4869" max="4869" width="11.5703125" style="132" bestFit="1" customWidth="1"/>
    <col min="4870" max="4870" width="10.5703125" style="132" bestFit="1" customWidth="1"/>
    <col min="4871" max="5116" width="9.140625" style="132"/>
    <col min="5117" max="5117" width="7.42578125" style="132" customWidth="1"/>
    <col min="5118" max="5118" width="13.85546875" style="132" customWidth="1"/>
    <col min="5119" max="5119" width="52" style="132" customWidth="1"/>
    <col min="5120" max="5123" width="12.140625" style="132" customWidth="1"/>
    <col min="5124" max="5124" width="18.7109375" style="132" customWidth="1"/>
    <col min="5125" max="5125" width="11.5703125" style="132" bestFit="1" customWidth="1"/>
    <col min="5126" max="5126" width="10.5703125" style="132" bestFit="1" customWidth="1"/>
    <col min="5127" max="5372" width="9.140625" style="132"/>
    <col min="5373" max="5373" width="7.42578125" style="132" customWidth="1"/>
    <col min="5374" max="5374" width="13.85546875" style="132" customWidth="1"/>
    <col min="5375" max="5375" width="52" style="132" customWidth="1"/>
    <col min="5376" max="5379" width="12.140625" style="132" customWidth="1"/>
    <col min="5380" max="5380" width="18.7109375" style="132" customWidth="1"/>
    <col min="5381" max="5381" width="11.5703125" style="132" bestFit="1" customWidth="1"/>
    <col min="5382" max="5382" width="10.5703125" style="132" bestFit="1" customWidth="1"/>
    <col min="5383" max="5628" width="9.140625" style="132"/>
    <col min="5629" max="5629" width="7.42578125" style="132" customWidth="1"/>
    <col min="5630" max="5630" width="13.85546875" style="132" customWidth="1"/>
    <col min="5631" max="5631" width="52" style="132" customWidth="1"/>
    <col min="5632" max="5635" width="12.140625" style="132" customWidth="1"/>
    <col min="5636" max="5636" width="18.7109375" style="132" customWidth="1"/>
    <col min="5637" max="5637" width="11.5703125" style="132" bestFit="1" customWidth="1"/>
    <col min="5638" max="5638" width="10.5703125" style="132" bestFit="1" customWidth="1"/>
    <col min="5639" max="5884" width="9.140625" style="132"/>
    <col min="5885" max="5885" width="7.42578125" style="132" customWidth="1"/>
    <col min="5886" max="5886" width="13.85546875" style="132" customWidth="1"/>
    <col min="5887" max="5887" width="52" style="132" customWidth="1"/>
    <col min="5888" max="5891" width="12.140625" style="132" customWidth="1"/>
    <col min="5892" max="5892" width="18.7109375" style="132" customWidth="1"/>
    <col min="5893" max="5893" width="11.5703125" style="132" bestFit="1" customWidth="1"/>
    <col min="5894" max="5894" width="10.5703125" style="132" bestFit="1" customWidth="1"/>
    <col min="5895" max="6140" width="9.140625" style="132"/>
    <col min="6141" max="6141" width="7.42578125" style="132" customWidth="1"/>
    <col min="6142" max="6142" width="13.85546875" style="132" customWidth="1"/>
    <col min="6143" max="6143" width="52" style="132" customWidth="1"/>
    <col min="6144" max="6147" width="12.140625" style="132" customWidth="1"/>
    <col min="6148" max="6148" width="18.7109375" style="132" customWidth="1"/>
    <col min="6149" max="6149" width="11.5703125" style="132" bestFit="1" customWidth="1"/>
    <col min="6150" max="6150" width="10.5703125" style="132" bestFit="1" customWidth="1"/>
    <col min="6151" max="6396" width="9.140625" style="132"/>
    <col min="6397" max="6397" width="7.42578125" style="132" customWidth="1"/>
    <col min="6398" max="6398" width="13.85546875" style="132" customWidth="1"/>
    <col min="6399" max="6399" width="52" style="132" customWidth="1"/>
    <col min="6400" max="6403" width="12.140625" style="132" customWidth="1"/>
    <col min="6404" max="6404" width="18.7109375" style="132" customWidth="1"/>
    <col min="6405" max="6405" width="11.5703125" style="132" bestFit="1" customWidth="1"/>
    <col min="6406" max="6406" width="10.5703125" style="132" bestFit="1" customWidth="1"/>
    <col min="6407" max="6652" width="9.140625" style="132"/>
    <col min="6653" max="6653" width="7.42578125" style="132" customWidth="1"/>
    <col min="6654" max="6654" width="13.85546875" style="132" customWidth="1"/>
    <col min="6655" max="6655" width="52" style="132" customWidth="1"/>
    <col min="6656" max="6659" width="12.140625" style="132" customWidth="1"/>
    <col min="6660" max="6660" width="18.7109375" style="132" customWidth="1"/>
    <col min="6661" max="6661" width="11.5703125" style="132" bestFit="1" customWidth="1"/>
    <col min="6662" max="6662" width="10.5703125" style="132" bestFit="1" customWidth="1"/>
    <col min="6663" max="6908" width="9.140625" style="132"/>
    <col min="6909" max="6909" width="7.42578125" style="132" customWidth="1"/>
    <col min="6910" max="6910" width="13.85546875" style="132" customWidth="1"/>
    <col min="6911" max="6911" width="52" style="132" customWidth="1"/>
    <col min="6912" max="6915" width="12.140625" style="132" customWidth="1"/>
    <col min="6916" max="6916" width="18.7109375" style="132" customWidth="1"/>
    <col min="6917" max="6917" width="11.5703125" style="132" bestFit="1" customWidth="1"/>
    <col min="6918" max="6918" width="10.5703125" style="132" bestFit="1" customWidth="1"/>
    <col min="6919" max="7164" width="9.140625" style="132"/>
    <col min="7165" max="7165" width="7.42578125" style="132" customWidth="1"/>
    <col min="7166" max="7166" width="13.85546875" style="132" customWidth="1"/>
    <col min="7167" max="7167" width="52" style="132" customWidth="1"/>
    <col min="7168" max="7171" width="12.140625" style="132" customWidth="1"/>
    <col min="7172" max="7172" width="18.7109375" style="132" customWidth="1"/>
    <col min="7173" max="7173" width="11.5703125" style="132" bestFit="1" customWidth="1"/>
    <col min="7174" max="7174" width="10.5703125" style="132" bestFit="1" customWidth="1"/>
    <col min="7175" max="7420" width="9.140625" style="132"/>
    <col min="7421" max="7421" width="7.42578125" style="132" customWidth="1"/>
    <col min="7422" max="7422" width="13.85546875" style="132" customWidth="1"/>
    <col min="7423" max="7423" width="52" style="132" customWidth="1"/>
    <col min="7424" max="7427" width="12.140625" style="132" customWidth="1"/>
    <col min="7428" max="7428" width="18.7109375" style="132" customWidth="1"/>
    <col min="7429" max="7429" width="11.5703125" style="132" bestFit="1" customWidth="1"/>
    <col min="7430" max="7430" width="10.5703125" style="132" bestFit="1" customWidth="1"/>
    <col min="7431" max="7676" width="9.140625" style="132"/>
    <col min="7677" max="7677" width="7.42578125" style="132" customWidth="1"/>
    <col min="7678" max="7678" width="13.85546875" style="132" customWidth="1"/>
    <col min="7679" max="7679" width="52" style="132" customWidth="1"/>
    <col min="7680" max="7683" width="12.140625" style="132" customWidth="1"/>
    <col min="7684" max="7684" width="18.7109375" style="132" customWidth="1"/>
    <col min="7685" max="7685" width="11.5703125" style="132" bestFit="1" customWidth="1"/>
    <col min="7686" max="7686" width="10.5703125" style="132" bestFit="1" customWidth="1"/>
    <col min="7687" max="7932" width="9.140625" style="132"/>
    <col min="7933" max="7933" width="7.42578125" style="132" customWidth="1"/>
    <col min="7934" max="7934" width="13.85546875" style="132" customWidth="1"/>
    <col min="7935" max="7935" width="52" style="132" customWidth="1"/>
    <col min="7936" max="7939" width="12.140625" style="132" customWidth="1"/>
    <col min="7940" max="7940" width="18.7109375" style="132" customWidth="1"/>
    <col min="7941" max="7941" width="11.5703125" style="132" bestFit="1" customWidth="1"/>
    <col min="7942" max="7942" width="10.5703125" style="132" bestFit="1" customWidth="1"/>
    <col min="7943" max="8188" width="9.140625" style="132"/>
    <col min="8189" max="8189" width="7.42578125" style="132" customWidth="1"/>
    <col min="8190" max="8190" width="13.85546875" style="132" customWidth="1"/>
    <col min="8191" max="8191" width="52" style="132" customWidth="1"/>
    <col min="8192" max="8195" width="12.140625" style="132" customWidth="1"/>
    <col min="8196" max="8196" width="18.7109375" style="132" customWidth="1"/>
    <col min="8197" max="8197" width="11.5703125" style="132" bestFit="1" customWidth="1"/>
    <col min="8198" max="8198" width="10.5703125" style="132" bestFit="1" customWidth="1"/>
    <col min="8199" max="8444" width="9.140625" style="132"/>
    <col min="8445" max="8445" width="7.42578125" style="132" customWidth="1"/>
    <col min="8446" max="8446" width="13.85546875" style="132" customWidth="1"/>
    <col min="8447" max="8447" width="52" style="132" customWidth="1"/>
    <col min="8448" max="8451" width="12.140625" style="132" customWidth="1"/>
    <col min="8452" max="8452" width="18.7109375" style="132" customWidth="1"/>
    <col min="8453" max="8453" width="11.5703125" style="132" bestFit="1" customWidth="1"/>
    <col min="8454" max="8454" width="10.5703125" style="132" bestFit="1" customWidth="1"/>
    <col min="8455" max="8700" width="9.140625" style="132"/>
    <col min="8701" max="8701" width="7.42578125" style="132" customWidth="1"/>
    <col min="8702" max="8702" width="13.85546875" style="132" customWidth="1"/>
    <col min="8703" max="8703" width="52" style="132" customWidth="1"/>
    <col min="8704" max="8707" width="12.140625" style="132" customWidth="1"/>
    <col min="8708" max="8708" width="18.7109375" style="132" customWidth="1"/>
    <col min="8709" max="8709" width="11.5703125" style="132" bestFit="1" customWidth="1"/>
    <col min="8710" max="8710" width="10.5703125" style="132" bestFit="1" customWidth="1"/>
    <col min="8711" max="8956" width="9.140625" style="132"/>
    <col min="8957" max="8957" width="7.42578125" style="132" customWidth="1"/>
    <col min="8958" max="8958" width="13.85546875" style="132" customWidth="1"/>
    <col min="8959" max="8959" width="52" style="132" customWidth="1"/>
    <col min="8960" max="8963" width="12.140625" style="132" customWidth="1"/>
    <col min="8964" max="8964" width="18.7109375" style="132" customWidth="1"/>
    <col min="8965" max="8965" width="11.5703125" style="132" bestFit="1" customWidth="1"/>
    <col min="8966" max="8966" width="10.5703125" style="132" bestFit="1" customWidth="1"/>
    <col min="8967" max="9212" width="9.140625" style="132"/>
    <col min="9213" max="9213" width="7.42578125" style="132" customWidth="1"/>
    <col min="9214" max="9214" width="13.85546875" style="132" customWidth="1"/>
    <col min="9215" max="9215" width="52" style="132" customWidth="1"/>
    <col min="9216" max="9219" width="12.140625" style="132" customWidth="1"/>
    <col min="9220" max="9220" width="18.7109375" style="132" customWidth="1"/>
    <col min="9221" max="9221" width="11.5703125" style="132" bestFit="1" customWidth="1"/>
    <col min="9222" max="9222" width="10.5703125" style="132" bestFit="1" customWidth="1"/>
    <col min="9223" max="9468" width="9.140625" style="132"/>
    <col min="9469" max="9469" width="7.42578125" style="132" customWidth="1"/>
    <col min="9470" max="9470" width="13.85546875" style="132" customWidth="1"/>
    <col min="9471" max="9471" width="52" style="132" customWidth="1"/>
    <col min="9472" max="9475" width="12.140625" style="132" customWidth="1"/>
    <col min="9476" max="9476" width="18.7109375" style="132" customWidth="1"/>
    <col min="9477" max="9477" width="11.5703125" style="132" bestFit="1" customWidth="1"/>
    <col min="9478" max="9478" width="10.5703125" style="132" bestFit="1" customWidth="1"/>
    <col min="9479" max="9724" width="9.140625" style="132"/>
    <col min="9725" max="9725" width="7.42578125" style="132" customWidth="1"/>
    <col min="9726" max="9726" width="13.85546875" style="132" customWidth="1"/>
    <col min="9727" max="9727" width="52" style="132" customWidth="1"/>
    <col min="9728" max="9731" width="12.140625" style="132" customWidth="1"/>
    <col min="9732" max="9732" width="18.7109375" style="132" customWidth="1"/>
    <col min="9733" max="9733" width="11.5703125" style="132" bestFit="1" customWidth="1"/>
    <col min="9734" max="9734" width="10.5703125" style="132" bestFit="1" customWidth="1"/>
    <col min="9735" max="9980" width="9.140625" style="132"/>
    <col min="9981" max="9981" width="7.42578125" style="132" customWidth="1"/>
    <col min="9982" max="9982" width="13.85546875" style="132" customWidth="1"/>
    <col min="9983" max="9983" width="52" style="132" customWidth="1"/>
    <col min="9984" max="9987" width="12.140625" style="132" customWidth="1"/>
    <col min="9988" max="9988" width="18.7109375" style="132" customWidth="1"/>
    <col min="9989" max="9989" width="11.5703125" style="132" bestFit="1" customWidth="1"/>
    <col min="9990" max="9990" width="10.5703125" style="132" bestFit="1" customWidth="1"/>
    <col min="9991" max="10236" width="9.140625" style="132"/>
    <col min="10237" max="10237" width="7.42578125" style="132" customWidth="1"/>
    <col min="10238" max="10238" width="13.85546875" style="132" customWidth="1"/>
    <col min="10239" max="10239" width="52" style="132" customWidth="1"/>
    <col min="10240" max="10243" width="12.140625" style="132" customWidth="1"/>
    <col min="10244" max="10244" width="18.7109375" style="132" customWidth="1"/>
    <col min="10245" max="10245" width="11.5703125" style="132" bestFit="1" customWidth="1"/>
    <col min="10246" max="10246" width="10.5703125" style="132" bestFit="1" customWidth="1"/>
    <col min="10247" max="10492" width="9.140625" style="132"/>
    <col min="10493" max="10493" width="7.42578125" style="132" customWidth="1"/>
    <col min="10494" max="10494" width="13.85546875" style="132" customWidth="1"/>
    <col min="10495" max="10495" width="52" style="132" customWidth="1"/>
    <col min="10496" max="10499" width="12.140625" style="132" customWidth="1"/>
    <col min="10500" max="10500" width="18.7109375" style="132" customWidth="1"/>
    <col min="10501" max="10501" width="11.5703125" style="132" bestFit="1" customWidth="1"/>
    <col min="10502" max="10502" width="10.5703125" style="132" bestFit="1" customWidth="1"/>
    <col min="10503" max="10748" width="9.140625" style="132"/>
    <col min="10749" max="10749" width="7.42578125" style="132" customWidth="1"/>
    <col min="10750" max="10750" width="13.85546875" style="132" customWidth="1"/>
    <col min="10751" max="10751" width="52" style="132" customWidth="1"/>
    <col min="10752" max="10755" width="12.140625" style="132" customWidth="1"/>
    <col min="10756" max="10756" width="18.7109375" style="132" customWidth="1"/>
    <col min="10757" max="10757" width="11.5703125" style="132" bestFit="1" customWidth="1"/>
    <col min="10758" max="10758" width="10.5703125" style="132" bestFit="1" customWidth="1"/>
    <col min="10759" max="11004" width="9.140625" style="132"/>
    <col min="11005" max="11005" width="7.42578125" style="132" customWidth="1"/>
    <col min="11006" max="11006" width="13.85546875" style="132" customWidth="1"/>
    <col min="11007" max="11007" width="52" style="132" customWidth="1"/>
    <col min="11008" max="11011" width="12.140625" style="132" customWidth="1"/>
    <col min="11012" max="11012" width="18.7109375" style="132" customWidth="1"/>
    <col min="11013" max="11013" width="11.5703125" style="132" bestFit="1" customWidth="1"/>
    <col min="11014" max="11014" width="10.5703125" style="132" bestFit="1" customWidth="1"/>
    <col min="11015" max="11260" width="9.140625" style="132"/>
    <col min="11261" max="11261" width="7.42578125" style="132" customWidth="1"/>
    <col min="11262" max="11262" width="13.85546875" style="132" customWidth="1"/>
    <col min="11263" max="11263" width="52" style="132" customWidth="1"/>
    <col min="11264" max="11267" width="12.140625" style="132" customWidth="1"/>
    <col min="11268" max="11268" width="18.7109375" style="132" customWidth="1"/>
    <col min="11269" max="11269" width="11.5703125" style="132" bestFit="1" customWidth="1"/>
    <col min="11270" max="11270" width="10.5703125" style="132" bestFit="1" customWidth="1"/>
    <col min="11271" max="11516" width="9.140625" style="132"/>
    <col min="11517" max="11517" width="7.42578125" style="132" customWidth="1"/>
    <col min="11518" max="11518" width="13.85546875" style="132" customWidth="1"/>
    <col min="11519" max="11519" width="52" style="132" customWidth="1"/>
    <col min="11520" max="11523" width="12.140625" style="132" customWidth="1"/>
    <col min="11524" max="11524" width="18.7109375" style="132" customWidth="1"/>
    <col min="11525" max="11525" width="11.5703125" style="132" bestFit="1" customWidth="1"/>
    <col min="11526" max="11526" width="10.5703125" style="132" bestFit="1" customWidth="1"/>
    <col min="11527" max="11772" width="9.140625" style="132"/>
    <col min="11773" max="11773" width="7.42578125" style="132" customWidth="1"/>
    <col min="11774" max="11774" width="13.85546875" style="132" customWidth="1"/>
    <col min="11775" max="11775" width="52" style="132" customWidth="1"/>
    <col min="11776" max="11779" width="12.140625" style="132" customWidth="1"/>
    <col min="11780" max="11780" width="18.7109375" style="132" customWidth="1"/>
    <col min="11781" max="11781" width="11.5703125" style="132" bestFit="1" customWidth="1"/>
    <col min="11782" max="11782" width="10.5703125" style="132" bestFit="1" customWidth="1"/>
    <col min="11783" max="12028" width="9.140625" style="132"/>
    <col min="12029" max="12029" width="7.42578125" style="132" customWidth="1"/>
    <col min="12030" max="12030" width="13.85546875" style="132" customWidth="1"/>
    <col min="12031" max="12031" width="52" style="132" customWidth="1"/>
    <col min="12032" max="12035" width="12.140625" style="132" customWidth="1"/>
    <col min="12036" max="12036" width="18.7109375" style="132" customWidth="1"/>
    <col min="12037" max="12037" width="11.5703125" style="132" bestFit="1" customWidth="1"/>
    <col min="12038" max="12038" width="10.5703125" style="132" bestFit="1" customWidth="1"/>
    <col min="12039" max="12284" width="9.140625" style="132"/>
    <col min="12285" max="12285" width="7.42578125" style="132" customWidth="1"/>
    <col min="12286" max="12286" width="13.85546875" style="132" customWidth="1"/>
    <col min="12287" max="12287" width="52" style="132" customWidth="1"/>
    <col min="12288" max="12291" width="12.140625" style="132" customWidth="1"/>
    <col min="12292" max="12292" width="18.7109375" style="132" customWidth="1"/>
    <col min="12293" max="12293" width="11.5703125" style="132" bestFit="1" customWidth="1"/>
    <col min="12294" max="12294" width="10.5703125" style="132" bestFit="1" customWidth="1"/>
    <col min="12295" max="12540" width="9.140625" style="132"/>
    <col min="12541" max="12541" width="7.42578125" style="132" customWidth="1"/>
    <col min="12542" max="12542" width="13.85546875" style="132" customWidth="1"/>
    <col min="12543" max="12543" width="52" style="132" customWidth="1"/>
    <col min="12544" max="12547" width="12.140625" style="132" customWidth="1"/>
    <col min="12548" max="12548" width="18.7109375" style="132" customWidth="1"/>
    <col min="12549" max="12549" width="11.5703125" style="132" bestFit="1" customWidth="1"/>
    <col min="12550" max="12550" width="10.5703125" style="132" bestFit="1" customWidth="1"/>
    <col min="12551" max="12796" width="9.140625" style="132"/>
    <col min="12797" max="12797" width="7.42578125" style="132" customWidth="1"/>
    <col min="12798" max="12798" width="13.85546875" style="132" customWidth="1"/>
    <col min="12799" max="12799" width="52" style="132" customWidth="1"/>
    <col min="12800" max="12803" width="12.140625" style="132" customWidth="1"/>
    <col min="12804" max="12804" width="18.7109375" style="132" customWidth="1"/>
    <col min="12805" max="12805" width="11.5703125" style="132" bestFit="1" customWidth="1"/>
    <col min="12806" max="12806" width="10.5703125" style="132" bestFit="1" customWidth="1"/>
    <col min="12807" max="13052" width="9.140625" style="132"/>
    <col min="13053" max="13053" width="7.42578125" style="132" customWidth="1"/>
    <col min="13054" max="13054" width="13.85546875" style="132" customWidth="1"/>
    <col min="13055" max="13055" width="52" style="132" customWidth="1"/>
    <col min="13056" max="13059" width="12.140625" style="132" customWidth="1"/>
    <col min="13060" max="13060" width="18.7109375" style="132" customWidth="1"/>
    <col min="13061" max="13061" width="11.5703125" style="132" bestFit="1" customWidth="1"/>
    <col min="13062" max="13062" width="10.5703125" style="132" bestFit="1" customWidth="1"/>
    <col min="13063" max="13308" width="9.140625" style="132"/>
    <col min="13309" max="13309" width="7.42578125" style="132" customWidth="1"/>
    <col min="13310" max="13310" width="13.85546875" style="132" customWidth="1"/>
    <col min="13311" max="13311" width="52" style="132" customWidth="1"/>
    <col min="13312" max="13315" width="12.140625" style="132" customWidth="1"/>
    <col min="13316" max="13316" width="18.7109375" style="132" customWidth="1"/>
    <col min="13317" max="13317" width="11.5703125" style="132" bestFit="1" customWidth="1"/>
    <col min="13318" max="13318" width="10.5703125" style="132" bestFit="1" customWidth="1"/>
    <col min="13319" max="13564" width="9.140625" style="132"/>
    <col min="13565" max="13565" width="7.42578125" style="132" customWidth="1"/>
    <col min="13566" max="13566" width="13.85546875" style="132" customWidth="1"/>
    <col min="13567" max="13567" width="52" style="132" customWidth="1"/>
    <col min="13568" max="13571" width="12.140625" style="132" customWidth="1"/>
    <col min="13572" max="13572" width="18.7109375" style="132" customWidth="1"/>
    <col min="13573" max="13573" width="11.5703125" style="132" bestFit="1" customWidth="1"/>
    <col min="13574" max="13574" width="10.5703125" style="132" bestFit="1" customWidth="1"/>
    <col min="13575" max="13820" width="9.140625" style="132"/>
    <col min="13821" max="13821" width="7.42578125" style="132" customWidth="1"/>
    <col min="13822" max="13822" width="13.85546875" style="132" customWidth="1"/>
    <col min="13823" max="13823" width="52" style="132" customWidth="1"/>
    <col min="13824" max="13827" width="12.140625" style="132" customWidth="1"/>
    <col min="13828" max="13828" width="18.7109375" style="132" customWidth="1"/>
    <col min="13829" max="13829" width="11.5703125" style="132" bestFit="1" customWidth="1"/>
    <col min="13830" max="13830" width="10.5703125" style="132" bestFit="1" customWidth="1"/>
    <col min="13831" max="14076" width="9.140625" style="132"/>
    <col min="14077" max="14077" width="7.42578125" style="132" customWidth="1"/>
    <col min="14078" max="14078" width="13.85546875" style="132" customWidth="1"/>
    <col min="14079" max="14079" width="52" style="132" customWidth="1"/>
    <col min="14080" max="14083" width="12.140625" style="132" customWidth="1"/>
    <col min="14084" max="14084" width="18.7109375" style="132" customWidth="1"/>
    <col min="14085" max="14085" width="11.5703125" style="132" bestFit="1" customWidth="1"/>
    <col min="14086" max="14086" width="10.5703125" style="132" bestFit="1" customWidth="1"/>
    <col min="14087" max="14332" width="9.140625" style="132"/>
    <col min="14333" max="14333" width="7.42578125" style="132" customWidth="1"/>
    <col min="14334" max="14334" width="13.85546875" style="132" customWidth="1"/>
    <col min="14335" max="14335" width="52" style="132" customWidth="1"/>
    <col min="14336" max="14339" width="12.140625" style="132" customWidth="1"/>
    <col min="14340" max="14340" width="18.7109375" style="132" customWidth="1"/>
    <col min="14341" max="14341" width="11.5703125" style="132" bestFit="1" customWidth="1"/>
    <col min="14342" max="14342" width="10.5703125" style="132" bestFit="1" customWidth="1"/>
    <col min="14343" max="14588" width="9.140625" style="132"/>
    <col min="14589" max="14589" width="7.42578125" style="132" customWidth="1"/>
    <col min="14590" max="14590" width="13.85546875" style="132" customWidth="1"/>
    <col min="14591" max="14591" width="52" style="132" customWidth="1"/>
    <col min="14592" max="14595" width="12.140625" style="132" customWidth="1"/>
    <col min="14596" max="14596" width="18.7109375" style="132" customWidth="1"/>
    <col min="14597" max="14597" width="11.5703125" style="132" bestFit="1" customWidth="1"/>
    <col min="14598" max="14598" width="10.5703125" style="132" bestFit="1" customWidth="1"/>
    <col min="14599" max="14844" width="9.140625" style="132"/>
    <col min="14845" max="14845" width="7.42578125" style="132" customWidth="1"/>
    <col min="14846" max="14846" width="13.85546875" style="132" customWidth="1"/>
    <col min="14847" max="14847" width="52" style="132" customWidth="1"/>
    <col min="14848" max="14851" width="12.140625" style="132" customWidth="1"/>
    <col min="14852" max="14852" width="18.7109375" style="132" customWidth="1"/>
    <col min="14853" max="14853" width="11.5703125" style="132" bestFit="1" customWidth="1"/>
    <col min="14854" max="14854" width="10.5703125" style="132" bestFit="1" customWidth="1"/>
    <col min="14855" max="15100" width="9.140625" style="132"/>
    <col min="15101" max="15101" width="7.42578125" style="132" customWidth="1"/>
    <col min="15102" max="15102" width="13.85546875" style="132" customWidth="1"/>
    <col min="15103" max="15103" width="52" style="132" customWidth="1"/>
    <col min="15104" max="15107" width="12.140625" style="132" customWidth="1"/>
    <col min="15108" max="15108" width="18.7109375" style="132" customWidth="1"/>
    <col min="15109" max="15109" width="11.5703125" style="132" bestFit="1" customWidth="1"/>
    <col min="15110" max="15110" width="10.5703125" style="132" bestFit="1" customWidth="1"/>
    <col min="15111" max="15356" width="9.140625" style="132"/>
    <col min="15357" max="15357" width="7.42578125" style="132" customWidth="1"/>
    <col min="15358" max="15358" width="13.85546875" style="132" customWidth="1"/>
    <col min="15359" max="15359" width="52" style="132" customWidth="1"/>
    <col min="15360" max="15363" width="12.140625" style="132" customWidth="1"/>
    <col min="15364" max="15364" width="18.7109375" style="132" customWidth="1"/>
    <col min="15365" max="15365" width="11.5703125" style="132" bestFit="1" customWidth="1"/>
    <col min="15366" max="15366" width="10.5703125" style="132" bestFit="1" customWidth="1"/>
    <col min="15367" max="15612" width="9.140625" style="132"/>
    <col min="15613" max="15613" width="7.42578125" style="132" customWidth="1"/>
    <col min="15614" max="15614" width="13.85546875" style="132" customWidth="1"/>
    <col min="15615" max="15615" width="52" style="132" customWidth="1"/>
    <col min="15616" max="15619" width="12.140625" style="132" customWidth="1"/>
    <col min="15620" max="15620" width="18.7109375" style="132" customWidth="1"/>
    <col min="15621" max="15621" width="11.5703125" style="132" bestFit="1" customWidth="1"/>
    <col min="15622" max="15622" width="10.5703125" style="132" bestFit="1" customWidth="1"/>
    <col min="15623" max="15868" width="9.140625" style="132"/>
    <col min="15869" max="15869" width="7.42578125" style="132" customWidth="1"/>
    <col min="15870" max="15870" width="13.85546875" style="132" customWidth="1"/>
    <col min="15871" max="15871" width="52" style="132" customWidth="1"/>
    <col min="15872" max="15875" width="12.140625" style="132" customWidth="1"/>
    <col min="15876" max="15876" width="18.7109375" style="132" customWidth="1"/>
    <col min="15877" max="15877" width="11.5703125" style="132" bestFit="1" customWidth="1"/>
    <col min="15878" max="15878" width="10.5703125" style="132" bestFit="1" customWidth="1"/>
    <col min="15879" max="16124" width="9.140625" style="132"/>
    <col min="16125" max="16125" width="7.42578125" style="132" customWidth="1"/>
    <col min="16126" max="16126" width="13.85546875" style="132" customWidth="1"/>
    <col min="16127" max="16127" width="52" style="132" customWidth="1"/>
    <col min="16128" max="16131" width="12.140625" style="132" customWidth="1"/>
    <col min="16132" max="16132" width="18.7109375" style="132" customWidth="1"/>
    <col min="16133" max="16133" width="11.5703125" style="132" bestFit="1" customWidth="1"/>
    <col min="16134" max="16134" width="10.5703125" style="132" bestFit="1" customWidth="1"/>
    <col min="16135" max="16384" width="9.140625" style="132"/>
  </cols>
  <sheetData>
    <row r="1" spans="1:8" s="128" customFormat="1" ht="14.25" customHeight="1" x14ac:dyDescent="0.25">
      <c r="A1" s="127"/>
      <c r="B1" s="127"/>
      <c r="C1" s="705"/>
      <c r="D1" s="127"/>
    </row>
    <row r="2" spans="1:8" s="128" customFormat="1" ht="47.25" customHeight="1" x14ac:dyDescent="0.2">
      <c r="A2" s="1068" t="s">
        <v>451</v>
      </c>
      <c r="B2" s="1068"/>
      <c r="C2" s="1068"/>
      <c r="D2" s="1068"/>
      <c r="E2" s="2"/>
      <c r="F2" s="2"/>
      <c r="G2" s="2"/>
      <c r="H2" s="2"/>
    </row>
    <row r="3" spans="1:8" s="128" customFormat="1" ht="22.5" customHeight="1" x14ac:dyDescent="0.2">
      <c r="A3" s="1069" t="s">
        <v>70</v>
      </c>
      <c r="B3" s="1069"/>
      <c r="C3" s="1069"/>
      <c r="D3" s="1069"/>
    </row>
    <row r="4" spans="1:8" s="128" customFormat="1" ht="16.5" customHeight="1" x14ac:dyDescent="0.2">
      <c r="A4" s="1069"/>
      <c r="B4" s="1069"/>
      <c r="C4" s="1069"/>
      <c r="D4" s="1069"/>
    </row>
    <row r="5" spans="1:8" s="128" customFormat="1" ht="15.75" customHeight="1" thickBot="1" x14ac:dyDescent="0.3">
      <c r="A5" s="1070"/>
      <c r="B5" s="1070"/>
      <c r="C5" s="1070"/>
      <c r="D5" s="1070"/>
    </row>
    <row r="6" spans="1:8" s="128" customFormat="1" ht="23.25" customHeight="1" x14ac:dyDescent="0.2">
      <c r="A6" s="1071" t="s">
        <v>71</v>
      </c>
      <c r="B6" s="1073" t="s">
        <v>72</v>
      </c>
      <c r="C6" s="1075" t="s">
        <v>73</v>
      </c>
      <c r="D6" s="1076" t="s">
        <v>74</v>
      </c>
    </row>
    <row r="7" spans="1:8" s="128" customFormat="1" ht="30.75" customHeight="1" thickBot="1" x14ac:dyDescent="0.25">
      <c r="A7" s="1072"/>
      <c r="B7" s="1074"/>
      <c r="C7" s="1074"/>
      <c r="D7" s="1077"/>
    </row>
    <row r="8" spans="1:8" s="128" customFormat="1" ht="13.5" thickBot="1" x14ac:dyDescent="0.25">
      <c r="A8" s="284" t="s">
        <v>75</v>
      </c>
      <c r="B8" s="284" t="s">
        <v>76</v>
      </c>
      <c r="C8" s="284" t="s">
        <v>77</v>
      </c>
      <c r="D8" s="284" t="s">
        <v>78</v>
      </c>
    </row>
    <row r="9" spans="1:8" s="128" customFormat="1" ht="13.5" x14ac:dyDescent="0.25">
      <c r="A9" s="286"/>
      <c r="B9" s="287"/>
      <c r="C9" s="706" t="s">
        <v>79</v>
      </c>
      <c r="D9" s="281"/>
    </row>
    <row r="10" spans="1:8" s="128" customFormat="1" ht="13.5" x14ac:dyDescent="0.25">
      <c r="A10" s="288"/>
      <c r="B10" s="285"/>
      <c r="C10" s="279" t="s">
        <v>80</v>
      </c>
      <c r="D10" s="289"/>
    </row>
    <row r="11" spans="1:8" s="128" customFormat="1" ht="13.5" x14ac:dyDescent="0.2">
      <c r="A11" s="290">
        <v>1</v>
      </c>
      <c r="B11" s="279" t="s">
        <v>81</v>
      </c>
      <c r="C11" s="285" t="s">
        <v>197</v>
      </c>
      <c r="D11" s="280">
        <f>'შენობის მოწყობა'!L274</f>
        <v>0</v>
      </c>
      <c r="E11" s="130"/>
      <c r="F11" s="130"/>
    </row>
    <row r="12" spans="1:8" s="128" customFormat="1" ht="13.5" x14ac:dyDescent="0.2">
      <c r="A12" s="290">
        <v>2</v>
      </c>
      <c r="B12" s="279" t="s">
        <v>229</v>
      </c>
      <c r="C12" s="285" t="s">
        <v>127</v>
      </c>
      <c r="D12" s="280">
        <f>'წყალ-კანალი '!L81</f>
        <v>0</v>
      </c>
      <c r="E12" s="130"/>
      <c r="F12" s="130"/>
    </row>
    <row r="13" spans="1:8" s="128" customFormat="1" ht="13.5" x14ac:dyDescent="0.2">
      <c r="A13" s="290">
        <v>3</v>
      </c>
      <c r="B13" s="279" t="s">
        <v>230</v>
      </c>
      <c r="C13" s="285" t="s">
        <v>88</v>
      </c>
      <c r="D13" s="280">
        <f>'ელექტრობა-სუსტი დენები '!L196</f>
        <v>0</v>
      </c>
      <c r="E13" s="130"/>
      <c r="F13" s="130"/>
    </row>
    <row r="14" spans="1:8" s="128" customFormat="1" ht="13.5" x14ac:dyDescent="0.2">
      <c r="A14" s="290">
        <v>4</v>
      </c>
      <c r="B14" s="279" t="s">
        <v>231</v>
      </c>
      <c r="C14" s="285" t="s">
        <v>128</v>
      </c>
      <c r="D14" s="280">
        <f>კეთილმოწყობა!L252</f>
        <v>0</v>
      </c>
      <c r="E14" s="130"/>
      <c r="F14" s="130"/>
    </row>
    <row r="15" spans="1:8" s="128" customFormat="1" ht="13.5" x14ac:dyDescent="0.2">
      <c r="A15" s="290">
        <v>5</v>
      </c>
      <c r="B15" s="279"/>
      <c r="C15" s="285" t="s">
        <v>82</v>
      </c>
      <c r="D15" s="280">
        <f>SUM(D9:D14)</f>
        <v>0</v>
      </c>
      <c r="E15" s="130"/>
    </row>
    <row r="16" spans="1:8" s="128" customFormat="1" ht="13.5" x14ac:dyDescent="0.2">
      <c r="A16" s="290">
        <v>6</v>
      </c>
      <c r="B16" s="279"/>
      <c r="C16" s="285" t="s">
        <v>140</v>
      </c>
      <c r="D16" s="280">
        <f>D15*0.05</f>
        <v>0</v>
      </c>
      <c r="E16" s="130"/>
    </row>
    <row r="17" spans="1:5" s="128" customFormat="1" ht="13.5" x14ac:dyDescent="0.2">
      <c r="A17" s="290">
        <v>7</v>
      </c>
      <c r="B17" s="279"/>
      <c r="C17" s="285" t="s">
        <v>83</v>
      </c>
      <c r="D17" s="280">
        <f>D15+D16</f>
        <v>0</v>
      </c>
      <c r="E17" s="130"/>
    </row>
    <row r="18" spans="1:5" s="128" customFormat="1" ht="13.5" x14ac:dyDescent="0.2">
      <c r="A18" s="290">
        <v>8</v>
      </c>
      <c r="B18" s="279"/>
      <c r="C18" s="279" t="s">
        <v>84</v>
      </c>
      <c r="D18" s="280">
        <f>D17*0.18</f>
        <v>0</v>
      </c>
    </row>
    <row r="19" spans="1:5" s="128" customFormat="1" ht="14.25" thickBot="1" x14ac:dyDescent="0.25">
      <c r="A19" s="291">
        <v>9</v>
      </c>
      <c r="B19" s="292"/>
      <c r="C19" s="293" t="s">
        <v>85</v>
      </c>
      <c r="D19" s="294">
        <f>D17+D18</f>
        <v>0</v>
      </c>
      <c r="E19" s="452"/>
    </row>
    <row r="20" spans="1:5" s="128" customFormat="1" ht="13.5" x14ac:dyDescent="0.25">
      <c r="A20" s="131"/>
      <c r="B20" s="131"/>
      <c r="C20" s="132"/>
      <c r="D20" s="131"/>
    </row>
    <row r="21" spans="1:5" s="128" customFormat="1" ht="13.5" x14ac:dyDescent="0.25">
      <c r="A21" s="131"/>
      <c r="B21" s="131"/>
      <c r="C21" s="133"/>
      <c r="D21" s="453"/>
    </row>
  </sheetData>
  <mergeCells count="8">
    <mergeCell ref="A2:D2"/>
    <mergeCell ref="A3:D3"/>
    <mergeCell ref="A4:D4"/>
    <mergeCell ref="A5:D5"/>
    <mergeCell ref="A6:A7"/>
    <mergeCell ref="B6:B7"/>
    <mergeCell ref="C6:C7"/>
    <mergeCell ref="D6:D7"/>
  </mergeCells>
  <printOptions horizontalCentered="1"/>
  <pageMargins left="0.23622047244094491" right="0.23622047244094491" top="0.39370078740157483" bottom="0.39370078740157483" header="0.19685039370078741" footer="0.19685039370078741"/>
  <pageSetup paperSize="9" scale="9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view="pageBreakPreview" topLeftCell="A253" zoomScale="115" zoomScaleNormal="100" zoomScaleSheetLayoutView="115" workbookViewId="0">
      <selection activeCell="C278" sqref="C278"/>
    </sheetView>
  </sheetViews>
  <sheetFormatPr defaultColWidth="9.140625" defaultRowHeight="13.5" x14ac:dyDescent="0.25"/>
  <cols>
    <col min="1" max="1" width="7" style="235" customWidth="1"/>
    <col min="2" max="2" width="53.140625" style="97" customWidth="1"/>
    <col min="3" max="3" width="7.7109375" style="241" customWidth="1"/>
    <col min="4" max="4" width="6.7109375" style="241" customWidth="1"/>
    <col min="5" max="5" width="10.28515625" style="240" customWidth="1"/>
    <col min="6" max="6" width="8.28515625" style="240" customWidth="1"/>
    <col min="7" max="7" width="10.28515625" style="240" customWidth="1"/>
    <col min="8" max="8" width="10.42578125" style="251" customWidth="1"/>
    <col min="9" max="9" width="9" style="240" customWidth="1"/>
    <col min="10" max="10" width="7" style="240" customWidth="1"/>
    <col min="11" max="11" width="8.42578125" style="240" customWidth="1"/>
    <col min="12" max="12" width="10.5703125" style="240" customWidth="1"/>
    <col min="13" max="13" width="8.140625" style="240" customWidth="1"/>
    <col min="14" max="18" width="9.140625" style="240"/>
    <col min="19" max="19" width="16" style="240" customWidth="1"/>
    <col min="20" max="16384" width="9.140625" style="240"/>
  </cols>
  <sheetData>
    <row r="1" spans="1:25" s="207" customFormat="1" ht="16.5" x14ac:dyDescent="0.25">
      <c r="A1" s="209"/>
      <c r="B1" s="210"/>
      <c r="C1" s="210"/>
      <c r="D1" s="210"/>
      <c r="E1" s="210"/>
      <c r="F1" s="707"/>
      <c r="G1" s="1079"/>
      <c r="H1" s="1079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</row>
    <row r="2" spans="1:25" s="207" customFormat="1" ht="16.5" x14ac:dyDescent="0.25">
      <c r="A2" s="1078" t="s">
        <v>89</v>
      </c>
      <c r="B2" s="1078"/>
      <c r="C2" s="1078"/>
      <c r="D2" s="1078"/>
      <c r="E2" s="1078"/>
      <c r="F2" s="1078"/>
      <c r="G2" s="1078"/>
      <c r="H2" s="1078"/>
      <c r="I2" s="1078"/>
      <c r="J2" s="1078"/>
      <c r="K2" s="1078"/>
      <c r="L2" s="107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</row>
    <row r="3" spans="1:25" s="207" customFormat="1" ht="16.5" x14ac:dyDescent="0.25">
      <c r="A3" s="1078"/>
      <c r="B3" s="1078"/>
      <c r="C3" s="1078"/>
      <c r="D3" s="1078"/>
      <c r="E3" s="1078"/>
      <c r="F3" s="1078"/>
      <c r="G3" s="1078"/>
      <c r="H3" s="1078"/>
      <c r="I3" s="1078"/>
      <c r="J3" s="1078"/>
      <c r="K3" s="1078"/>
      <c r="L3" s="107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</row>
    <row r="4" spans="1:25" s="202" customFormat="1" ht="29.25" customHeight="1" x14ac:dyDescent="0.25">
      <c r="A4" s="1082" t="s">
        <v>0</v>
      </c>
      <c r="B4" s="1084" t="s">
        <v>1</v>
      </c>
      <c r="C4" s="1084" t="s">
        <v>2</v>
      </c>
      <c r="D4" s="1086" t="s">
        <v>3</v>
      </c>
      <c r="E4" s="1087"/>
      <c r="F4" s="1088" t="s">
        <v>4</v>
      </c>
      <c r="G4" s="1089"/>
      <c r="H4" s="1088" t="s">
        <v>5</v>
      </c>
      <c r="I4" s="1089"/>
      <c r="J4" s="1088" t="s">
        <v>6</v>
      </c>
      <c r="K4" s="1089"/>
      <c r="L4" s="1080" t="s">
        <v>7</v>
      </c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</row>
    <row r="5" spans="1:25" s="202" customFormat="1" ht="23.25" customHeight="1" x14ac:dyDescent="0.25">
      <c r="A5" s="1083"/>
      <c r="B5" s="1085"/>
      <c r="C5" s="1085"/>
      <c r="D5" s="214" t="s">
        <v>8</v>
      </c>
      <c r="E5" s="214" t="s">
        <v>9</v>
      </c>
      <c r="F5" s="215" t="s">
        <v>8</v>
      </c>
      <c r="G5" s="215" t="s">
        <v>9</v>
      </c>
      <c r="H5" s="215" t="s">
        <v>8</v>
      </c>
      <c r="I5" s="215" t="s">
        <v>9</v>
      </c>
      <c r="J5" s="215" t="s">
        <v>8</v>
      </c>
      <c r="K5" s="215" t="s">
        <v>9</v>
      </c>
      <c r="L5" s="1081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</row>
    <row r="6" spans="1:25" s="201" customFormat="1" ht="17.25" customHeight="1" x14ac:dyDescent="0.25">
      <c r="A6" s="216">
        <v>1</v>
      </c>
      <c r="B6" s="216">
        <v>3</v>
      </c>
      <c r="C6" s="216">
        <v>4</v>
      </c>
      <c r="D6" s="216">
        <v>5</v>
      </c>
      <c r="E6" s="216">
        <v>6</v>
      </c>
      <c r="F6" s="216">
        <v>7</v>
      </c>
      <c r="G6" s="216">
        <v>8</v>
      </c>
      <c r="H6" s="256">
        <v>9</v>
      </c>
      <c r="I6" s="216">
        <v>10</v>
      </c>
      <c r="J6" s="216">
        <v>11</v>
      </c>
      <c r="K6" s="216">
        <v>12</v>
      </c>
      <c r="L6" s="217">
        <v>13</v>
      </c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</row>
    <row r="7" spans="1:25" s="201" customFormat="1" ht="17.25" customHeight="1" x14ac:dyDescent="0.2">
      <c r="A7" s="758"/>
      <c r="B7" s="31" t="s">
        <v>212</v>
      </c>
      <c r="C7" s="759"/>
      <c r="D7" s="760"/>
      <c r="E7" s="760"/>
      <c r="F7" s="761"/>
      <c r="G7" s="761"/>
      <c r="H7" s="761"/>
      <c r="I7" s="761"/>
      <c r="J7" s="762"/>
      <c r="K7" s="762"/>
      <c r="L7" s="763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</row>
    <row r="8" spans="1:25" s="765" customFormat="1" ht="25.5" x14ac:dyDescent="0.25">
      <c r="A8" s="764">
        <v>1</v>
      </c>
      <c r="B8" s="521" t="s">
        <v>292</v>
      </c>
      <c r="C8" s="522" t="s">
        <v>234</v>
      </c>
      <c r="D8" s="523"/>
      <c r="E8" s="524">
        <f>(7*6)+(49*0.7)</f>
        <v>76.3</v>
      </c>
      <c r="F8" s="523"/>
      <c r="G8" s="525"/>
      <c r="H8" s="523"/>
      <c r="I8" s="523"/>
      <c r="J8" s="526"/>
      <c r="K8" s="523"/>
      <c r="L8" s="523"/>
      <c r="N8" s="766"/>
    </row>
    <row r="9" spans="1:25" s="418" customFormat="1" ht="15.75" customHeight="1" x14ac:dyDescent="0.25">
      <c r="A9" s="412" t="s">
        <v>136</v>
      </c>
      <c r="B9" s="413" t="s">
        <v>36</v>
      </c>
      <c r="C9" s="414" t="s">
        <v>37</v>
      </c>
      <c r="D9" s="415">
        <f>13.2*0.001</f>
        <v>1.32E-2</v>
      </c>
      <c r="E9" s="416">
        <f>D9*E8</f>
        <v>1.0071600000000001</v>
      </c>
      <c r="F9" s="1120"/>
      <c r="G9" s="416">
        <f>E9*F9</f>
        <v>0</v>
      </c>
      <c r="H9" s="416"/>
      <c r="I9" s="416"/>
      <c r="J9" s="417"/>
      <c r="K9" s="416"/>
      <c r="L9" s="416">
        <f>G9+I9+K9</f>
        <v>0</v>
      </c>
      <c r="N9" s="419"/>
    </row>
    <row r="10" spans="1:25" s="418" customFormat="1" ht="15.75" customHeight="1" x14ac:dyDescent="0.25">
      <c r="A10" s="412" t="s">
        <v>136</v>
      </c>
      <c r="B10" s="413" t="s">
        <v>235</v>
      </c>
      <c r="C10" s="414" t="s">
        <v>137</v>
      </c>
      <c r="D10" s="415">
        <f>29.5*0.001</f>
        <v>2.9500000000000002E-2</v>
      </c>
      <c r="E10" s="416">
        <f>D10*E8</f>
        <v>2.2508500000000002</v>
      </c>
      <c r="F10" s="416"/>
      <c r="G10" s="416"/>
      <c r="H10" s="416"/>
      <c r="I10" s="416"/>
      <c r="J10" s="1150"/>
      <c r="K10" s="416">
        <f>J10*E10</f>
        <v>0</v>
      </c>
      <c r="L10" s="416">
        <f>G10+I10+K10</f>
        <v>0</v>
      </c>
      <c r="N10" s="419"/>
    </row>
    <row r="11" spans="1:25" s="418" customFormat="1" ht="15.75" customHeight="1" x14ac:dyDescent="0.25">
      <c r="A11" s="412" t="s">
        <v>136</v>
      </c>
      <c r="B11" s="413" t="s">
        <v>138</v>
      </c>
      <c r="C11" s="414" t="s">
        <v>15</v>
      </c>
      <c r="D11" s="415">
        <f>2.1*0.001</f>
        <v>2.1000000000000003E-3</v>
      </c>
      <c r="E11" s="416">
        <f>D11*E8</f>
        <v>0.16023000000000001</v>
      </c>
      <c r="F11" s="416"/>
      <c r="G11" s="416"/>
      <c r="H11" s="416"/>
      <c r="I11" s="416"/>
      <c r="J11" s="1151"/>
      <c r="K11" s="416">
        <f>J11*E11</f>
        <v>0</v>
      </c>
      <c r="L11" s="416">
        <f>G11+I11+K11</f>
        <v>0</v>
      </c>
      <c r="N11" s="419"/>
    </row>
    <row r="12" spans="1:25" s="424" customFormat="1" ht="12.75" x14ac:dyDescent="0.25">
      <c r="A12" s="420"/>
      <c r="B12" s="420" t="s">
        <v>236</v>
      </c>
      <c r="C12" s="421"/>
      <c r="D12" s="421"/>
      <c r="E12" s="422"/>
      <c r="F12" s="421"/>
      <c r="G12" s="423"/>
      <c r="H12" s="421"/>
      <c r="I12" s="423"/>
      <c r="J12" s="421"/>
      <c r="K12" s="423"/>
      <c r="L12" s="422"/>
    </row>
    <row r="13" spans="1:25" s="769" customFormat="1" ht="31.5" customHeight="1" x14ac:dyDescent="0.25">
      <c r="A13" s="36">
        <v>2</v>
      </c>
      <c r="B13" s="33" t="s">
        <v>293</v>
      </c>
      <c r="C13" s="634" t="s">
        <v>132</v>
      </c>
      <c r="D13" s="767"/>
      <c r="E13" s="524">
        <f>(6.4*6.4)*0.9</f>
        <v>36.864000000000011</v>
      </c>
      <c r="F13" s="479"/>
      <c r="G13" s="479"/>
      <c r="H13" s="479"/>
      <c r="I13" s="479"/>
      <c r="J13" s="479"/>
      <c r="K13" s="479"/>
      <c r="L13" s="768"/>
    </row>
    <row r="14" spans="1:25" s="771" customFormat="1" ht="15" x14ac:dyDescent="0.25">
      <c r="A14" s="179"/>
      <c r="B14" s="723" t="s">
        <v>107</v>
      </c>
      <c r="C14" s="179" t="s">
        <v>37</v>
      </c>
      <c r="D14" s="724">
        <v>0.89</v>
      </c>
      <c r="E14" s="770">
        <f>E13*D14</f>
        <v>32.808960000000013</v>
      </c>
      <c r="F14" s="1120"/>
      <c r="G14" s="724">
        <f>E14*F14</f>
        <v>0</v>
      </c>
      <c r="H14" s="381"/>
      <c r="I14" s="381"/>
      <c r="J14" s="381"/>
      <c r="K14" s="381"/>
      <c r="L14" s="724">
        <f>G14+I14+K14</f>
        <v>0</v>
      </c>
    </row>
    <row r="15" spans="1:25" s="771" customFormat="1" ht="15" x14ac:dyDescent="0.25">
      <c r="A15" s="179"/>
      <c r="B15" s="723" t="s">
        <v>14</v>
      </c>
      <c r="C15" s="179" t="s">
        <v>15</v>
      </c>
      <c r="D15" s="724">
        <v>0.37</v>
      </c>
      <c r="E15" s="770">
        <f>E13*D15</f>
        <v>13.639680000000004</v>
      </c>
      <c r="F15" s="772"/>
      <c r="G15" s="381"/>
      <c r="H15" s="381"/>
      <c r="I15" s="381"/>
      <c r="J15" s="1121"/>
      <c r="K15" s="724">
        <f>E15*J15</f>
        <v>0</v>
      </c>
      <c r="L15" s="724">
        <f>G15+I15+K15</f>
        <v>0</v>
      </c>
    </row>
    <row r="16" spans="1:25" s="771" customFormat="1" ht="15" x14ac:dyDescent="0.25">
      <c r="A16" s="179"/>
      <c r="B16" s="723" t="s">
        <v>294</v>
      </c>
      <c r="C16" s="179" t="s">
        <v>132</v>
      </c>
      <c r="D16" s="724">
        <v>1.1499999999999999</v>
      </c>
      <c r="E16" s="770">
        <f>E13*D16</f>
        <v>42.393600000000006</v>
      </c>
      <c r="F16" s="772"/>
      <c r="G16" s="381"/>
      <c r="H16" s="1121"/>
      <c r="I16" s="724">
        <f>E16*H16</f>
        <v>0</v>
      </c>
      <c r="J16" s="381"/>
      <c r="K16" s="381"/>
      <c r="L16" s="724">
        <f>G16+I16+K16</f>
        <v>0</v>
      </c>
    </row>
    <row r="17" spans="1:15" s="771" customFormat="1" ht="15" x14ac:dyDescent="0.25">
      <c r="A17" s="179"/>
      <c r="B17" s="723" t="s">
        <v>146</v>
      </c>
      <c r="C17" s="179" t="s">
        <v>15</v>
      </c>
      <c r="D17" s="724">
        <v>0.02</v>
      </c>
      <c r="E17" s="724">
        <f>E13*D17</f>
        <v>0.73728000000000027</v>
      </c>
      <c r="F17" s="772"/>
      <c r="G17" s="381"/>
      <c r="H17" s="1121"/>
      <c r="I17" s="724">
        <f>E17*H17</f>
        <v>0</v>
      </c>
      <c r="J17" s="381"/>
      <c r="K17" s="381"/>
      <c r="L17" s="724">
        <f>G17+I17+K17</f>
        <v>0</v>
      </c>
    </row>
    <row r="18" spans="1:15" s="771" customFormat="1" ht="26.25" customHeight="1" x14ac:dyDescent="0.25">
      <c r="A18" s="34">
        <v>3</v>
      </c>
      <c r="B18" s="33" t="s">
        <v>237</v>
      </c>
      <c r="C18" s="27" t="s">
        <v>132</v>
      </c>
      <c r="D18" s="735"/>
      <c r="E18" s="30">
        <v>1.38</v>
      </c>
      <c r="F18" s="773"/>
      <c r="G18" s="773"/>
      <c r="H18" s="774"/>
      <c r="I18" s="773"/>
      <c r="J18" s="773"/>
      <c r="K18" s="773"/>
      <c r="L18" s="775"/>
    </row>
    <row r="19" spans="1:15" s="771" customFormat="1" ht="15" x14ac:dyDescent="0.25">
      <c r="A19" s="179"/>
      <c r="B19" s="723" t="s">
        <v>107</v>
      </c>
      <c r="C19" s="179" t="s">
        <v>37</v>
      </c>
      <c r="D19" s="724">
        <v>1.37</v>
      </c>
      <c r="E19" s="770">
        <f>E18*D19</f>
        <v>1.8906000000000001</v>
      </c>
      <c r="F19" s="1121"/>
      <c r="G19" s="724">
        <f>E19*F19</f>
        <v>0</v>
      </c>
      <c r="H19" s="381"/>
      <c r="I19" s="381"/>
      <c r="J19" s="381"/>
      <c r="K19" s="381"/>
      <c r="L19" s="724">
        <f>G19+I19+K19</f>
        <v>0</v>
      </c>
    </row>
    <row r="20" spans="1:15" s="771" customFormat="1" ht="15" x14ac:dyDescent="0.25">
      <c r="A20" s="179"/>
      <c r="B20" s="723" t="s">
        <v>14</v>
      </c>
      <c r="C20" s="179" t="s">
        <v>15</v>
      </c>
      <c r="D20" s="770">
        <v>0.28299999999999997</v>
      </c>
      <c r="E20" s="770">
        <f>E18*D20</f>
        <v>0.39053999999999994</v>
      </c>
      <c r="F20" s="772"/>
      <c r="G20" s="381"/>
      <c r="H20" s="381"/>
      <c r="I20" s="381"/>
      <c r="J20" s="1121"/>
      <c r="K20" s="724">
        <f>E20*J20</f>
        <v>0</v>
      </c>
      <c r="L20" s="724">
        <f>G20+I20+K20</f>
        <v>0</v>
      </c>
    </row>
    <row r="21" spans="1:15" s="771" customFormat="1" ht="15" x14ac:dyDescent="0.25">
      <c r="A21" s="179"/>
      <c r="B21" s="723" t="s">
        <v>295</v>
      </c>
      <c r="C21" s="179" t="s">
        <v>132</v>
      </c>
      <c r="D21" s="724">
        <v>1.02</v>
      </c>
      <c r="E21" s="770">
        <f>E18*D21</f>
        <v>1.4076</v>
      </c>
      <c r="F21" s="772"/>
      <c r="G21" s="381"/>
      <c r="H21" s="1121"/>
      <c r="I21" s="724">
        <f>E21*H21</f>
        <v>0</v>
      </c>
      <c r="J21" s="381"/>
      <c r="K21" s="381"/>
      <c r="L21" s="724">
        <f>G21+I21+K21</f>
        <v>0</v>
      </c>
    </row>
    <row r="22" spans="1:15" s="771" customFormat="1" ht="15" x14ac:dyDescent="0.25">
      <c r="A22" s="179"/>
      <c r="B22" s="723" t="s">
        <v>146</v>
      </c>
      <c r="C22" s="179" t="s">
        <v>15</v>
      </c>
      <c r="D22" s="724">
        <v>0.62</v>
      </c>
      <c r="E22" s="770">
        <f>E18*D22</f>
        <v>0.85559999999999992</v>
      </c>
      <c r="F22" s="772"/>
      <c r="G22" s="381"/>
      <c r="H22" s="1121"/>
      <c r="I22" s="724">
        <f>E22*H22</f>
        <v>0</v>
      </c>
      <c r="J22" s="381"/>
      <c r="K22" s="381"/>
      <c r="L22" s="724">
        <f>G22+I22+K22</f>
        <v>0</v>
      </c>
      <c r="O22" s="776"/>
    </row>
    <row r="23" spans="1:15" s="771" customFormat="1" ht="15" x14ac:dyDescent="0.25">
      <c r="A23" s="179">
        <v>4</v>
      </c>
      <c r="B23" s="777" t="s">
        <v>238</v>
      </c>
      <c r="C23" s="778" t="s">
        <v>132</v>
      </c>
      <c r="D23" s="779"/>
      <c r="E23" s="780">
        <v>14.8</v>
      </c>
      <c r="F23" s="781"/>
      <c r="G23" s="781"/>
      <c r="H23" s="781"/>
      <c r="I23" s="781"/>
      <c r="J23" s="781"/>
      <c r="K23" s="781"/>
      <c r="L23" s="782"/>
    </row>
    <row r="24" spans="1:15" s="771" customFormat="1" ht="15" x14ac:dyDescent="0.25">
      <c r="A24" s="179"/>
      <c r="B24" s="723" t="s">
        <v>107</v>
      </c>
      <c r="C24" s="179" t="s">
        <v>37</v>
      </c>
      <c r="D24" s="724">
        <v>3.4780000000000002</v>
      </c>
      <c r="E24" s="724">
        <f>E23*D24</f>
        <v>51.474400000000003</v>
      </c>
      <c r="F24" s="1121"/>
      <c r="G24" s="724">
        <f>E24*F24</f>
        <v>0</v>
      </c>
      <c r="H24" s="772"/>
      <c r="I24" s="772"/>
      <c r="J24" s="772"/>
      <c r="K24" s="772"/>
      <c r="L24" s="724">
        <f t="shared" ref="L24:L31" si="0">G24+I24+K24</f>
        <v>0</v>
      </c>
    </row>
    <row r="25" spans="1:15" s="771" customFormat="1" ht="15" x14ac:dyDescent="0.25">
      <c r="A25" s="179"/>
      <c r="B25" s="723" t="s">
        <v>14</v>
      </c>
      <c r="C25" s="179" t="s">
        <v>15</v>
      </c>
      <c r="D25" s="724">
        <v>0.92</v>
      </c>
      <c r="E25" s="724">
        <f>E23*D25</f>
        <v>13.616000000000001</v>
      </c>
      <c r="F25" s="772"/>
      <c r="G25" s="772"/>
      <c r="H25" s="772"/>
      <c r="I25" s="772"/>
      <c r="J25" s="1121"/>
      <c r="K25" s="724">
        <f>E25*J25</f>
        <v>0</v>
      </c>
      <c r="L25" s="724">
        <f t="shared" si="0"/>
        <v>0</v>
      </c>
    </row>
    <row r="26" spans="1:15" s="771" customFormat="1" ht="15" x14ac:dyDescent="0.25">
      <c r="A26" s="179"/>
      <c r="B26" s="723" t="s">
        <v>239</v>
      </c>
      <c r="C26" s="179" t="s">
        <v>132</v>
      </c>
      <c r="D26" s="770">
        <v>1.0149999999999999</v>
      </c>
      <c r="E26" s="770">
        <f>E23*D26</f>
        <v>15.021999999999998</v>
      </c>
      <c r="F26" s="772"/>
      <c r="G26" s="772"/>
      <c r="H26" s="1121"/>
      <c r="I26" s="724">
        <f t="shared" ref="I26:I31" si="1">E26*H26</f>
        <v>0</v>
      </c>
      <c r="J26" s="772"/>
      <c r="K26" s="772"/>
      <c r="L26" s="724">
        <f t="shared" si="0"/>
        <v>0</v>
      </c>
    </row>
    <row r="27" spans="1:15" s="771" customFormat="1" ht="15" x14ac:dyDescent="0.25">
      <c r="A27" s="179"/>
      <c r="B27" s="361" t="s">
        <v>221</v>
      </c>
      <c r="C27" s="179" t="s">
        <v>145</v>
      </c>
      <c r="D27" s="770">
        <v>0.70299999999999996</v>
      </c>
      <c r="E27" s="770">
        <f>E23*D27</f>
        <v>10.404400000000001</v>
      </c>
      <c r="F27" s="772"/>
      <c r="G27" s="783"/>
      <c r="H27" s="1121"/>
      <c r="I27" s="724">
        <f>E27*H27</f>
        <v>0</v>
      </c>
      <c r="J27" s="772"/>
      <c r="K27" s="772"/>
      <c r="L27" s="724">
        <f t="shared" si="0"/>
        <v>0</v>
      </c>
    </row>
    <row r="28" spans="1:15" s="771" customFormat="1" ht="15" x14ac:dyDescent="0.25">
      <c r="A28" s="179"/>
      <c r="B28" s="362" t="s">
        <v>225</v>
      </c>
      <c r="C28" s="179" t="s">
        <v>132</v>
      </c>
      <c r="D28" s="784">
        <v>1.14E-2</v>
      </c>
      <c r="E28" s="770">
        <f>E23*D28</f>
        <v>0.16872000000000001</v>
      </c>
      <c r="F28" s="772"/>
      <c r="G28" s="772"/>
      <c r="H28" s="1121"/>
      <c r="I28" s="724">
        <f t="shared" si="1"/>
        <v>0</v>
      </c>
      <c r="J28" s="772"/>
      <c r="K28" s="772"/>
      <c r="L28" s="724">
        <f t="shared" si="0"/>
        <v>0</v>
      </c>
    </row>
    <row r="29" spans="1:15" s="771" customFormat="1" ht="15" x14ac:dyDescent="0.25">
      <c r="A29" s="179"/>
      <c r="B29" s="723" t="s">
        <v>296</v>
      </c>
      <c r="C29" s="179" t="s">
        <v>172</v>
      </c>
      <c r="D29" s="770" t="s">
        <v>241</v>
      </c>
      <c r="E29" s="770">
        <v>0.26500000000000001</v>
      </c>
      <c r="F29" s="772"/>
      <c r="G29" s="785"/>
      <c r="H29" s="1121"/>
      <c r="I29" s="724">
        <f t="shared" si="1"/>
        <v>0</v>
      </c>
      <c r="J29" s="772"/>
      <c r="K29" s="772"/>
      <c r="L29" s="724">
        <f t="shared" si="0"/>
        <v>0</v>
      </c>
    </row>
    <row r="30" spans="1:15" s="771" customFormat="1" ht="15" x14ac:dyDescent="0.25">
      <c r="A30" s="179"/>
      <c r="B30" s="723" t="s">
        <v>298</v>
      </c>
      <c r="C30" s="179" t="s">
        <v>172</v>
      </c>
      <c r="D30" s="770" t="s">
        <v>241</v>
      </c>
      <c r="E30" s="770">
        <v>0.42</v>
      </c>
      <c r="F30" s="772"/>
      <c r="G30" s="772"/>
      <c r="H30" s="1121"/>
      <c r="I30" s="724">
        <f t="shared" si="1"/>
        <v>0</v>
      </c>
      <c r="J30" s="772"/>
      <c r="K30" s="772"/>
      <c r="L30" s="724">
        <f t="shared" si="0"/>
        <v>0</v>
      </c>
    </row>
    <row r="31" spans="1:15" s="771" customFormat="1" ht="15" x14ac:dyDescent="0.25">
      <c r="A31" s="179"/>
      <c r="B31" s="723" t="s">
        <v>146</v>
      </c>
      <c r="C31" s="179" t="s">
        <v>15</v>
      </c>
      <c r="D31" s="724">
        <v>0.6</v>
      </c>
      <c r="E31" s="724">
        <f>E23*D31</f>
        <v>8.8800000000000008</v>
      </c>
      <c r="F31" s="772"/>
      <c r="G31" s="772"/>
      <c r="H31" s="1121"/>
      <c r="I31" s="179">
        <f t="shared" si="1"/>
        <v>0</v>
      </c>
      <c r="J31" s="772"/>
      <c r="K31" s="772"/>
      <c r="L31" s="724">
        <f t="shared" si="0"/>
        <v>0</v>
      </c>
    </row>
    <row r="32" spans="1:15" s="771" customFormat="1" ht="15" x14ac:dyDescent="0.25">
      <c r="A32" s="36">
        <v>5</v>
      </c>
      <c r="B32" s="786" t="s">
        <v>447</v>
      </c>
      <c r="C32" s="634" t="s">
        <v>132</v>
      </c>
      <c r="D32" s="787"/>
      <c r="E32" s="787">
        <v>7.35</v>
      </c>
      <c r="F32" s="788"/>
      <c r="G32" s="788"/>
      <c r="H32" s="787"/>
      <c r="I32" s="634"/>
      <c r="J32" s="788"/>
      <c r="K32" s="788"/>
      <c r="L32" s="787"/>
    </row>
    <row r="33" spans="1:12" s="771" customFormat="1" ht="15" x14ac:dyDescent="0.25">
      <c r="A33" s="36"/>
      <c r="B33" s="474" t="s">
        <v>107</v>
      </c>
      <c r="C33" s="36" t="s">
        <v>37</v>
      </c>
      <c r="D33" s="476">
        <v>2.9</v>
      </c>
      <c r="E33" s="475">
        <f>E32*D33</f>
        <v>21.314999999999998</v>
      </c>
      <c r="F33" s="1122"/>
      <c r="G33" s="476">
        <f>E33*F33</f>
        <v>0</v>
      </c>
      <c r="H33" s="477"/>
      <c r="I33" s="477"/>
      <c r="J33" s="477"/>
      <c r="K33" s="477"/>
      <c r="L33" s="476">
        <f>G33+I33+K33</f>
        <v>0</v>
      </c>
    </row>
    <row r="34" spans="1:12" s="771" customFormat="1" ht="15" x14ac:dyDescent="0.25">
      <c r="A34" s="36"/>
      <c r="B34" s="474" t="s">
        <v>246</v>
      </c>
      <c r="C34" s="36" t="s">
        <v>132</v>
      </c>
      <c r="D34" s="476">
        <v>1.02</v>
      </c>
      <c r="E34" s="475">
        <f>E32*D34</f>
        <v>7.4969999999999999</v>
      </c>
      <c r="F34" s="479"/>
      <c r="G34" s="477"/>
      <c r="H34" s="1121"/>
      <c r="I34" s="476">
        <f>E34*H34</f>
        <v>0</v>
      </c>
      <c r="J34" s="477"/>
      <c r="K34" s="477"/>
      <c r="L34" s="476">
        <f>G34+I34+K34</f>
        <v>0</v>
      </c>
    </row>
    <row r="35" spans="1:12" s="771" customFormat="1" ht="15" x14ac:dyDescent="0.25">
      <c r="A35" s="36"/>
      <c r="B35" s="474" t="s">
        <v>146</v>
      </c>
      <c r="C35" s="36" t="s">
        <v>15</v>
      </c>
      <c r="D35" s="476">
        <v>0.88</v>
      </c>
      <c r="E35" s="475">
        <f>E32*D35</f>
        <v>6.468</v>
      </c>
      <c r="F35" s="479"/>
      <c r="G35" s="477"/>
      <c r="H35" s="1122"/>
      <c r="I35" s="476">
        <f>E35*H35</f>
        <v>0</v>
      </c>
      <c r="J35" s="477"/>
      <c r="K35" s="477"/>
      <c r="L35" s="476">
        <f>G35+I35+K35</f>
        <v>0</v>
      </c>
    </row>
    <row r="36" spans="1:12" s="771" customFormat="1" ht="15" x14ac:dyDescent="0.25">
      <c r="A36" s="19">
        <v>6</v>
      </c>
      <c r="B36" s="15" t="s">
        <v>247</v>
      </c>
      <c r="C36" s="14" t="s">
        <v>13</v>
      </c>
      <c r="E36" s="789">
        <v>0.47899999999999998</v>
      </c>
      <c r="F36" s="790"/>
      <c r="G36" s="791"/>
      <c r="H36" s="791"/>
      <c r="I36" s="791"/>
      <c r="J36" s="791"/>
      <c r="K36" s="791"/>
      <c r="L36" s="791"/>
    </row>
    <row r="37" spans="1:12" s="771" customFormat="1" ht="15" x14ac:dyDescent="0.25">
      <c r="A37" s="19"/>
      <c r="B37" s="20" t="s">
        <v>36</v>
      </c>
      <c r="C37" s="19" t="s">
        <v>37</v>
      </c>
      <c r="D37" s="19">
        <v>12.3</v>
      </c>
      <c r="E37" s="430">
        <f>E36*D37</f>
        <v>5.8917000000000002</v>
      </c>
      <c r="F37" s="1123"/>
      <c r="G37" s="431">
        <f>F37*E37</f>
        <v>0</v>
      </c>
      <c r="H37" s="792"/>
      <c r="I37" s="792"/>
      <c r="J37" s="431"/>
      <c r="K37" s="431"/>
      <c r="L37" s="431">
        <f>G37+I37+K37</f>
        <v>0</v>
      </c>
    </row>
    <row r="38" spans="1:12" s="771" customFormat="1" ht="15" x14ac:dyDescent="0.25">
      <c r="A38" s="19"/>
      <c r="B38" s="20" t="s">
        <v>48</v>
      </c>
      <c r="C38" s="19" t="s">
        <v>15</v>
      </c>
      <c r="D38" s="19">
        <v>1.4</v>
      </c>
      <c r="E38" s="430">
        <f>E36*D38</f>
        <v>0.67059999999999997</v>
      </c>
      <c r="F38" s="432"/>
      <c r="G38" s="431"/>
      <c r="H38" s="431"/>
      <c r="I38" s="431"/>
      <c r="J38" s="1123"/>
      <c r="K38" s="431">
        <f>E38*J38</f>
        <v>0</v>
      </c>
      <c r="L38" s="431">
        <f>G38+I38+K38</f>
        <v>0</v>
      </c>
    </row>
    <row r="39" spans="1:12" s="771" customFormat="1" ht="15" x14ac:dyDescent="0.25">
      <c r="A39" s="179"/>
      <c r="B39" s="723" t="s">
        <v>298</v>
      </c>
      <c r="C39" s="179" t="s">
        <v>172</v>
      </c>
      <c r="D39" s="770" t="s">
        <v>241</v>
      </c>
      <c r="E39" s="784">
        <f>E36</f>
        <v>0.47899999999999998</v>
      </c>
      <c r="F39" s="772"/>
      <c r="G39" s="772"/>
      <c r="H39" s="1121"/>
      <c r="I39" s="724">
        <f>E39*H39</f>
        <v>0</v>
      </c>
      <c r="J39" s="772"/>
      <c r="K39" s="772"/>
      <c r="L39" s="724">
        <f>G39+I39+K39</f>
        <v>0</v>
      </c>
    </row>
    <row r="40" spans="1:12" s="771" customFormat="1" ht="15" x14ac:dyDescent="0.25">
      <c r="A40" s="19"/>
      <c r="B40" s="20" t="s">
        <v>42</v>
      </c>
      <c r="C40" s="19" t="s">
        <v>15</v>
      </c>
      <c r="D40" s="19">
        <v>7.15</v>
      </c>
      <c r="E40" s="430">
        <f>E36*D40</f>
        <v>3.4248500000000002</v>
      </c>
      <c r="F40" s="793"/>
      <c r="G40" s="793"/>
      <c r="H40" s="1129"/>
      <c r="I40" s="431">
        <f>E40*H40</f>
        <v>0</v>
      </c>
      <c r="J40" s="431"/>
      <c r="K40" s="431"/>
      <c r="L40" s="431">
        <f>G40+I40+K40</f>
        <v>0</v>
      </c>
    </row>
    <row r="41" spans="1:12" s="282" customFormat="1" ht="22.5" customHeight="1" x14ac:dyDescent="0.2">
      <c r="A41" s="794">
        <v>7</v>
      </c>
      <c r="B41" s="795" t="s">
        <v>224</v>
      </c>
      <c r="C41" s="794" t="s">
        <v>10</v>
      </c>
      <c r="D41" s="796"/>
      <c r="E41" s="797">
        <v>2.2599999999999998</v>
      </c>
      <c r="F41" s="798"/>
      <c r="G41" s="798"/>
      <c r="H41" s="798"/>
      <c r="I41" s="798"/>
      <c r="J41" s="798"/>
      <c r="K41" s="798"/>
      <c r="L41" s="798"/>
    </row>
    <row r="42" spans="1:12" s="282" customFormat="1" x14ac:dyDescent="0.25">
      <c r="A42" s="356"/>
      <c r="B42" s="357" t="s">
        <v>214</v>
      </c>
      <c r="C42" s="358" t="s">
        <v>28</v>
      </c>
      <c r="D42" s="359">
        <v>19.5</v>
      </c>
      <c r="E42" s="359">
        <f>E41*D42</f>
        <v>44.069999999999993</v>
      </c>
      <c r="F42" s="1123"/>
      <c r="G42" s="24">
        <f>F42*E42</f>
        <v>0</v>
      </c>
      <c r="H42" s="24"/>
      <c r="I42" s="24"/>
      <c r="J42" s="24"/>
      <c r="K42" s="24"/>
      <c r="L42" s="355">
        <f t="shared" ref="L42:L51" si="2">G42+I42+K42</f>
        <v>0</v>
      </c>
    </row>
    <row r="43" spans="1:12" s="282" customFormat="1" x14ac:dyDescent="0.25">
      <c r="A43" s="356"/>
      <c r="B43" s="357" t="s">
        <v>14</v>
      </c>
      <c r="C43" s="358" t="s">
        <v>15</v>
      </c>
      <c r="D43" s="359">
        <v>3.21</v>
      </c>
      <c r="E43" s="359">
        <f>E41*D43</f>
        <v>7.254599999999999</v>
      </c>
      <c r="F43" s="24"/>
      <c r="G43" s="24"/>
      <c r="H43" s="24"/>
      <c r="I43" s="24"/>
      <c r="J43" s="1123"/>
      <c r="K43" s="24">
        <f>J43*E43</f>
        <v>0</v>
      </c>
      <c r="L43" s="355">
        <f t="shared" si="2"/>
        <v>0</v>
      </c>
    </row>
    <row r="44" spans="1:12" s="282" customFormat="1" x14ac:dyDescent="0.25">
      <c r="A44" s="356"/>
      <c r="B44" s="474" t="s">
        <v>246</v>
      </c>
      <c r="C44" s="358" t="s">
        <v>10</v>
      </c>
      <c r="D44" s="359">
        <v>1.0149999999999999</v>
      </c>
      <c r="E44" s="359">
        <f>E41*D44</f>
        <v>2.2938999999999994</v>
      </c>
      <c r="F44" s="24"/>
      <c r="G44" s="24"/>
      <c r="H44" s="1121"/>
      <c r="I44" s="24">
        <f t="shared" ref="I44:I51" si="3">H44*E44</f>
        <v>0</v>
      </c>
      <c r="J44" s="24"/>
      <c r="K44" s="24"/>
      <c r="L44" s="355">
        <f t="shared" si="2"/>
        <v>0</v>
      </c>
    </row>
    <row r="45" spans="1:12" s="282" customFormat="1" x14ac:dyDescent="0.25">
      <c r="A45" s="360"/>
      <c r="B45" s="361" t="s">
        <v>221</v>
      </c>
      <c r="C45" s="358" t="s">
        <v>17</v>
      </c>
      <c r="D45" s="359">
        <v>2.42</v>
      </c>
      <c r="E45" s="359">
        <f>E41*D45</f>
        <v>5.469199999999999</v>
      </c>
      <c r="F45" s="24"/>
      <c r="G45" s="24"/>
      <c r="H45" s="1121"/>
      <c r="I45" s="24">
        <f t="shared" si="3"/>
        <v>0</v>
      </c>
      <c r="J45" s="24"/>
      <c r="K45" s="24"/>
      <c r="L45" s="355">
        <f t="shared" si="2"/>
        <v>0</v>
      </c>
    </row>
    <row r="46" spans="1:12" s="282" customFormat="1" x14ac:dyDescent="0.25">
      <c r="A46" s="360"/>
      <c r="B46" s="362" t="s">
        <v>222</v>
      </c>
      <c r="C46" s="358" t="s">
        <v>10</v>
      </c>
      <c r="D46" s="359">
        <v>5.7599999999999998E-2</v>
      </c>
      <c r="E46" s="359">
        <f>E41*D46</f>
        <v>0.13017599999999999</v>
      </c>
      <c r="F46" s="24"/>
      <c r="G46" s="24"/>
      <c r="H46" s="1130"/>
      <c r="I46" s="24">
        <f t="shared" si="3"/>
        <v>0</v>
      </c>
      <c r="J46" s="24"/>
      <c r="K46" s="24"/>
      <c r="L46" s="355">
        <f t="shared" si="2"/>
        <v>0</v>
      </c>
    </row>
    <row r="47" spans="1:12" s="282" customFormat="1" x14ac:dyDescent="0.25">
      <c r="A47" s="360"/>
      <c r="B47" s="362" t="s">
        <v>225</v>
      </c>
      <c r="C47" s="358" t="s">
        <v>10</v>
      </c>
      <c r="D47" s="359">
        <v>1.6E-2</v>
      </c>
      <c r="E47" s="359">
        <f>E41*D47</f>
        <v>3.6159999999999998E-2</v>
      </c>
      <c r="F47" s="24"/>
      <c r="G47" s="24"/>
      <c r="H47" s="1130"/>
      <c r="I47" s="24">
        <f t="shared" si="3"/>
        <v>0</v>
      </c>
      <c r="J47" s="24"/>
      <c r="K47" s="24"/>
      <c r="L47" s="355">
        <f t="shared" si="2"/>
        <v>0</v>
      </c>
    </row>
    <row r="48" spans="1:12" s="282" customFormat="1" x14ac:dyDescent="0.25">
      <c r="A48" s="360"/>
      <c r="B48" s="357" t="s">
        <v>118</v>
      </c>
      <c r="C48" s="358" t="s">
        <v>18</v>
      </c>
      <c r="D48" s="359">
        <f>0.25*1000/100</f>
        <v>2.5</v>
      </c>
      <c r="E48" s="359">
        <f>E41*D48</f>
        <v>5.6499999999999995</v>
      </c>
      <c r="F48" s="24"/>
      <c r="G48" s="24"/>
      <c r="H48" s="1124"/>
      <c r="I48" s="24">
        <f t="shared" si="3"/>
        <v>0</v>
      </c>
      <c r="J48" s="24"/>
      <c r="K48" s="24"/>
      <c r="L48" s="355">
        <f t="shared" si="2"/>
        <v>0</v>
      </c>
    </row>
    <row r="49" spans="1:12" s="282" customFormat="1" x14ac:dyDescent="0.25">
      <c r="A49" s="179"/>
      <c r="B49" s="723" t="s">
        <v>296</v>
      </c>
      <c r="C49" s="176" t="s">
        <v>223</v>
      </c>
      <c r="D49" s="353"/>
      <c r="E49" s="799">
        <v>9.2999999999999999E-2</v>
      </c>
      <c r="F49" s="24"/>
      <c r="G49" s="24"/>
      <c r="H49" s="1121"/>
      <c r="I49" s="24">
        <f t="shared" si="3"/>
        <v>0</v>
      </c>
      <c r="J49" s="24"/>
      <c r="K49" s="24"/>
      <c r="L49" s="355">
        <f t="shared" si="2"/>
        <v>0</v>
      </c>
    </row>
    <row r="50" spans="1:12" s="282" customFormat="1" x14ac:dyDescent="0.25">
      <c r="A50" s="179"/>
      <c r="B50" s="723" t="s">
        <v>299</v>
      </c>
      <c r="C50" s="176" t="s">
        <v>223</v>
      </c>
      <c r="D50" s="353"/>
      <c r="E50" s="799">
        <f>(318)/1000</f>
        <v>0.318</v>
      </c>
      <c r="F50" s="24"/>
      <c r="G50" s="24"/>
      <c r="H50" s="1130"/>
      <c r="I50" s="24">
        <f t="shared" si="3"/>
        <v>0</v>
      </c>
      <c r="J50" s="24"/>
      <c r="K50" s="24"/>
      <c r="L50" s="355">
        <f t="shared" si="2"/>
        <v>0</v>
      </c>
    </row>
    <row r="51" spans="1:12" s="282" customFormat="1" x14ac:dyDescent="0.25">
      <c r="A51" s="360"/>
      <c r="B51" s="357" t="s">
        <v>146</v>
      </c>
      <c r="C51" s="358" t="s">
        <v>15</v>
      </c>
      <c r="D51" s="359">
        <v>0.6</v>
      </c>
      <c r="E51" s="359">
        <f>E41*D51</f>
        <v>1.3559999999999999</v>
      </c>
      <c r="F51" s="24"/>
      <c r="G51" s="24"/>
      <c r="H51" s="1123"/>
      <c r="I51" s="24">
        <f t="shared" si="3"/>
        <v>0</v>
      </c>
      <c r="J51" s="24"/>
      <c r="K51" s="24"/>
      <c r="L51" s="355">
        <f t="shared" si="2"/>
        <v>0</v>
      </c>
    </row>
    <row r="52" spans="1:12" s="771" customFormat="1" ht="15" x14ac:dyDescent="0.25">
      <c r="A52" s="800">
        <v>8</v>
      </c>
      <c r="B52" s="801" t="s">
        <v>244</v>
      </c>
      <c r="C52" s="802" t="s">
        <v>132</v>
      </c>
      <c r="D52" s="803"/>
      <c r="E52" s="804">
        <v>2.8</v>
      </c>
      <c r="F52" s="804"/>
      <c r="G52" s="805"/>
      <c r="H52" s="804"/>
      <c r="I52" s="802"/>
      <c r="J52" s="773"/>
      <c r="K52" s="773"/>
      <c r="L52" s="804"/>
    </row>
    <row r="53" spans="1:12" s="771" customFormat="1" ht="15" x14ac:dyDescent="0.25">
      <c r="A53" s="806"/>
      <c r="B53" s="807" t="s">
        <v>107</v>
      </c>
      <c r="C53" s="806" t="s">
        <v>37</v>
      </c>
      <c r="D53" s="725">
        <v>14.7</v>
      </c>
      <c r="E53" s="808">
        <f>E52*D53</f>
        <v>41.16</v>
      </c>
      <c r="F53" s="1124"/>
      <c r="G53" s="725">
        <f>E53*F53</f>
        <v>0</v>
      </c>
      <c r="H53" s="381"/>
      <c r="I53" s="381"/>
      <c r="J53" s="381"/>
      <c r="K53" s="381"/>
      <c r="L53" s="725">
        <f t="shared" ref="L53:L62" si="4">G53+I53+K53</f>
        <v>0</v>
      </c>
    </row>
    <row r="54" spans="1:12" s="771" customFormat="1" ht="15" x14ac:dyDescent="0.25">
      <c r="A54" s="806"/>
      <c r="B54" s="807" t="s">
        <v>14</v>
      </c>
      <c r="C54" s="806" t="s">
        <v>15</v>
      </c>
      <c r="D54" s="725">
        <v>1.21</v>
      </c>
      <c r="E54" s="725">
        <f>E52*D54</f>
        <v>3.3879999999999999</v>
      </c>
      <c r="F54" s="772"/>
      <c r="G54" s="381"/>
      <c r="H54" s="381"/>
      <c r="I54" s="381"/>
      <c r="J54" s="1124"/>
      <c r="K54" s="725">
        <f>E54*J54</f>
        <v>0</v>
      </c>
      <c r="L54" s="725">
        <f t="shared" si="4"/>
        <v>0</v>
      </c>
    </row>
    <row r="55" spans="1:12" s="771" customFormat="1" ht="15" x14ac:dyDescent="0.25">
      <c r="A55" s="806"/>
      <c r="B55" s="807" t="s">
        <v>239</v>
      </c>
      <c r="C55" s="806" t="s">
        <v>132</v>
      </c>
      <c r="D55" s="725">
        <v>1</v>
      </c>
      <c r="E55" s="725">
        <f>E52*D55</f>
        <v>2.8</v>
      </c>
      <c r="F55" s="772"/>
      <c r="G55" s="381"/>
      <c r="H55" s="1121"/>
      <c r="I55" s="725">
        <f t="shared" ref="I55:I62" si="5">E55*H55</f>
        <v>0</v>
      </c>
      <c r="J55" s="381"/>
      <c r="K55" s="381"/>
      <c r="L55" s="725">
        <f t="shared" si="4"/>
        <v>0</v>
      </c>
    </row>
    <row r="56" spans="1:12" s="771" customFormat="1" ht="15" x14ac:dyDescent="0.25">
      <c r="A56" s="806"/>
      <c r="B56" s="807" t="s">
        <v>245</v>
      </c>
      <c r="C56" s="806" t="s">
        <v>145</v>
      </c>
      <c r="D56" s="725">
        <v>2.46</v>
      </c>
      <c r="E56" s="725">
        <f>E52*D56</f>
        <v>6.8879999999999999</v>
      </c>
      <c r="F56" s="772"/>
      <c r="G56" s="381"/>
      <c r="H56" s="1121"/>
      <c r="I56" s="725">
        <f t="shared" si="5"/>
        <v>0</v>
      </c>
      <c r="J56" s="381"/>
      <c r="K56" s="381"/>
      <c r="L56" s="725">
        <f t="shared" si="4"/>
        <v>0</v>
      </c>
    </row>
    <row r="57" spans="1:12" s="771" customFormat="1" ht="15" x14ac:dyDescent="0.25">
      <c r="A57" s="806"/>
      <c r="B57" s="362" t="s">
        <v>222</v>
      </c>
      <c r="C57" s="806" t="s">
        <v>132</v>
      </c>
      <c r="D57" s="725">
        <v>1.6E-2</v>
      </c>
      <c r="E57" s="808">
        <f>E52*D57</f>
        <v>4.48E-2</v>
      </c>
      <c r="F57" s="772"/>
      <c r="G57" s="381"/>
      <c r="H57" s="1130"/>
      <c r="I57" s="725">
        <f t="shared" si="5"/>
        <v>0</v>
      </c>
      <c r="J57" s="381"/>
      <c r="K57" s="381"/>
      <c r="L57" s="725">
        <f t="shared" si="4"/>
        <v>0</v>
      </c>
    </row>
    <row r="58" spans="1:12" s="771" customFormat="1" ht="15" x14ac:dyDescent="0.25">
      <c r="A58" s="806"/>
      <c r="B58" s="362" t="s">
        <v>225</v>
      </c>
      <c r="C58" s="806" t="s">
        <v>132</v>
      </c>
      <c r="D58" s="725">
        <v>7.0000000000000001E-3</v>
      </c>
      <c r="E58" s="808">
        <f>E52*D58</f>
        <v>1.9599999999999999E-2</v>
      </c>
      <c r="F58" s="772"/>
      <c r="G58" s="381"/>
      <c r="H58" s="1130"/>
      <c r="I58" s="725">
        <f t="shared" si="5"/>
        <v>0</v>
      </c>
      <c r="J58" s="381"/>
      <c r="K58" s="381"/>
      <c r="L58" s="725">
        <f t="shared" si="4"/>
        <v>0</v>
      </c>
    </row>
    <row r="59" spans="1:12" s="771" customFormat="1" ht="15" x14ac:dyDescent="0.25">
      <c r="A59" s="806"/>
      <c r="B59" s="807" t="s">
        <v>118</v>
      </c>
      <c r="C59" s="806" t="s">
        <v>18</v>
      </c>
      <c r="D59" s="725">
        <v>3.3</v>
      </c>
      <c r="E59" s="808">
        <f>E52*D59</f>
        <v>9.2399999999999984</v>
      </c>
      <c r="F59" s="772"/>
      <c r="G59" s="381"/>
      <c r="H59" s="1124"/>
      <c r="I59" s="725">
        <f t="shared" si="5"/>
        <v>0</v>
      </c>
      <c r="J59" s="381"/>
      <c r="K59" s="381"/>
      <c r="L59" s="725">
        <f t="shared" si="4"/>
        <v>0</v>
      </c>
    </row>
    <row r="60" spans="1:12" s="771" customFormat="1" ht="15" x14ac:dyDescent="0.25">
      <c r="A60" s="179"/>
      <c r="B60" s="723" t="s">
        <v>296</v>
      </c>
      <c r="C60" s="179" t="s">
        <v>172</v>
      </c>
      <c r="D60" s="770" t="s">
        <v>241</v>
      </c>
      <c r="E60" s="475">
        <v>0.32900000000000001</v>
      </c>
      <c r="F60" s="772"/>
      <c r="G60" s="785"/>
      <c r="H60" s="1121"/>
      <c r="I60" s="724">
        <f t="shared" si="5"/>
        <v>0</v>
      </c>
      <c r="J60" s="772"/>
      <c r="K60" s="772"/>
      <c r="L60" s="724">
        <f t="shared" si="4"/>
        <v>0</v>
      </c>
    </row>
    <row r="61" spans="1:12" s="771" customFormat="1" ht="15" x14ac:dyDescent="0.25">
      <c r="A61" s="179"/>
      <c r="B61" s="723" t="s">
        <v>299</v>
      </c>
      <c r="C61" s="179" t="s">
        <v>172</v>
      </c>
      <c r="D61" s="770" t="s">
        <v>241</v>
      </c>
      <c r="E61" s="475">
        <v>0.42499999999999999</v>
      </c>
      <c r="F61" s="772"/>
      <c r="G61" s="772"/>
      <c r="H61" s="1130"/>
      <c r="I61" s="724">
        <f t="shared" si="5"/>
        <v>0</v>
      </c>
      <c r="J61" s="772"/>
      <c r="K61" s="772"/>
      <c r="L61" s="724">
        <f t="shared" si="4"/>
        <v>0</v>
      </c>
    </row>
    <row r="62" spans="1:12" s="771" customFormat="1" ht="15" x14ac:dyDescent="0.25">
      <c r="A62" s="806"/>
      <c r="B62" s="807" t="s">
        <v>146</v>
      </c>
      <c r="C62" s="806" t="s">
        <v>15</v>
      </c>
      <c r="D62" s="725">
        <v>0.9</v>
      </c>
      <c r="E62" s="808">
        <f>E52*D62</f>
        <v>2.52</v>
      </c>
      <c r="F62" s="772"/>
      <c r="G62" s="381"/>
      <c r="H62" s="1124"/>
      <c r="I62" s="725">
        <f t="shared" si="5"/>
        <v>0</v>
      </c>
      <c r="J62" s="381"/>
      <c r="K62" s="381"/>
      <c r="L62" s="725">
        <f t="shared" si="4"/>
        <v>0</v>
      </c>
    </row>
    <row r="63" spans="1:12" s="771" customFormat="1" ht="15" x14ac:dyDescent="0.25">
      <c r="A63" s="179">
        <v>9</v>
      </c>
      <c r="B63" s="809" t="s">
        <v>242</v>
      </c>
      <c r="C63" s="778" t="s">
        <v>132</v>
      </c>
      <c r="D63" s="780"/>
      <c r="E63" s="780">
        <v>9.6</v>
      </c>
      <c r="F63" s="781"/>
      <c r="G63" s="781"/>
      <c r="H63" s="781"/>
      <c r="I63" s="781"/>
      <c r="J63" s="781"/>
      <c r="K63" s="781"/>
      <c r="L63" s="782"/>
    </row>
    <row r="64" spans="1:12" s="771" customFormat="1" ht="15" x14ac:dyDescent="0.25">
      <c r="A64" s="179"/>
      <c r="B64" s="723" t="s">
        <v>107</v>
      </c>
      <c r="C64" s="179" t="s">
        <v>37</v>
      </c>
      <c r="D64" s="724">
        <v>8.4</v>
      </c>
      <c r="E64" s="724">
        <f>E63*D64</f>
        <v>80.64</v>
      </c>
      <c r="F64" s="1121"/>
      <c r="G64" s="724">
        <f>E64*F64</f>
        <v>0</v>
      </c>
      <c r="H64" s="381"/>
      <c r="I64" s="381"/>
      <c r="J64" s="381"/>
      <c r="K64" s="381"/>
      <c r="L64" s="724">
        <f t="shared" ref="L64:L73" si="6">G64+I64+K64</f>
        <v>0</v>
      </c>
    </row>
    <row r="65" spans="1:12" s="771" customFormat="1" ht="15" x14ac:dyDescent="0.25">
      <c r="A65" s="179"/>
      <c r="B65" s="723" t="s">
        <v>14</v>
      </c>
      <c r="C65" s="179" t="s">
        <v>15</v>
      </c>
      <c r="D65" s="724">
        <v>0.81</v>
      </c>
      <c r="E65" s="770">
        <f>E63*D65</f>
        <v>7.7759999999999998</v>
      </c>
      <c r="F65" s="772"/>
      <c r="G65" s="381"/>
      <c r="H65" s="381"/>
      <c r="I65" s="381"/>
      <c r="J65" s="1121"/>
      <c r="K65" s="724">
        <f>E65*J65</f>
        <v>0</v>
      </c>
      <c r="L65" s="724">
        <f t="shared" si="6"/>
        <v>0</v>
      </c>
    </row>
    <row r="66" spans="1:12" s="771" customFormat="1" ht="15" x14ac:dyDescent="0.25">
      <c r="A66" s="179"/>
      <c r="B66" s="723" t="s">
        <v>239</v>
      </c>
      <c r="C66" s="179" t="s">
        <v>132</v>
      </c>
      <c r="D66" s="770">
        <v>1.0149999999999999</v>
      </c>
      <c r="E66" s="770">
        <f>E63*D66</f>
        <v>9.743999999999998</v>
      </c>
      <c r="F66" s="772"/>
      <c r="G66" s="381"/>
      <c r="H66" s="1121"/>
      <c r="I66" s="724">
        <f t="shared" ref="I66:I73" si="7">E66*H66</f>
        <v>0</v>
      </c>
      <c r="J66" s="381"/>
      <c r="K66" s="381"/>
      <c r="L66" s="724">
        <f t="shared" si="6"/>
        <v>0</v>
      </c>
    </row>
    <row r="67" spans="1:12" s="771" customFormat="1" ht="15" x14ac:dyDescent="0.25">
      <c r="A67" s="179"/>
      <c r="B67" s="723" t="s">
        <v>240</v>
      </c>
      <c r="C67" s="179" t="s">
        <v>145</v>
      </c>
      <c r="D67" s="724">
        <v>1.37</v>
      </c>
      <c r="E67" s="770">
        <f>E63*D67</f>
        <v>13.152000000000001</v>
      </c>
      <c r="F67" s="772"/>
      <c r="G67" s="381"/>
      <c r="H67" s="1121"/>
      <c r="I67" s="724">
        <f t="shared" si="7"/>
        <v>0</v>
      </c>
      <c r="J67" s="381"/>
      <c r="K67" s="381"/>
      <c r="L67" s="724">
        <f t="shared" si="6"/>
        <v>0</v>
      </c>
    </row>
    <row r="68" spans="1:12" s="771" customFormat="1" ht="15" x14ac:dyDescent="0.25">
      <c r="A68" s="179"/>
      <c r="B68" s="723" t="s">
        <v>243</v>
      </c>
      <c r="C68" s="179" t="s">
        <v>132</v>
      </c>
      <c r="D68" s="784">
        <v>8.3999999999999995E-3</v>
      </c>
      <c r="E68" s="770">
        <f>E63*D68</f>
        <v>8.0639999999999989E-2</v>
      </c>
      <c r="F68" s="772"/>
      <c r="G68" s="381"/>
      <c r="H68" s="1121"/>
      <c r="I68" s="724">
        <f t="shared" si="7"/>
        <v>0</v>
      </c>
      <c r="J68" s="381"/>
      <c r="K68" s="381"/>
      <c r="L68" s="724">
        <f t="shared" si="6"/>
        <v>0</v>
      </c>
    </row>
    <row r="69" spans="1:12" s="771" customFormat="1" ht="15" x14ac:dyDescent="0.25">
      <c r="A69" s="179"/>
      <c r="B69" s="362" t="s">
        <v>222</v>
      </c>
      <c r="C69" s="179" t="s">
        <v>132</v>
      </c>
      <c r="D69" s="784">
        <v>2.5600000000000001E-2</v>
      </c>
      <c r="E69" s="770">
        <f>E63*D69</f>
        <v>0.24576000000000001</v>
      </c>
      <c r="F69" s="772"/>
      <c r="G69" s="381"/>
      <c r="H69" s="1130"/>
      <c r="I69" s="724">
        <f t="shared" si="7"/>
        <v>0</v>
      </c>
      <c r="J69" s="381"/>
      <c r="K69" s="381"/>
      <c r="L69" s="724">
        <f t="shared" si="6"/>
        <v>0</v>
      </c>
    </row>
    <row r="70" spans="1:12" s="771" customFormat="1" ht="15" x14ac:dyDescent="0.25">
      <c r="A70" s="179"/>
      <c r="B70" s="362" t="s">
        <v>225</v>
      </c>
      <c r="C70" s="179" t="s">
        <v>132</v>
      </c>
      <c r="D70" s="784">
        <v>2.5999999999999999E-3</v>
      </c>
      <c r="E70" s="770">
        <f>E63*D70</f>
        <v>2.496E-2</v>
      </c>
      <c r="F70" s="772"/>
      <c r="G70" s="381"/>
      <c r="H70" s="1130"/>
      <c r="I70" s="724">
        <f t="shared" si="7"/>
        <v>0</v>
      </c>
      <c r="J70" s="381"/>
      <c r="K70" s="381"/>
      <c r="L70" s="724">
        <f t="shared" si="6"/>
        <v>0</v>
      </c>
    </row>
    <row r="71" spans="1:12" s="771" customFormat="1" ht="15" x14ac:dyDescent="0.25">
      <c r="A71" s="179"/>
      <c r="B71" s="723" t="s">
        <v>296</v>
      </c>
      <c r="C71" s="179" t="s">
        <v>172</v>
      </c>
      <c r="D71" s="770" t="s">
        <v>241</v>
      </c>
      <c r="E71" s="770">
        <v>3.4000000000000002E-2</v>
      </c>
      <c r="F71" s="772"/>
      <c r="G71" s="785"/>
      <c r="H71" s="1121"/>
      <c r="I71" s="724">
        <f t="shared" si="7"/>
        <v>0</v>
      </c>
      <c r="J71" s="772"/>
      <c r="K71" s="772"/>
      <c r="L71" s="724">
        <f t="shared" si="6"/>
        <v>0</v>
      </c>
    </row>
    <row r="72" spans="1:12" s="771" customFormat="1" ht="15" x14ac:dyDescent="0.25">
      <c r="A72" s="179"/>
      <c r="B72" s="723" t="s">
        <v>298</v>
      </c>
      <c r="C72" s="179" t="s">
        <v>172</v>
      </c>
      <c r="D72" s="770" t="s">
        <v>241</v>
      </c>
      <c r="E72" s="770">
        <v>1.2529999999999999</v>
      </c>
      <c r="F72" s="772"/>
      <c r="G72" s="772"/>
      <c r="H72" s="1121"/>
      <c r="I72" s="724">
        <f t="shared" si="7"/>
        <v>0</v>
      </c>
      <c r="J72" s="772"/>
      <c r="K72" s="772"/>
      <c r="L72" s="724">
        <f t="shared" si="6"/>
        <v>0</v>
      </c>
    </row>
    <row r="73" spans="1:12" s="771" customFormat="1" ht="15" x14ac:dyDescent="0.25">
      <c r="A73" s="179"/>
      <c r="B73" s="723" t="s">
        <v>146</v>
      </c>
      <c r="C73" s="179" t="s">
        <v>15</v>
      </c>
      <c r="D73" s="724">
        <v>0.39</v>
      </c>
      <c r="E73" s="770">
        <f>E63*D73</f>
        <v>3.7439999999999998</v>
      </c>
      <c r="F73" s="772"/>
      <c r="G73" s="381"/>
      <c r="H73" s="1121"/>
      <c r="I73" s="724">
        <f t="shared" si="7"/>
        <v>0</v>
      </c>
      <c r="J73" s="381"/>
      <c r="K73" s="381"/>
      <c r="L73" s="724">
        <f t="shared" si="6"/>
        <v>0</v>
      </c>
    </row>
    <row r="74" spans="1:12" s="771" customFormat="1" ht="15" x14ac:dyDescent="0.25">
      <c r="A74" s="806">
        <v>10</v>
      </c>
      <c r="B74" s="810" t="s">
        <v>300</v>
      </c>
      <c r="C74" s="811" t="s">
        <v>132</v>
      </c>
      <c r="D74" s="812"/>
      <c r="E74" s="813">
        <v>0.72</v>
      </c>
      <c r="F74" s="781"/>
      <c r="G74" s="781"/>
      <c r="H74" s="781"/>
      <c r="I74" s="781"/>
      <c r="J74" s="813"/>
      <c r="K74" s="811"/>
      <c r="L74" s="813"/>
    </row>
    <row r="75" spans="1:12" s="771" customFormat="1" ht="15" x14ac:dyDescent="0.25">
      <c r="A75" s="806"/>
      <c r="B75" s="807" t="s">
        <v>107</v>
      </c>
      <c r="C75" s="806" t="s">
        <v>37</v>
      </c>
      <c r="D75" s="808">
        <v>8.5399999999999991</v>
      </c>
      <c r="E75" s="808">
        <f>E74*D75</f>
        <v>6.1487999999999996</v>
      </c>
      <c r="F75" s="1121"/>
      <c r="G75" s="725">
        <f>E75*F75</f>
        <v>0</v>
      </c>
      <c r="H75" s="381"/>
      <c r="I75" s="381"/>
      <c r="J75" s="381"/>
      <c r="K75" s="381"/>
      <c r="L75" s="725">
        <f t="shared" ref="L75:L83" si="8">G75+I75+K75</f>
        <v>0</v>
      </c>
    </row>
    <row r="76" spans="1:12" s="771" customFormat="1" ht="15" x14ac:dyDescent="0.25">
      <c r="A76" s="806"/>
      <c r="B76" s="807" t="s">
        <v>14</v>
      </c>
      <c r="C76" s="806" t="s">
        <v>15</v>
      </c>
      <c r="D76" s="725">
        <v>1.06</v>
      </c>
      <c r="E76" s="808">
        <f>E74*D76</f>
        <v>0.76319999999999999</v>
      </c>
      <c r="F76" s="772"/>
      <c r="G76" s="381"/>
      <c r="H76" s="381"/>
      <c r="I76" s="381"/>
      <c r="J76" s="1121"/>
      <c r="K76" s="725">
        <f>E76*J76</f>
        <v>0</v>
      </c>
      <c r="L76" s="725">
        <f t="shared" si="8"/>
        <v>0</v>
      </c>
    </row>
    <row r="77" spans="1:12" s="771" customFormat="1" ht="15" x14ac:dyDescent="0.25">
      <c r="A77" s="806"/>
      <c r="B77" s="807" t="s">
        <v>239</v>
      </c>
      <c r="C77" s="806" t="s">
        <v>132</v>
      </c>
      <c r="D77" s="808">
        <v>1.0149999999999999</v>
      </c>
      <c r="E77" s="808">
        <f>E74*D77</f>
        <v>0.73079999999999989</v>
      </c>
      <c r="F77" s="772"/>
      <c r="G77" s="381"/>
      <c r="H77" s="1121"/>
      <c r="I77" s="725">
        <f t="shared" ref="I77:I83" si="9">E77*H77</f>
        <v>0</v>
      </c>
      <c r="J77" s="381"/>
      <c r="K77" s="381"/>
      <c r="L77" s="725">
        <f t="shared" si="8"/>
        <v>0</v>
      </c>
    </row>
    <row r="78" spans="1:12" s="771" customFormat="1" ht="15" x14ac:dyDescent="0.25">
      <c r="A78" s="806"/>
      <c r="B78" s="807" t="s">
        <v>245</v>
      </c>
      <c r="C78" s="806" t="s">
        <v>145</v>
      </c>
      <c r="D78" s="725">
        <v>1.4</v>
      </c>
      <c r="E78" s="808">
        <f>E74*D78</f>
        <v>1.008</v>
      </c>
      <c r="F78" s="772"/>
      <c r="G78" s="381"/>
      <c r="H78" s="1121"/>
      <c r="I78" s="725">
        <f>E78*H78</f>
        <v>0</v>
      </c>
      <c r="J78" s="381"/>
      <c r="K78" s="381"/>
      <c r="L78" s="725">
        <f t="shared" si="8"/>
        <v>0</v>
      </c>
    </row>
    <row r="79" spans="1:12" s="771" customFormat="1" ht="15" x14ac:dyDescent="0.25">
      <c r="A79" s="806"/>
      <c r="B79" s="362" t="s">
        <v>225</v>
      </c>
      <c r="C79" s="806" t="s">
        <v>132</v>
      </c>
      <c r="D79" s="814">
        <v>1.4500000000000001E-2</v>
      </c>
      <c r="E79" s="808">
        <f>E74*D79</f>
        <v>1.044E-2</v>
      </c>
      <c r="F79" s="772"/>
      <c r="G79" s="381"/>
      <c r="H79" s="1130"/>
      <c r="I79" s="725">
        <f t="shared" si="9"/>
        <v>0</v>
      </c>
      <c r="J79" s="381"/>
      <c r="K79" s="381"/>
      <c r="L79" s="725">
        <f t="shared" si="8"/>
        <v>0</v>
      </c>
    </row>
    <row r="80" spans="1:12" s="771" customFormat="1" ht="15" x14ac:dyDescent="0.25">
      <c r="A80" s="806"/>
      <c r="B80" s="807" t="s">
        <v>118</v>
      </c>
      <c r="C80" s="806" t="s">
        <v>248</v>
      </c>
      <c r="D80" s="725">
        <v>2.5</v>
      </c>
      <c r="E80" s="808">
        <f>E74*D80</f>
        <v>1.7999999999999998</v>
      </c>
      <c r="F80" s="772"/>
      <c r="G80" s="381"/>
      <c r="H80" s="1124"/>
      <c r="I80" s="725">
        <f t="shared" si="9"/>
        <v>0</v>
      </c>
      <c r="J80" s="381"/>
      <c r="K80" s="381"/>
      <c r="L80" s="725">
        <f t="shared" si="8"/>
        <v>0</v>
      </c>
    </row>
    <row r="81" spans="1:25" s="771" customFormat="1" ht="15" x14ac:dyDescent="0.25">
      <c r="A81" s="179"/>
      <c r="B81" s="723" t="s">
        <v>296</v>
      </c>
      <c r="C81" s="179" t="s">
        <v>172</v>
      </c>
      <c r="D81" s="770" t="s">
        <v>241</v>
      </c>
      <c r="E81" s="770">
        <v>4.165E-2</v>
      </c>
      <c r="F81" s="772"/>
      <c r="G81" s="785"/>
      <c r="H81" s="1121"/>
      <c r="I81" s="724">
        <f t="shared" si="9"/>
        <v>0</v>
      </c>
      <c r="J81" s="772"/>
      <c r="K81" s="772"/>
      <c r="L81" s="724">
        <f t="shared" si="8"/>
        <v>0</v>
      </c>
    </row>
    <row r="82" spans="1:25" s="771" customFormat="1" ht="15" x14ac:dyDescent="0.25">
      <c r="A82" s="179"/>
      <c r="B82" s="723" t="s">
        <v>297</v>
      </c>
      <c r="C82" s="179" t="s">
        <v>172</v>
      </c>
      <c r="D82" s="770" t="s">
        <v>241</v>
      </c>
      <c r="E82" s="770">
        <v>3.1E-2</v>
      </c>
      <c r="F82" s="772"/>
      <c r="G82" s="772"/>
      <c r="H82" s="1121"/>
      <c r="I82" s="724">
        <f t="shared" si="9"/>
        <v>0</v>
      </c>
      <c r="J82" s="772"/>
      <c r="K82" s="772"/>
      <c r="L82" s="724">
        <f t="shared" si="8"/>
        <v>0</v>
      </c>
    </row>
    <row r="83" spans="1:25" s="771" customFormat="1" ht="15" x14ac:dyDescent="0.25">
      <c r="A83" s="806"/>
      <c r="B83" s="807" t="s">
        <v>146</v>
      </c>
      <c r="C83" s="806" t="s">
        <v>15</v>
      </c>
      <c r="D83" s="808">
        <v>0.74</v>
      </c>
      <c r="E83" s="725">
        <f>E74*D83</f>
        <v>0.53279999999999994</v>
      </c>
      <c r="F83" s="772"/>
      <c r="G83" s="381"/>
      <c r="H83" s="1124"/>
      <c r="I83" s="725">
        <f t="shared" si="9"/>
        <v>0</v>
      </c>
      <c r="J83" s="381"/>
      <c r="K83" s="381"/>
      <c r="L83" s="725">
        <f t="shared" si="8"/>
        <v>0</v>
      </c>
    </row>
    <row r="84" spans="1:25" s="234" customFormat="1" ht="17.25" customHeight="1" x14ac:dyDescent="0.25">
      <c r="A84" s="228"/>
      <c r="B84" s="27" t="s">
        <v>211</v>
      </c>
      <c r="C84" s="243"/>
      <c r="D84" s="257"/>
      <c r="E84" s="259"/>
      <c r="F84" s="199"/>
      <c r="G84" s="233"/>
      <c r="H84" s="233"/>
      <c r="I84" s="233"/>
      <c r="J84" s="233"/>
      <c r="K84" s="233"/>
      <c r="L84" s="233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</row>
    <row r="85" spans="1:25" s="183" customFormat="1" ht="27" x14ac:dyDescent="0.25">
      <c r="A85" s="27">
        <v>1</v>
      </c>
      <c r="B85" s="33" t="s">
        <v>182</v>
      </c>
      <c r="C85" s="27" t="s">
        <v>10</v>
      </c>
      <c r="D85" s="27"/>
      <c r="E85" s="30">
        <f>64*0.03</f>
        <v>1.92</v>
      </c>
      <c r="F85" s="342"/>
      <c r="G85" s="342"/>
      <c r="H85" s="342"/>
      <c r="I85" s="342"/>
      <c r="J85" s="342"/>
      <c r="K85" s="342"/>
      <c r="L85" s="342"/>
      <c r="M85" s="278"/>
    </row>
    <row r="86" spans="1:25" s="117" customFormat="1" x14ac:dyDescent="0.2">
      <c r="A86" s="27"/>
      <c r="B86" s="20" t="s">
        <v>36</v>
      </c>
      <c r="C86" s="19" t="s">
        <v>37</v>
      </c>
      <c r="D86" s="19">
        <v>23.8</v>
      </c>
      <c r="E86" s="18">
        <f>E85*D86</f>
        <v>45.695999999999998</v>
      </c>
      <c r="F86" s="1125"/>
      <c r="G86" s="363">
        <f>E86*F86</f>
        <v>0</v>
      </c>
      <c r="H86" s="364"/>
      <c r="I86" s="364"/>
      <c r="J86" s="363"/>
      <c r="K86" s="363"/>
      <c r="L86" s="363">
        <f t="shared" ref="L86:L93" si="10">G86+I86+K86</f>
        <v>0</v>
      </c>
      <c r="M86" s="278"/>
    </row>
    <row r="87" spans="1:25" s="117" customFormat="1" x14ac:dyDescent="0.25">
      <c r="A87" s="27"/>
      <c r="B87" s="20" t="s">
        <v>48</v>
      </c>
      <c r="C87" s="19" t="s">
        <v>183</v>
      </c>
      <c r="D87" s="19">
        <v>2.1</v>
      </c>
      <c r="E87" s="18">
        <f>E85*D87</f>
        <v>4.032</v>
      </c>
      <c r="F87" s="363"/>
      <c r="G87" s="363"/>
      <c r="H87" s="363"/>
      <c r="I87" s="363"/>
      <c r="J87" s="1121"/>
      <c r="K87" s="363">
        <f>E87*J87</f>
        <v>0</v>
      </c>
      <c r="L87" s="363">
        <f t="shared" si="10"/>
        <v>0</v>
      </c>
      <c r="M87" s="278"/>
    </row>
    <row r="88" spans="1:25" s="117" customFormat="1" x14ac:dyDescent="0.2">
      <c r="A88" s="27"/>
      <c r="B88" s="20" t="s">
        <v>38</v>
      </c>
      <c r="C88" s="19" t="s">
        <v>10</v>
      </c>
      <c r="D88" s="19">
        <v>1.05</v>
      </c>
      <c r="E88" s="18">
        <f>E85*D88</f>
        <v>2.016</v>
      </c>
      <c r="F88" s="364"/>
      <c r="G88" s="364"/>
      <c r="H88" s="1131"/>
      <c r="I88" s="363">
        <f t="shared" ref="I88:I93" si="11">E88*H88</f>
        <v>0</v>
      </c>
      <c r="J88" s="363"/>
      <c r="K88" s="363"/>
      <c r="L88" s="363">
        <f t="shared" si="10"/>
        <v>0</v>
      </c>
      <c r="M88" s="278"/>
    </row>
    <row r="89" spans="1:25" s="117" customFormat="1" x14ac:dyDescent="0.2">
      <c r="A89" s="27"/>
      <c r="B89" s="20" t="s">
        <v>184</v>
      </c>
      <c r="C89" s="19" t="s">
        <v>18</v>
      </c>
      <c r="D89" s="19">
        <v>7.2</v>
      </c>
      <c r="E89" s="18">
        <f>E85*D89</f>
        <v>13.824</v>
      </c>
      <c r="F89" s="364"/>
      <c r="G89" s="364"/>
      <c r="H89" s="1131"/>
      <c r="I89" s="363">
        <f t="shared" si="11"/>
        <v>0</v>
      </c>
      <c r="J89" s="363"/>
      <c r="K89" s="363"/>
      <c r="L89" s="363">
        <f t="shared" si="10"/>
        <v>0</v>
      </c>
      <c r="M89" s="278"/>
    </row>
    <row r="90" spans="1:25" s="117" customFormat="1" x14ac:dyDescent="0.2">
      <c r="A90" s="27"/>
      <c r="B90" s="20" t="s">
        <v>185</v>
      </c>
      <c r="C90" s="19" t="s">
        <v>18</v>
      </c>
      <c r="D90" s="19">
        <v>1.96</v>
      </c>
      <c r="E90" s="18">
        <f>E85*D90</f>
        <v>3.7631999999999999</v>
      </c>
      <c r="F90" s="364"/>
      <c r="G90" s="364"/>
      <c r="H90" s="1131"/>
      <c r="I90" s="363">
        <f t="shared" si="11"/>
        <v>0</v>
      </c>
      <c r="J90" s="363"/>
      <c r="K90" s="363"/>
      <c r="L90" s="363">
        <f t="shared" si="10"/>
        <v>0</v>
      </c>
      <c r="M90" s="278"/>
    </row>
    <row r="91" spans="1:25" s="117" customFormat="1" x14ac:dyDescent="0.2">
      <c r="A91" s="27"/>
      <c r="B91" s="20" t="s">
        <v>186</v>
      </c>
      <c r="C91" s="19" t="s">
        <v>17</v>
      </c>
      <c r="D91" s="19">
        <v>3.38</v>
      </c>
      <c r="E91" s="18">
        <f>E85*D91</f>
        <v>6.4895999999999994</v>
      </c>
      <c r="F91" s="364"/>
      <c r="G91" s="364"/>
      <c r="H91" s="1131"/>
      <c r="I91" s="363">
        <f t="shared" si="11"/>
        <v>0</v>
      </c>
      <c r="J91" s="363"/>
      <c r="K91" s="363"/>
      <c r="L91" s="363">
        <f t="shared" si="10"/>
        <v>0</v>
      </c>
      <c r="M91" s="278"/>
    </row>
    <row r="92" spans="1:25" s="117" customFormat="1" x14ac:dyDescent="0.2">
      <c r="A92" s="27"/>
      <c r="B92" s="20" t="s">
        <v>187</v>
      </c>
      <c r="C92" s="19" t="s">
        <v>18</v>
      </c>
      <c r="D92" s="19">
        <v>4.38</v>
      </c>
      <c r="E92" s="18">
        <f>E85*D92</f>
        <v>8.4095999999999993</v>
      </c>
      <c r="F92" s="364"/>
      <c r="G92" s="364"/>
      <c r="H92" s="1131"/>
      <c r="I92" s="363">
        <f t="shared" si="11"/>
        <v>0</v>
      </c>
      <c r="J92" s="363"/>
      <c r="K92" s="363"/>
      <c r="L92" s="363">
        <f t="shared" si="10"/>
        <v>0</v>
      </c>
      <c r="M92" s="278"/>
    </row>
    <row r="93" spans="1:25" s="117" customFormat="1" x14ac:dyDescent="0.25">
      <c r="A93" s="27"/>
      <c r="B93" s="20" t="s">
        <v>42</v>
      </c>
      <c r="C93" s="19" t="s">
        <v>15</v>
      </c>
      <c r="D93" s="19">
        <v>3.44</v>
      </c>
      <c r="E93" s="18">
        <f>E85*D93</f>
        <v>6.6048</v>
      </c>
      <c r="F93" s="364"/>
      <c r="G93" s="364"/>
      <c r="H93" s="1121"/>
      <c r="I93" s="363">
        <f t="shared" si="11"/>
        <v>0</v>
      </c>
      <c r="J93" s="363"/>
      <c r="K93" s="363"/>
      <c r="L93" s="363">
        <f t="shared" si="10"/>
        <v>0</v>
      </c>
      <c r="M93" s="278"/>
    </row>
    <row r="94" spans="1:25" s="111" customFormat="1" ht="21" customHeight="1" x14ac:dyDescent="0.25">
      <c r="A94" s="27">
        <v>2</v>
      </c>
      <c r="B94" s="33" t="s">
        <v>188</v>
      </c>
      <c r="C94" s="347" t="s">
        <v>166</v>
      </c>
      <c r="D94" s="14"/>
      <c r="E94" s="30">
        <f>57*1.1</f>
        <v>62.7</v>
      </c>
      <c r="F94" s="363"/>
      <c r="G94" s="363"/>
      <c r="H94" s="363"/>
      <c r="I94" s="363"/>
      <c r="J94" s="363"/>
      <c r="K94" s="363"/>
      <c r="L94" s="363"/>
      <c r="M94" s="278"/>
    </row>
    <row r="95" spans="1:25" s="111" customFormat="1" x14ac:dyDescent="0.25">
      <c r="A95" s="27"/>
      <c r="B95" s="20" t="s">
        <v>36</v>
      </c>
      <c r="C95" s="19" t="s">
        <v>37</v>
      </c>
      <c r="D95" s="19">
        <v>0.24199999999999999</v>
      </c>
      <c r="E95" s="18">
        <f>E94*D95</f>
        <v>15.173400000000001</v>
      </c>
      <c r="F95" s="1125"/>
      <c r="G95" s="363">
        <f>E95*F95</f>
        <v>0</v>
      </c>
      <c r="H95" s="365"/>
      <c r="I95" s="365"/>
      <c r="J95" s="363"/>
      <c r="K95" s="363"/>
      <c r="L95" s="363">
        <f>G95+I95+K95</f>
        <v>0</v>
      </c>
      <c r="M95" s="278"/>
    </row>
    <row r="96" spans="1:25" s="111" customFormat="1" x14ac:dyDescent="0.25">
      <c r="A96" s="27"/>
      <c r="B96" s="20" t="s">
        <v>48</v>
      </c>
      <c r="C96" s="19" t="s">
        <v>183</v>
      </c>
      <c r="D96" s="19">
        <v>4.2999999999999997E-2</v>
      </c>
      <c r="E96" s="18">
        <f>E94*D96</f>
        <v>2.6960999999999999</v>
      </c>
      <c r="F96" s="363"/>
      <c r="G96" s="363"/>
      <c r="H96" s="363"/>
      <c r="I96" s="363"/>
      <c r="J96" s="1121"/>
      <c r="K96" s="363">
        <f>E96*J96</f>
        <v>0</v>
      </c>
      <c r="L96" s="363">
        <f>G96+I96+K96</f>
        <v>0</v>
      </c>
      <c r="M96" s="278"/>
    </row>
    <row r="97" spans="1:13" s="111" customFormat="1" x14ac:dyDescent="0.25">
      <c r="A97" s="27"/>
      <c r="B97" s="20" t="s">
        <v>195</v>
      </c>
      <c r="C97" s="19" t="s">
        <v>10</v>
      </c>
      <c r="D97" s="19"/>
      <c r="E97" s="38">
        <f>(E94*0.03)/2</f>
        <v>0.9405</v>
      </c>
      <c r="F97" s="365"/>
      <c r="G97" s="365"/>
      <c r="H97" s="1131"/>
      <c r="I97" s="363">
        <f>E97*H97</f>
        <v>0</v>
      </c>
      <c r="J97" s="363"/>
      <c r="K97" s="363"/>
      <c r="L97" s="363">
        <f>G97+I97+K97</f>
        <v>0</v>
      </c>
      <c r="M97" s="278"/>
    </row>
    <row r="98" spans="1:13" s="111" customFormat="1" x14ac:dyDescent="0.25">
      <c r="A98" s="27"/>
      <c r="B98" s="20" t="s">
        <v>19</v>
      </c>
      <c r="C98" s="19" t="s">
        <v>18</v>
      </c>
      <c r="D98" s="19">
        <v>0.113</v>
      </c>
      <c r="E98" s="18">
        <f>E94*D98</f>
        <v>7.0851000000000006</v>
      </c>
      <c r="F98" s="365"/>
      <c r="G98" s="365"/>
      <c r="H98" s="1131"/>
      <c r="I98" s="363">
        <f>E98*H98</f>
        <v>0</v>
      </c>
      <c r="J98" s="363"/>
      <c r="K98" s="363"/>
      <c r="L98" s="363">
        <f>G98+I98+K98</f>
        <v>0</v>
      </c>
      <c r="M98" s="278"/>
    </row>
    <row r="99" spans="1:13" s="111" customFormat="1" x14ac:dyDescent="0.25">
      <c r="A99" s="27"/>
      <c r="B99" s="20" t="s">
        <v>42</v>
      </c>
      <c r="C99" s="19" t="s">
        <v>15</v>
      </c>
      <c r="D99" s="19">
        <v>4.8399999999999999E-2</v>
      </c>
      <c r="E99" s="18">
        <f>E94*D99</f>
        <v>3.0346800000000003</v>
      </c>
      <c r="F99" s="365"/>
      <c r="G99" s="365"/>
      <c r="H99" s="1121"/>
      <c r="I99" s="363">
        <f>E99*H99</f>
        <v>0</v>
      </c>
      <c r="J99" s="363"/>
      <c r="K99" s="363"/>
      <c r="L99" s="363">
        <f>G99+I99+K99</f>
        <v>0</v>
      </c>
      <c r="M99" s="278"/>
    </row>
    <row r="100" spans="1:13" s="117" customFormat="1" ht="27" x14ac:dyDescent="0.2">
      <c r="A100" s="27">
        <v>3</v>
      </c>
      <c r="B100" s="33" t="s">
        <v>310</v>
      </c>
      <c r="C100" s="347" t="s">
        <v>166</v>
      </c>
      <c r="D100" s="14"/>
      <c r="E100" s="30">
        <f>E94</f>
        <v>62.7</v>
      </c>
      <c r="F100" s="363"/>
      <c r="G100" s="363"/>
      <c r="H100" s="363"/>
      <c r="I100" s="363"/>
      <c r="J100" s="363"/>
      <c r="K100" s="363"/>
      <c r="L100" s="363"/>
      <c r="M100" s="278"/>
    </row>
    <row r="101" spans="1:13" s="117" customFormat="1" x14ac:dyDescent="0.2">
      <c r="A101" s="27"/>
      <c r="B101" s="20" t="s">
        <v>36</v>
      </c>
      <c r="C101" s="19" t="s">
        <v>37</v>
      </c>
      <c r="D101" s="19">
        <f>9.97/100</f>
        <v>9.9700000000000011E-2</v>
      </c>
      <c r="E101" s="18">
        <f>E100*D101</f>
        <v>6.2511900000000011</v>
      </c>
      <c r="F101" s="1125"/>
      <c r="G101" s="363">
        <f>E101*F101</f>
        <v>0</v>
      </c>
      <c r="H101" s="364"/>
      <c r="I101" s="364"/>
      <c r="J101" s="363"/>
      <c r="K101" s="363"/>
      <c r="L101" s="363">
        <f>G101+I101+K101</f>
        <v>0</v>
      </c>
      <c r="M101" s="278"/>
    </row>
    <row r="102" spans="1:13" s="117" customFormat="1" x14ac:dyDescent="0.25">
      <c r="A102" s="27"/>
      <c r="B102" s="20" t="s">
        <v>48</v>
      </c>
      <c r="C102" s="19" t="s">
        <v>183</v>
      </c>
      <c r="D102" s="19">
        <f>0.3/100</f>
        <v>3.0000000000000001E-3</v>
      </c>
      <c r="E102" s="18">
        <f>E100*D102</f>
        <v>0.18810000000000002</v>
      </c>
      <c r="F102" s="363"/>
      <c r="G102" s="363"/>
      <c r="H102" s="364"/>
      <c r="I102" s="364"/>
      <c r="J102" s="1121"/>
      <c r="K102" s="363">
        <f>E102*J102</f>
        <v>0</v>
      </c>
      <c r="L102" s="363">
        <f>G102+I102+K102</f>
        <v>0</v>
      </c>
      <c r="M102" s="278"/>
    </row>
    <row r="103" spans="1:13" s="117" customFormat="1" x14ac:dyDescent="0.2">
      <c r="A103" s="27"/>
      <c r="B103" s="20" t="s">
        <v>185</v>
      </c>
      <c r="C103" s="19" t="s">
        <v>18</v>
      </c>
      <c r="D103" s="19">
        <f>0.09/100</f>
        <v>8.9999999999999998E-4</v>
      </c>
      <c r="E103" s="18">
        <f>E100*D103</f>
        <v>5.6430000000000001E-2</v>
      </c>
      <c r="F103" s="364"/>
      <c r="G103" s="364"/>
      <c r="H103" s="1131"/>
      <c r="I103" s="363">
        <f>E103*H103</f>
        <v>0</v>
      </c>
      <c r="J103" s="363"/>
      <c r="K103" s="363"/>
      <c r="L103" s="363">
        <f>G103+I103+K103</f>
        <v>0</v>
      </c>
      <c r="M103" s="278"/>
    </row>
    <row r="104" spans="1:13" s="769" customFormat="1" ht="40.5" x14ac:dyDescent="0.25">
      <c r="A104" s="816">
        <v>4</v>
      </c>
      <c r="B104" s="817" t="s">
        <v>307</v>
      </c>
      <c r="C104" s="818" t="s">
        <v>251</v>
      </c>
      <c r="D104" s="819"/>
      <c r="E104" s="820">
        <f>24*0.8</f>
        <v>19.200000000000003</v>
      </c>
      <c r="F104" s="821"/>
      <c r="G104" s="822"/>
      <c r="H104" s="816"/>
      <c r="I104" s="823"/>
      <c r="J104" s="816" t="s">
        <v>252</v>
      </c>
      <c r="K104" s="823"/>
      <c r="L104" s="820"/>
    </row>
    <row r="105" spans="1:13" s="771" customFormat="1" ht="15" x14ac:dyDescent="0.25">
      <c r="A105" s="816"/>
      <c r="B105" s="824" t="s">
        <v>36</v>
      </c>
      <c r="C105" s="825" t="s">
        <v>37</v>
      </c>
      <c r="D105" s="816">
        <v>0.83</v>
      </c>
      <c r="E105" s="823">
        <f>D105*E104</f>
        <v>15.936000000000002</v>
      </c>
      <c r="F105" s="1125"/>
      <c r="G105" s="826">
        <f>E105*F105</f>
        <v>0</v>
      </c>
      <c r="H105" s="826"/>
      <c r="I105" s="826"/>
      <c r="J105" s="826"/>
      <c r="K105" s="826"/>
      <c r="L105" s="826">
        <f>G105+I105+K105</f>
        <v>0</v>
      </c>
    </row>
    <row r="106" spans="1:13" s="771" customFormat="1" ht="15" x14ac:dyDescent="0.25">
      <c r="A106" s="827"/>
      <c r="B106" s="824" t="s">
        <v>253</v>
      </c>
      <c r="C106" s="825" t="s">
        <v>15</v>
      </c>
      <c r="D106" s="825">
        <v>4.1000000000000003E-3</v>
      </c>
      <c r="E106" s="826">
        <f>D106*E104</f>
        <v>7.8720000000000012E-2</v>
      </c>
      <c r="F106" s="826"/>
      <c r="G106" s="826"/>
      <c r="H106" s="826"/>
      <c r="I106" s="826"/>
      <c r="J106" s="1121"/>
      <c r="K106" s="826">
        <f>E106*J106</f>
        <v>0</v>
      </c>
      <c r="L106" s="826">
        <f>G106+I106+K106</f>
        <v>0</v>
      </c>
    </row>
    <row r="107" spans="1:13" s="769" customFormat="1" ht="27" x14ac:dyDescent="0.25">
      <c r="A107" s="816"/>
      <c r="B107" s="828" t="s">
        <v>308</v>
      </c>
      <c r="C107" s="816" t="s">
        <v>17</v>
      </c>
      <c r="D107" s="816">
        <v>1.2</v>
      </c>
      <c r="E107" s="823">
        <f>D107*E104</f>
        <v>23.040000000000003</v>
      </c>
      <c r="F107" s="823"/>
      <c r="G107" s="823"/>
      <c r="H107" s="1132"/>
      <c r="I107" s="823">
        <f>H107*E107</f>
        <v>0</v>
      </c>
      <c r="J107" s="823"/>
      <c r="K107" s="823"/>
      <c r="L107" s="823">
        <f>G107+I107+K107</f>
        <v>0</v>
      </c>
    </row>
    <row r="108" spans="1:13" s="771" customFormat="1" ht="15" x14ac:dyDescent="0.25">
      <c r="A108" s="816"/>
      <c r="B108" s="824" t="s">
        <v>42</v>
      </c>
      <c r="C108" s="829" t="s">
        <v>15</v>
      </c>
      <c r="D108" s="816">
        <v>7.8E-2</v>
      </c>
      <c r="E108" s="823">
        <f>D108*E104</f>
        <v>1.4976000000000003</v>
      </c>
      <c r="F108" s="826"/>
      <c r="G108" s="826"/>
      <c r="H108" s="1121"/>
      <c r="I108" s="826">
        <f>H108*E108</f>
        <v>0</v>
      </c>
      <c r="J108" s="826"/>
      <c r="K108" s="826"/>
      <c r="L108" s="826">
        <f>G108+I108+K108</f>
        <v>0</v>
      </c>
    </row>
    <row r="109" spans="1:13" s="769" customFormat="1" ht="27" x14ac:dyDescent="0.25">
      <c r="A109" s="816">
        <v>5</v>
      </c>
      <c r="B109" s="817" t="s">
        <v>305</v>
      </c>
      <c r="C109" s="818" t="s">
        <v>251</v>
      </c>
      <c r="D109" s="819"/>
      <c r="E109" s="820">
        <v>62.7</v>
      </c>
      <c r="F109" s="821"/>
      <c r="G109" s="822"/>
      <c r="H109" s="816"/>
      <c r="I109" s="823"/>
      <c r="J109" s="816" t="s">
        <v>252</v>
      </c>
      <c r="K109" s="823"/>
      <c r="L109" s="820"/>
    </row>
    <row r="110" spans="1:13" s="771" customFormat="1" ht="15" x14ac:dyDescent="0.25">
      <c r="A110" s="816"/>
      <c r="B110" s="824" t="s">
        <v>36</v>
      </c>
      <c r="C110" s="825" t="s">
        <v>37</v>
      </c>
      <c r="D110" s="816">
        <v>0.83</v>
      </c>
      <c r="E110" s="823">
        <f>D110*E109</f>
        <v>52.040999999999997</v>
      </c>
      <c r="F110" s="1125"/>
      <c r="G110" s="826">
        <f>E110*F110</f>
        <v>0</v>
      </c>
      <c r="H110" s="826"/>
      <c r="I110" s="826"/>
      <c r="J110" s="826"/>
      <c r="K110" s="826"/>
      <c r="L110" s="826">
        <f>G110+I110+K110</f>
        <v>0</v>
      </c>
    </row>
    <row r="111" spans="1:13" s="771" customFormat="1" ht="15" x14ac:dyDescent="0.25">
      <c r="A111" s="827"/>
      <c r="B111" s="824" t="s">
        <v>253</v>
      </c>
      <c r="C111" s="825" t="s">
        <v>15</v>
      </c>
      <c r="D111" s="825">
        <v>4.1000000000000003E-3</v>
      </c>
      <c r="E111" s="826">
        <f>D111*E109</f>
        <v>0.25707000000000002</v>
      </c>
      <c r="F111" s="826"/>
      <c r="G111" s="826"/>
      <c r="H111" s="826"/>
      <c r="I111" s="826"/>
      <c r="J111" s="1121"/>
      <c r="K111" s="826">
        <f>E111*J111</f>
        <v>0</v>
      </c>
      <c r="L111" s="826">
        <f>G111+I111+K111</f>
        <v>0</v>
      </c>
    </row>
    <row r="112" spans="1:13" s="771" customFormat="1" ht="27" x14ac:dyDescent="0.25">
      <c r="A112" s="816"/>
      <c r="B112" s="824" t="s">
        <v>306</v>
      </c>
      <c r="C112" s="829" t="s">
        <v>17</v>
      </c>
      <c r="D112" s="816">
        <v>1.2</v>
      </c>
      <c r="E112" s="823">
        <f>D112*E109</f>
        <v>75.239999999999995</v>
      </c>
      <c r="F112" s="826"/>
      <c r="G112" s="826"/>
      <c r="H112" s="1133"/>
      <c r="I112" s="826">
        <f>H112*E112</f>
        <v>0</v>
      </c>
      <c r="J112" s="826"/>
      <c r="K112" s="826"/>
      <c r="L112" s="826">
        <f>G112+I112+K112</f>
        <v>0</v>
      </c>
    </row>
    <row r="113" spans="1:13" s="771" customFormat="1" ht="15" x14ac:dyDescent="0.25">
      <c r="A113" s="816"/>
      <c r="B113" s="824" t="s">
        <v>42</v>
      </c>
      <c r="C113" s="829" t="s">
        <v>15</v>
      </c>
      <c r="D113" s="816">
        <v>7.8E-2</v>
      </c>
      <c r="E113" s="823">
        <f>D113*E109</f>
        <v>4.8906000000000001</v>
      </c>
      <c r="F113" s="826"/>
      <c r="G113" s="826"/>
      <c r="H113" s="1121"/>
      <c r="I113" s="826">
        <f>H113*E113</f>
        <v>0</v>
      </c>
      <c r="J113" s="826"/>
      <c r="K113" s="826"/>
      <c r="L113" s="826">
        <f>G113+I113+K113</f>
        <v>0</v>
      </c>
    </row>
    <row r="114" spans="1:13" s="282" customFormat="1" ht="12.75" x14ac:dyDescent="0.2">
      <c r="A114" s="46">
        <v>6</v>
      </c>
      <c r="B114" s="529" t="s">
        <v>217</v>
      </c>
      <c r="C114" s="46" t="s">
        <v>213</v>
      </c>
      <c r="D114" s="796"/>
      <c r="E114" s="242">
        <v>7.5</v>
      </c>
      <c r="F114" s="830"/>
      <c r="G114" s="830"/>
      <c r="H114" s="830"/>
      <c r="I114" s="830"/>
      <c r="J114" s="830"/>
      <c r="K114" s="830"/>
      <c r="L114" s="830"/>
    </row>
    <row r="115" spans="1:13" s="282" customFormat="1" x14ac:dyDescent="0.2">
      <c r="A115" s="366"/>
      <c r="B115" s="352" t="s">
        <v>36</v>
      </c>
      <c r="C115" s="366" t="s">
        <v>37</v>
      </c>
      <c r="D115" s="367">
        <v>0.56000000000000005</v>
      </c>
      <c r="E115" s="367">
        <f>E114*D115</f>
        <v>4.2</v>
      </c>
      <c r="F115" s="1125"/>
      <c r="G115" s="355">
        <f>F115*E115</f>
        <v>0</v>
      </c>
      <c r="H115" s="354"/>
      <c r="I115" s="354"/>
      <c r="J115" s="369"/>
      <c r="K115" s="355"/>
      <c r="L115" s="355">
        <f>G115+I115+K115</f>
        <v>0</v>
      </c>
    </row>
    <row r="116" spans="1:13" s="282" customFormat="1" x14ac:dyDescent="0.25">
      <c r="A116" s="366"/>
      <c r="B116" s="352" t="s">
        <v>48</v>
      </c>
      <c r="C116" s="366" t="s">
        <v>15</v>
      </c>
      <c r="D116" s="367">
        <v>0.31</v>
      </c>
      <c r="E116" s="367">
        <f>E114*D116</f>
        <v>2.3250000000000002</v>
      </c>
      <c r="F116" s="370"/>
      <c r="G116" s="355"/>
      <c r="H116" s="370"/>
      <c r="I116" s="355"/>
      <c r="J116" s="1121"/>
      <c r="K116" s="355">
        <f>E116*J116</f>
        <v>0</v>
      </c>
      <c r="L116" s="355">
        <f>G116+I116+K116</f>
        <v>0</v>
      </c>
    </row>
    <row r="117" spans="1:13" s="282" customFormat="1" ht="12.75" x14ac:dyDescent="0.2">
      <c r="A117" s="366"/>
      <c r="B117" s="352" t="s">
        <v>218</v>
      </c>
      <c r="C117" s="366" t="s">
        <v>34</v>
      </c>
      <c r="D117" s="371">
        <v>1.05</v>
      </c>
      <c r="E117" s="368">
        <f>D117*E114</f>
        <v>7.875</v>
      </c>
      <c r="F117" s="354"/>
      <c r="G117" s="354"/>
      <c r="H117" s="1120"/>
      <c r="I117" s="355">
        <f>H117*E117</f>
        <v>0</v>
      </c>
      <c r="J117" s="369"/>
      <c r="K117" s="355"/>
      <c r="L117" s="355">
        <f>G117+I117+K117</f>
        <v>0</v>
      </c>
    </row>
    <row r="118" spans="1:13" s="282" customFormat="1" ht="12.75" x14ac:dyDescent="0.2">
      <c r="A118" s="831">
        <v>7</v>
      </c>
      <c r="B118" s="529" t="s">
        <v>249</v>
      </c>
      <c r="C118" s="46" t="s">
        <v>213</v>
      </c>
      <c r="D118" s="796"/>
      <c r="E118" s="832">
        <v>7.2</v>
      </c>
      <c r="F118" s="833"/>
      <c r="G118" s="833"/>
      <c r="H118" s="833"/>
      <c r="I118" s="833"/>
      <c r="J118" s="833"/>
      <c r="K118" s="833"/>
      <c r="L118" s="833"/>
    </row>
    <row r="119" spans="1:13" s="282" customFormat="1" x14ac:dyDescent="0.2">
      <c r="A119" s="372"/>
      <c r="B119" s="373" t="s">
        <v>214</v>
      </c>
      <c r="C119" s="372" t="s">
        <v>28</v>
      </c>
      <c r="D119" s="371">
        <v>0.38</v>
      </c>
      <c r="E119" s="371">
        <f>D119*E118</f>
        <v>2.7360000000000002</v>
      </c>
      <c r="F119" s="1125"/>
      <c r="G119" s="355">
        <f>F119*E119</f>
        <v>0</v>
      </c>
      <c r="H119" s="354"/>
      <c r="I119" s="354"/>
      <c r="J119" s="369"/>
      <c r="K119" s="355"/>
      <c r="L119" s="355">
        <f>G119+I119+K119</f>
        <v>0</v>
      </c>
    </row>
    <row r="120" spans="1:13" s="282" customFormat="1" x14ac:dyDescent="0.25">
      <c r="A120" s="372"/>
      <c r="B120" s="373" t="s">
        <v>14</v>
      </c>
      <c r="C120" s="372" t="s">
        <v>15</v>
      </c>
      <c r="D120" s="371">
        <v>0.01</v>
      </c>
      <c r="E120" s="371">
        <f>D120*E118</f>
        <v>7.2000000000000008E-2</v>
      </c>
      <c r="F120" s="374"/>
      <c r="G120" s="355"/>
      <c r="H120" s="374"/>
      <c r="I120" s="355"/>
      <c r="J120" s="1121"/>
      <c r="K120" s="355">
        <f>J120*E120</f>
        <v>0</v>
      </c>
      <c r="L120" s="355">
        <f>G120+I120+K120</f>
        <v>0</v>
      </c>
    </row>
    <row r="121" spans="1:13" s="282" customFormat="1" ht="12.75" x14ac:dyDescent="0.2">
      <c r="A121" s="372"/>
      <c r="B121" s="352" t="s">
        <v>309</v>
      </c>
      <c r="C121" s="372" t="s">
        <v>22</v>
      </c>
      <c r="D121" s="371">
        <v>1.05</v>
      </c>
      <c r="E121" s="371">
        <f>D121*E118</f>
        <v>7.5600000000000005</v>
      </c>
      <c r="F121" s="354"/>
      <c r="G121" s="354"/>
      <c r="H121" s="1120"/>
      <c r="I121" s="355">
        <f>H121*E121</f>
        <v>0</v>
      </c>
      <c r="J121" s="369"/>
      <c r="K121" s="355"/>
      <c r="L121" s="355">
        <f>G121+I121+K121</f>
        <v>0</v>
      </c>
    </row>
    <row r="122" spans="1:13" s="282" customFormat="1" ht="12.75" x14ac:dyDescent="0.2">
      <c r="A122" s="372"/>
      <c r="B122" s="373" t="s">
        <v>215</v>
      </c>
      <c r="C122" s="372" t="s">
        <v>18</v>
      </c>
      <c r="D122" s="371">
        <v>0.2</v>
      </c>
      <c r="E122" s="371">
        <f>D122*E118</f>
        <v>1.4400000000000002</v>
      </c>
      <c r="F122" s="354"/>
      <c r="G122" s="354"/>
      <c r="H122" s="1120"/>
      <c r="I122" s="355">
        <f>H122*E122</f>
        <v>0</v>
      </c>
      <c r="J122" s="369"/>
      <c r="K122" s="355"/>
      <c r="L122" s="355">
        <f>G122+I122+K122</f>
        <v>0</v>
      </c>
    </row>
    <row r="123" spans="1:13" s="282" customFormat="1" ht="12.75" x14ac:dyDescent="0.2">
      <c r="A123" s="831">
        <v>8</v>
      </c>
      <c r="B123" s="834" t="s">
        <v>250</v>
      </c>
      <c r="C123" s="831" t="s">
        <v>216</v>
      </c>
      <c r="D123" s="796"/>
      <c r="E123" s="832">
        <v>2</v>
      </c>
      <c r="F123" s="833"/>
      <c r="G123" s="833"/>
      <c r="H123" s="833"/>
      <c r="I123" s="833"/>
      <c r="J123" s="833"/>
      <c r="K123" s="833"/>
      <c r="L123" s="833"/>
    </row>
    <row r="124" spans="1:13" s="282" customFormat="1" x14ac:dyDescent="0.2">
      <c r="A124" s="372"/>
      <c r="B124" s="373" t="s">
        <v>214</v>
      </c>
      <c r="C124" s="372" t="s">
        <v>28</v>
      </c>
      <c r="D124" s="371">
        <v>0.46</v>
      </c>
      <c r="E124" s="371">
        <f>D124*E123</f>
        <v>0.92</v>
      </c>
      <c r="F124" s="1125"/>
      <c r="G124" s="355">
        <f>F124*E124</f>
        <v>0</v>
      </c>
      <c r="H124" s="354"/>
      <c r="I124" s="354"/>
      <c r="J124" s="369"/>
      <c r="K124" s="355"/>
      <c r="L124" s="355">
        <f>G124+I124+K124</f>
        <v>0</v>
      </c>
    </row>
    <row r="125" spans="1:13" s="282" customFormat="1" ht="12.75" x14ac:dyDescent="0.2">
      <c r="A125" s="372"/>
      <c r="B125" s="373" t="s">
        <v>219</v>
      </c>
      <c r="C125" s="372" t="s">
        <v>21</v>
      </c>
      <c r="D125" s="371">
        <v>1</v>
      </c>
      <c r="E125" s="371">
        <f>D125*E123</f>
        <v>2</v>
      </c>
      <c r="F125" s="354"/>
      <c r="G125" s="354"/>
      <c r="H125" s="1120"/>
      <c r="I125" s="355">
        <f>H125*E125</f>
        <v>0</v>
      </c>
      <c r="J125" s="369"/>
      <c r="K125" s="355"/>
      <c r="L125" s="355">
        <f>G125+I125+K125</f>
        <v>0</v>
      </c>
    </row>
    <row r="126" spans="1:13" s="282" customFormat="1" ht="12.75" x14ac:dyDescent="0.2">
      <c r="A126" s="372"/>
      <c r="B126" s="373" t="s">
        <v>215</v>
      </c>
      <c r="C126" s="372" t="s">
        <v>18</v>
      </c>
      <c r="D126" s="371">
        <v>0.2</v>
      </c>
      <c r="E126" s="371">
        <f>D126*E123</f>
        <v>0.4</v>
      </c>
      <c r="F126" s="354"/>
      <c r="G126" s="354"/>
      <c r="H126" s="1120"/>
      <c r="I126" s="355">
        <f>H126*E126</f>
        <v>0</v>
      </c>
      <c r="J126" s="369"/>
      <c r="K126" s="355"/>
      <c r="L126" s="355">
        <f>G126+I126+K126</f>
        <v>0</v>
      </c>
    </row>
    <row r="127" spans="1:13" s="379" customFormat="1" ht="20.25" customHeight="1" x14ac:dyDescent="0.25">
      <c r="A127" s="344"/>
      <c r="B127" s="187" t="s">
        <v>189</v>
      </c>
      <c r="C127" s="375"/>
      <c r="D127" s="375"/>
      <c r="E127" s="376"/>
      <c r="F127" s="377"/>
      <c r="G127" s="378"/>
      <c r="H127" s="378"/>
      <c r="I127" s="378"/>
      <c r="J127" s="378"/>
      <c r="K127" s="378"/>
      <c r="L127" s="378"/>
      <c r="M127" s="278"/>
    </row>
    <row r="128" spans="1:13" s="771" customFormat="1" ht="15" x14ac:dyDescent="0.25">
      <c r="A128" s="835">
        <v>1</v>
      </c>
      <c r="B128" s="33" t="s">
        <v>257</v>
      </c>
      <c r="C128" s="836" t="s">
        <v>132</v>
      </c>
      <c r="D128" s="837"/>
      <c r="E128" s="838">
        <v>25.2</v>
      </c>
      <c r="F128" s="839"/>
      <c r="G128" s="839"/>
      <c r="H128" s="815"/>
      <c r="I128" s="835"/>
      <c r="J128" s="839"/>
      <c r="K128" s="839"/>
      <c r="L128" s="838"/>
    </row>
    <row r="129" spans="1:13" s="771" customFormat="1" ht="15" x14ac:dyDescent="0.25">
      <c r="A129" s="840"/>
      <c r="B129" s="841" t="s">
        <v>107</v>
      </c>
      <c r="C129" s="179" t="s">
        <v>37</v>
      </c>
      <c r="D129" s="724">
        <v>3.36</v>
      </c>
      <c r="E129" s="842">
        <f>E128*D129</f>
        <v>84.671999999999997</v>
      </c>
      <c r="F129" s="1125"/>
      <c r="G129" s="843">
        <f>E129*F129</f>
        <v>0</v>
      </c>
      <c r="H129" s="401"/>
      <c r="I129" s="401"/>
      <c r="J129" s="401"/>
      <c r="K129" s="401"/>
      <c r="L129" s="843">
        <f>G129+I129+K129</f>
        <v>0</v>
      </c>
    </row>
    <row r="130" spans="1:13" s="771" customFormat="1" ht="15" x14ac:dyDescent="0.25">
      <c r="A130" s="840"/>
      <c r="B130" s="841" t="s">
        <v>14</v>
      </c>
      <c r="C130" s="840" t="s">
        <v>15</v>
      </c>
      <c r="D130" s="843">
        <v>0.92</v>
      </c>
      <c r="E130" s="842">
        <f>E128*D130</f>
        <v>23.184000000000001</v>
      </c>
      <c r="F130" s="844"/>
      <c r="G130" s="401"/>
      <c r="H130" s="401"/>
      <c r="I130" s="401"/>
      <c r="J130" s="1121"/>
      <c r="K130" s="845">
        <f>E130*J130</f>
        <v>0</v>
      </c>
      <c r="L130" s="843">
        <f>G130+I130+K130</f>
        <v>0</v>
      </c>
      <c r="M130" s="776"/>
    </row>
    <row r="131" spans="1:13" s="771" customFormat="1" ht="15" x14ac:dyDescent="0.25">
      <c r="A131" s="840"/>
      <c r="B131" s="841" t="s">
        <v>254</v>
      </c>
      <c r="C131" s="840" t="s">
        <v>132</v>
      </c>
      <c r="D131" s="843">
        <v>0.11</v>
      </c>
      <c r="E131" s="842">
        <f>E128*D131</f>
        <v>2.7719999999999998</v>
      </c>
      <c r="F131" s="844"/>
      <c r="G131" s="401"/>
      <c r="H131" s="1134"/>
      <c r="I131" s="843">
        <f>E131*H131</f>
        <v>0</v>
      </c>
      <c r="J131" s="401"/>
      <c r="K131" s="401"/>
      <c r="L131" s="843">
        <f>G131+I131+K131</f>
        <v>0</v>
      </c>
    </row>
    <row r="132" spans="1:13" s="846" customFormat="1" ht="15" x14ac:dyDescent="0.25">
      <c r="A132" s="840"/>
      <c r="B132" s="380" t="s">
        <v>301</v>
      </c>
      <c r="C132" s="840" t="s">
        <v>20</v>
      </c>
      <c r="D132" s="842">
        <v>41.6</v>
      </c>
      <c r="E132" s="843">
        <f>E128*D132</f>
        <v>1048.32</v>
      </c>
      <c r="F132" s="844"/>
      <c r="G132" s="401"/>
      <c r="H132" s="1134"/>
      <c r="I132" s="845">
        <f>E132*H132</f>
        <v>0</v>
      </c>
      <c r="J132" s="401"/>
      <c r="K132" s="401"/>
      <c r="L132" s="843">
        <f>G132+I132+K132</f>
        <v>0</v>
      </c>
    </row>
    <row r="133" spans="1:13" s="771" customFormat="1" ht="15" x14ac:dyDescent="0.25">
      <c r="A133" s="840"/>
      <c r="B133" s="841" t="s">
        <v>146</v>
      </c>
      <c r="C133" s="840" t="s">
        <v>15</v>
      </c>
      <c r="D133" s="843">
        <v>0.16</v>
      </c>
      <c r="E133" s="842">
        <f>E128*D133</f>
        <v>4.032</v>
      </c>
      <c r="F133" s="844"/>
      <c r="G133" s="401"/>
      <c r="H133" s="1121"/>
      <c r="I133" s="843">
        <f>E133*H133</f>
        <v>0</v>
      </c>
      <c r="J133" s="401"/>
      <c r="K133" s="401"/>
      <c r="L133" s="843">
        <f>G133+I133+K133</f>
        <v>0</v>
      </c>
    </row>
    <row r="134" spans="1:13" s="771" customFormat="1" ht="15" x14ac:dyDescent="0.25">
      <c r="A134" s="847">
        <v>2</v>
      </c>
      <c r="B134" s="848" t="s">
        <v>255</v>
      </c>
      <c r="C134" s="849" t="s">
        <v>256</v>
      </c>
      <c r="D134" s="850"/>
      <c r="E134" s="851">
        <f>14*3</f>
        <v>42</v>
      </c>
      <c r="F134" s="852"/>
      <c r="G134" s="852"/>
      <c r="H134" s="853"/>
      <c r="I134" s="847"/>
      <c r="J134" s="852"/>
      <c r="K134" s="852"/>
      <c r="L134" s="851"/>
    </row>
    <row r="135" spans="1:13" s="771" customFormat="1" ht="15" x14ac:dyDescent="0.25">
      <c r="A135" s="840"/>
      <c r="B135" s="841" t="s">
        <v>107</v>
      </c>
      <c r="C135" s="179" t="s">
        <v>37</v>
      </c>
      <c r="D135" s="845">
        <v>1</v>
      </c>
      <c r="E135" s="843">
        <f>E134*D135</f>
        <v>42</v>
      </c>
      <c r="F135" s="1125"/>
      <c r="G135" s="843">
        <f>E135*F135</f>
        <v>0</v>
      </c>
      <c r="H135" s="401"/>
      <c r="I135" s="401"/>
      <c r="J135" s="401"/>
      <c r="K135" s="401"/>
      <c r="L135" s="843">
        <f>G135+I135+K135</f>
        <v>0</v>
      </c>
    </row>
    <row r="136" spans="1:13" s="771" customFormat="1" ht="15" x14ac:dyDescent="0.25">
      <c r="A136" s="840"/>
      <c r="B136" s="841" t="s">
        <v>14</v>
      </c>
      <c r="C136" s="840" t="s">
        <v>15</v>
      </c>
      <c r="D136" s="854">
        <f>6.44/100</f>
        <v>6.4399999999999999E-2</v>
      </c>
      <c r="E136" s="842">
        <f>E134*D136</f>
        <v>2.7048000000000001</v>
      </c>
      <c r="F136" s="844"/>
      <c r="G136" s="401"/>
      <c r="H136" s="401"/>
      <c r="I136" s="401"/>
      <c r="J136" s="1121"/>
      <c r="K136" s="843">
        <f>E136*J136</f>
        <v>0</v>
      </c>
      <c r="L136" s="843">
        <f>G136+I136+K136</f>
        <v>0</v>
      </c>
    </row>
    <row r="137" spans="1:13" s="771" customFormat="1" ht="15" x14ac:dyDescent="0.25">
      <c r="A137" s="840"/>
      <c r="B137" s="380" t="s">
        <v>258</v>
      </c>
      <c r="C137" s="840" t="s">
        <v>20</v>
      </c>
      <c r="D137" s="843">
        <f>0.87/0.0741</f>
        <v>11.740890688259109</v>
      </c>
      <c r="E137" s="843">
        <f>E134*D137</f>
        <v>493.11740890688259</v>
      </c>
      <c r="F137" s="844"/>
      <c r="G137" s="401"/>
      <c r="H137" s="1134"/>
      <c r="I137" s="843">
        <f>E137*H137</f>
        <v>0</v>
      </c>
      <c r="J137" s="401"/>
      <c r="K137" s="401"/>
      <c r="L137" s="843">
        <f>G137+I137+K137</f>
        <v>0</v>
      </c>
    </row>
    <row r="138" spans="1:13" s="771" customFormat="1" ht="15" x14ac:dyDescent="0.25">
      <c r="A138" s="840"/>
      <c r="B138" s="841" t="s">
        <v>254</v>
      </c>
      <c r="C138" s="840" t="s">
        <v>132</v>
      </c>
      <c r="D138" s="842">
        <f>0.5/100</f>
        <v>5.0000000000000001E-3</v>
      </c>
      <c r="E138" s="842">
        <f>E134*D138</f>
        <v>0.21</v>
      </c>
      <c r="F138" s="844"/>
      <c r="G138" s="401"/>
      <c r="H138" s="1134"/>
      <c r="I138" s="843">
        <f>E138*H138</f>
        <v>0</v>
      </c>
      <c r="J138" s="401"/>
      <c r="K138" s="401"/>
      <c r="L138" s="843">
        <f>G138+I138+K138</f>
        <v>0</v>
      </c>
    </row>
    <row r="139" spans="1:13" s="771" customFormat="1" ht="15" x14ac:dyDescent="0.25">
      <c r="A139" s="840"/>
      <c r="B139" s="841" t="s">
        <v>146</v>
      </c>
      <c r="C139" s="840" t="s">
        <v>15</v>
      </c>
      <c r="D139" s="854">
        <f>0.12/100</f>
        <v>1.1999999999999999E-3</v>
      </c>
      <c r="E139" s="842">
        <f>E134*D139</f>
        <v>5.0399999999999993E-2</v>
      </c>
      <c r="F139" s="844"/>
      <c r="G139" s="401"/>
      <c r="H139" s="1121"/>
      <c r="I139" s="843">
        <f>E139*H139</f>
        <v>0</v>
      </c>
      <c r="J139" s="401"/>
      <c r="K139" s="401"/>
      <c r="L139" s="843">
        <f>G139+I139+K139</f>
        <v>0</v>
      </c>
    </row>
    <row r="140" spans="1:13" s="771" customFormat="1" ht="15" x14ac:dyDescent="0.25">
      <c r="A140" s="34">
        <v>3</v>
      </c>
      <c r="B140" s="33" t="s">
        <v>268</v>
      </c>
      <c r="C140" s="27" t="s">
        <v>145</v>
      </c>
      <c r="D140" s="735"/>
      <c r="E140" s="30">
        <f>(28*3)+40</f>
        <v>124</v>
      </c>
      <c r="F140" s="30"/>
      <c r="G140" s="27"/>
      <c r="H140" s="855"/>
      <c r="I140" s="855"/>
      <c r="J140" s="855"/>
      <c r="K140" s="855"/>
      <c r="L140" s="736"/>
    </row>
    <row r="141" spans="1:13" s="771" customFormat="1" ht="15" x14ac:dyDescent="0.25">
      <c r="A141" s="179"/>
      <c r="B141" s="723" t="s">
        <v>107</v>
      </c>
      <c r="C141" s="179" t="s">
        <v>37</v>
      </c>
      <c r="D141" s="724">
        <v>0.93</v>
      </c>
      <c r="E141" s="724">
        <f>E140*D141</f>
        <v>115.32000000000001</v>
      </c>
      <c r="F141" s="1125"/>
      <c r="G141" s="724">
        <f>E141*F141</f>
        <v>0</v>
      </c>
      <c r="H141" s="401"/>
      <c r="I141" s="401"/>
      <c r="J141" s="401"/>
      <c r="K141" s="401"/>
      <c r="L141" s="724">
        <f>G141+I141+K141</f>
        <v>0</v>
      </c>
    </row>
    <row r="142" spans="1:13" s="771" customFormat="1" ht="15" x14ac:dyDescent="0.25">
      <c r="A142" s="36"/>
      <c r="B142" s="474" t="s">
        <v>14</v>
      </c>
      <c r="C142" s="36" t="s">
        <v>15</v>
      </c>
      <c r="D142" s="856">
        <v>2.6800000000000001E-2</v>
      </c>
      <c r="E142" s="475">
        <f>E140*D142</f>
        <v>3.3231999999999999</v>
      </c>
      <c r="F142" s="839"/>
      <c r="G142" s="857"/>
      <c r="H142" s="857"/>
      <c r="I142" s="857"/>
      <c r="J142" s="1121"/>
      <c r="K142" s="476">
        <f>E142*J142</f>
        <v>0</v>
      </c>
      <c r="L142" s="476">
        <f>G142+I142+K142</f>
        <v>0</v>
      </c>
    </row>
    <row r="143" spans="1:13" s="771" customFormat="1" ht="15" x14ac:dyDescent="0.25">
      <c r="A143" s="36"/>
      <c r="B143" s="474" t="s">
        <v>267</v>
      </c>
      <c r="C143" s="36" t="s">
        <v>132</v>
      </c>
      <c r="D143" s="856">
        <v>2.5499999999999998E-2</v>
      </c>
      <c r="E143" s="475">
        <f>E140*D143</f>
        <v>3.1619999999999999</v>
      </c>
      <c r="F143" s="839"/>
      <c r="G143" s="857"/>
      <c r="H143" s="1134"/>
      <c r="I143" s="476">
        <f>E143*H143</f>
        <v>0</v>
      </c>
      <c r="J143" s="857"/>
      <c r="K143" s="857"/>
      <c r="L143" s="476">
        <f>G143+I143+K143</f>
        <v>0</v>
      </c>
    </row>
    <row r="144" spans="1:13" s="771" customFormat="1" ht="15" x14ac:dyDescent="0.25">
      <c r="A144" s="179"/>
      <c r="B144" s="723" t="s">
        <v>171</v>
      </c>
      <c r="C144" s="179" t="s">
        <v>134</v>
      </c>
      <c r="D144" s="770">
        <v>2.4E-2</v>
      </c>
      <c r="E144" s="770">
        <f>E140*D144</f>
        <v>2.976</v>
      </c>
      <c r="F144" s="772"/>
      <c r="G144" s="381"/>
      <c r="H144" s="724"/>
      <c r="I144" s="724"/>
      <c r="J144" s="1121"/>
      <c r="K144" s="724">
        <f>E144*J144</f>
        <v>0</v>
      </c>
      <c r="L144" s="724">
        <f>G144+I144+K144</f>
        <v>0</v>
      </c>
    </row>
    <row r="145" spans="1:12" s="771" customFormat="1" ht="27" x14ac:dyDescent="0.25">
      <c r="A145" s="34">
        <v>4</v>
      </c>
      <c r="B145" s="33" t="s">
        <v>266</v>
      </c>
      <c r="C145" s="27" t="s">
        <v>23</v>
      </c>
      <c r="D145" s="735"/>
      <c r="E145" s="30">
        <f>(4*(4.2+0.9))+((1.6+2.4)*3)+(4.8*2)+(0.6*4*3)</f>
        <v>49.2</v>
      </c>
      <c r="F145" s="30"/>
      <c r="G145" s="27"/>
      <c r="H145" s="855"/>
      <c r="I145" s="855"/>
      <c r="J145" s="855"/>
      <c r="K145" s="855"/>
      <c r="L145" s="736"/>
    </row>
    <row r="146" spans="1:12" s="771" customFormat="1" ht="15" x14ac:dyDescent="0.25">
      <c r="A146" s="179"/>
      <c r="B146" s="723" t="s">
        <v>107</v>
      </c>
      <c r="C146" s="179" t="s">
        <v>37</v>
      </c>
      <c r="D146" s="724">
        <v>0.49</v>
      </c>
      <c r="E146" s="724">
        <f>E145*D146</f>
        <v>24.108000000000001</v>
      </c>
      <c r="F146" s="1125"/>
      <c r="G146" s="724">
        <f>E146*F146</f>
        <v>0</v>
      </c>
      <c r="H146" s="401"/>
      <c r="I146" s="401"/>
      <c r="J146" s="401"/>
      <c r="K146" s="401"/>
      <c r="L146" s="724">
        <f>G146+I146+K146</f>
        <v>0</v>
      </c>
    </row>
    <row r="147" spans="1:12" s="771" customFormat="1" ht="15" x14ac:dyDescent="0.25">
      <c r="A147" s="36"/>
      <c r="B147" s="474" t="s">
        <v>14</v>
      </c>
      <c r="C147" s="36" t="s">
        <v>15</v>
      </c>
      <c r="D147" s="856">
        <v>1.7999999999999999E-2</v>
      </c>
      <c r="E147" s="475">
        <f>E145*D147</f>
        <v>0.88559999999999994</v>
      </c>
      <c r="F147" s="839"/>
      <c r="G147" s="857"/>
      <c r="H147" s="857"/>
      <c r="I147" s="857"/>
      <c r="J147" s="1121"/>
      <c r="K147" s="476">
        <f>E147*J147</f>
        <v>0</v>
      </c>
      <c r="L147" s="476">
        <f>G147+I147+K147</f>
        <v>0</v>
      </c>
    </row>
    <row r="148" spans="1:12" s="771" customFormat="1" ht="15" x14ac:dyDescent="0.25">
      <c r="A148" s="36"/>
      <c r="B148" s="474" t="s">
        <v>267</v>
      </c>
      <c r="C148" s="36" t="s">
        <v>132</v>
      </c>
      <c r="D148" s="856">
        <v>1.06E-2</v>
      </c>
      <c r="E148" s="475">
        <f>E145*D148</f>
        <v>0.52151999999999998</v>
      </c>
      <c r="F148" s="839"/>
      <c r="G148" s="857"/>
      <c r="H148" s="1134"/>
      <c r="I148" s="476">
        <f>E148*H148</f>
        <v>0</v>
      </c>
      <c r="J148" s="857"/>
      <c r="K148" s="857"/>
      <c r="L148" s="476">
        <f>G148+I148+K148</f>
        <v>0</v>
      </c>
    </row>
    <row r="149" spans="1:12" s="771" customFormat="1" ht="15" x14ac:dyDescent="0.25">
      <c r="A149" s="847">
        <v>5</v>
      </c>
      <c r="B149" s="848" t="s">
        <v>265</v>
      </c>
      <c r="C149" s="849" t="s">
        <v>145</v>
      </c>
      <c r="D149" s="849"/>
      <c r="E149" s="851">
        <f>(8*6.4*3)-E231-E234-E217</f>
        <v>139.62</v>
      </c>
      <c r="F149" s="858"/>
      <c r="G149" s="858"/>
      <c r="H149" s="858"/>
      <c r="I149" s="858"/>
      <c r="J149" s="858"/>
      <c r="K149" s="858"/>
      <c r="L149" s="775"/>
    </row>
    <row r="150" spans="1:12" s="771" customFormat="1" ht="15" x14ac:dyDescent="0.25">
      <c r="A150" s="840"/>
      <c r="B150" s="723" t="s">
        <v>259</v>
      </c>
      <c r="C150" s="840" t="s">
        <v>37</v>
      </c>
      <c r="D150" s="842">
        <f>101*1.16/100</f>
        <v>1.1716</v>
      </c>
      <c r="E150" s="843">
        <f>E149*D150</f>
        <v>163.57879199999999</v>
      </c>
      <c r="F150" s="1125"/>
      <c r="G150" s="843">
        <f>E150*F150</f>
        <v>0</v>
      </c>
      <c r="H150" s="772"/>
      <c r="I150" s="772"/>
      <c r="J150" s="772"/>
      <c r="K150" s="772"/>
      <c r="L150" s="843">
        <f>G150+I150+K150</f>
        <v>0</v>
      </c>
    </row>
    <row r="151" spans="1:12" s="771" customFormat="1" ht="15" x14ac:dyDescent="0.25">
      <c r="A151" s="840"/>
      <c r="B151" s="841" t="s">
        <v>14</v>
      </c>
      <c r="C151" s="840" t="s">
        <v>15</v>
      </c>
      <c r="D151" s="842">
        <f>2.7/100</f>
        <v>2.7000000000000003E-2</v>
      </c>
      <c r="E151" s="842">
        <f>E149*D151</f>
        <v>3.7697400000000005</v>
      </c>
      <c r="F151" s="772"/>
      <c r="G151" s="772"/>
      <c r="H151" s="772"/>
      <c r="I151" s="772"/>
      <c r="J151" s="1121"/>
      <c r="K151" s="843">
        <f>E151*J151</f>
        <v>0</v>
      </c>
      <c r="L151" s="843">
        <f>G151+I151+K151</f>
        <v>0</v>
      </c>
    </row>
    <row r="152" spans="1:12" s="771" customFormat="1" ht="15" x14ac:dyDescent="0.25">
      <c r="A152" s="840"/>
      <c r="B152" s="841" t="s">
        <v>260</v>
      </c>
      <c r="C152" s="840" t="s">
        <v>132</v>
      </c>
      <c r="D152" s="842">
        <f>(0.26+2.12)*1.05/100</f>
        <v>2.4990000000000002E-2</v>
      </c>
      <c r="E152" s="842">
        <f>E149*D152</f>
        <v>3.4891038000000005</v>
      </c>
      <c r="F152" s="772"/>
      <c r="G152" s="772"/>
      <c r="H152" s="1134"/>
      <c r="I152" s="843">
        <f>E152*H152</f>
        <v>0</v>
      </c>
      <c r="J152" s="772"/>
      <c r="K152" s="381"/>
      <c r="L152" s="843">
        <f>G152+I152+K152</f>
        <v>0</v>
      </c>
    </row>
    <row r="153" spans="1:12" s="771" customFormat="1" ht="15" x14ac:dyDescent="0.25">
      <c r="A153" s="179"/>
      <c r="B153" s="723" t="s">
        <v>261</v>
      </c>
      <c r="C153" s="179" t="s">
        <v>134</v>
      </c>
      <c r="D153" s="179">
        <f>(4.1*1.15)/100</f>
        <v>4.7149999999999991E-2</v>
      </c>
      <c r="E153" s="770">
        <f>E149*D153</f>
        <v>6.5830829999999985</v>
      </c>
      <c r="F153" s="772"/>
      <c r="G153" s="381"/>
      <c r="H153" s="381"/>
      <c r="I153" s="381"/>
      <c r="J153" s="1121"/>
      <c r="K153" s="724">
        <f>E153*J153</f>
        <v>0</v>
      </c>
      <c r="L153" s="724">
        <f>G153+I153+K153</f>
        <v>0</v>
      </c>
    </row>
    <row r="154" spans="1:12" s="771" customFormat="1" ht="15" x14ac:dyDescent="0.25">
      <c r="A154" s="840"/>
      <c r="B154" s="841" t="s">
        <v>146</v>
      </c>
      <c r="C154" s="840" t="s">
        <v>15</v>
      </c>
      <c r="D154" s="842">
        <f>0.3/100</f>
        <v>3.0000000000000001E-3</v>
      </c>
      <c r="E154" s="842">
        <f>E149*D154</f>
        <v>0.41886000000000001</v>
      </c>
      <c r="F154" s="772"/>
      <c r="G154" s="772"/>
      <c r="H154" s="1121"/>
      <c r="I154" s="843">
        <f>E154*H154</f>
        <v>0</v>
      </c>
      <c r="J154" s="772"/>
      <c r="K154" s="381"/>
      <c r="L154" s="843">
        <f>G154+I154+K154</f>
        <v>0</v>
      </c>
    </row>
    <row r="155" spans="1:12" s="771" customFormat="1" ht="15" x14ac:dyDescent="0.25">
      <c r="A155" s="36">
        <v>6</v>
      </c>
      <c r="B155" s="33" t="s">
        <v>262</v>
      </c>
      <c r="C155" s="634" t="s">
        <v>145</v>
      </c>
      <c r="D155" s="634"/>
      <c r="E155" s="787">
        <f>(5.6*3)</f>
        <v>16.799999999999997</v>
      </c>
      <c r="F155" s="476"/>
      <c r="G155" s="36"/>
      <c r="H155" s="479"/>
      <c r="I155" s="479"/>
      <c r="J155" s="479"/>
      <c r="K155" s="479"/>
      <c r="L155" s="787"/>
    </row>
    <row r="156" spans="1:12" s="771" customFormat="1" ht="15" x14ac:dyDescent="0.25">
      <c r="A156" s="36"/>
      <c r="B156" s="474" t="s">
        <v>263</v>
      </c>
      <c r="C156" s="179" t="s">
        <v>37</v>
      </c>
      <c r="D156" s="724">
        <v>2.09</v>
      </c>
      <c r="E156" s="476">
        <f>E155*D156</f>
        <v>35.111999999999995</v>
      </c>
      <c r="F156" s="1125"/>
      <c r="G156" s="476">
        <f>E156*F156</f>
        <v>0</v>
      </c>
      <c r="H156" s="479"/>
      <c r="I156" s="479"/>
      <c r="J156" s="479"/>
      <c r="K156" s="479"/>
      <c r="L156" s="476">
        <f>G156+I156+K156</f>
        <v>0</v>
      </c>
    </row>
    <row r="157" spans="1:12" s="771" customFormat="1" ht="15" x14ac:dyDescent="0.25">
      <c r="A157" s="36"/>
      <c r="B157" s="474" t="s">
        <v>14</v>
      </c>
      <c r="C157" s="36" t="s">
        <v>15</v>
      </c>
      <c r="D157" s="476">
        <v>0.02</v>
      </c>
      <c r="E157" s="476">
        <f>E155*D157</f>
        <v>0.33599999999999997</v>
      </c>
      <c r="F157" s="479"/>
      <c r="G157" s="479"/>
      <c r="H157" s="479"/>
      <c r="I157" s="479"/>
      <c r="J157" s="1121"/>
      <c r="K157" s="476">
        <f>E157*J157</f>
        <v>0</v>
      </c>
      <c r="L157" s="476">
        <f>G157+I157+K157</f>
        <v>0</v>
      </c>
    </row>
    <row r="158" spans="1:12" s="771" customFormat="1" ht="15" x14ac:dyDescent="0.25">
      <c r="A158" s="36"/>
      <c r="B158" s="352" t="s">
        <v>227</v>
      </c>
      <c r="C158" s="36" t="s">
        <v>145</v>
      </c>
      <c r="D158" s="476">
        <v>1</v>
      </c>
      <c r="E158" s="476">
        <f>E155*D158</f>
        <v>16.799999999999997</v>
      </c>
      <c r="F158" s="479"/>
      <c r="G158" s="479"/>
      <c r="H158" s="1122"/>
      <c r="I158" s="476">
        <f>E158*H158</f>
        <v>0</v>
      </c>
      <c r="J158" s="479"/>
      <c r="K158" s="479"/>
      <c r="L158" s="476">
        <f>G158+I158+K158</f>
        <v>0</v>
      </c>
    </row>
    <row r="159" spans="1:12" s="771" customFormat="1" ht="15" x14ac:dyDescent="0.25">
      <c r="A159" s="36"/>
      <c r="B159" s="474" t="s">
        <v>264</v>
      </c>
      <c r="C159" s="36" t="s">
        <v>18</v>
      </c>
      <c r="D159" s="476">
        <v>5</v>
      </c>
      <c r="E159" s="476">
        <f>E155*D159</f>
        <v>83.999999999999986</v>
      </c>
      <c r="F159" s="479"/>
      <c r="G159" s="479"/>
      <c r="H159" s="1122"/>
      <c r="I159" s="476">
        <f>E159*H159</f>
        <v>0</v>
      </c>
      <c r="J159" s="479"/>
      <c r="K159" s="479"/>
      <c r="L159" s="476">
        <f>G159+I159+K159</f>
        <v>0</v>
      </c>
    </row>
    <row r="160" spans="1:12" s="771" customFormat="1" ht="15" x14ac:dyDescent="0.25">
      <c r="A160" s="179"/>
      <c r="B160" s="474" t="s">
        <v>146</v>
      </c>
      <c r="C160" s="179" t="s">
        <v>15</v>
      </c>
      <c r="D160" s="770">
        <v>7.0000000000000001E-3</v>
      </c>
      <c r="E160" s="724">
        <f>E155*D160</f>
        <v>0.11759999999999998</v>
      </c>
      <c r="F160" s="772"/>
      <c r="G160" s="772"/>
      <c r="H160" s="1121"/>
      <c r="I160" s="724">
        <f>E160*H160</f>
        <v>0</v>
      </c>
      <c r="J160" s="772"/>
      <c r="K160" s="772"/>
      <c r="L160" s="724">
        <f>G160+I160+K160</f>
        <v>0</v>
      </c>
    </row>
    <row r="161" spans="1:13" s="383" customFormat="1" ht="39" customHeight="1" x14ac:dyDescent="0.25">
      <c r="A161" s="347">
        <v>7</v>
      </c>
      <c r="B161" s="859" t="s">
        <v>181</v>
      </c>
      <c r="C161" s="347" t="s">
        <v>166</v>
      </c>
      <c r="D161" s="860"/>
      <c r="E161" s="861">
        <f>(E149-E155)+E145*0.15</f>
        <v>130.20000000000002</v>
      </c>
      <c r="F161" s="862"/>
      <c r="G161" s="862"/>
      <c r="H161" s="862"/>
      <c r="I161" s="862"/>
      <c r="J161" s="862"/>
      <c r="K161" s="862"/>
      <c r="L161" s="382"/>
      <c r="M161" s="278"/>
    </row>
    <row r="162" spans="1:13" s="383" customFormat="1" x14ac:dyDescent="0.25">
      <c r="A162" s="347"/>
      <c r="B162" s="384" t="s">
        <v>46</v>
      </c>
      <c r="C162" s="348" t="s">
        <v>29</v>
      </c>
      <c r="D162" s="351">
        <v>0.49980000000000002</v>
      </c>
      <c r="E162" s="385">
        <f>D162*E161</f>
        <v>65.073960000000014</v>
      </c>
      <c r="F162" s="1125"/>
      <c r="G162" s="386">
        <f>E162*F162</f>
        <v>0</v>
      </c>
      <c r="H162" s="387"/>
      <c r="I162" s="387"/>
      <c r="J162" s="386"/>
      <c r="K162" s="386"/>
      <c r="L162" s="382">
        <f t="shared" ref="L162:L167" si="12">G162+I162+K162</f>
        <v>0</v>
      </c>
      <c r="M162" s="278"/>
    </row>
    <row r="163" spans="1:13" s="394" customFormat="1" x14ac:dyDescent="0.25">
      <c r="A163" s="388"/>
      <c r="B163" s="389" t="s">
        <v>14</v>
      </c>
      <c r="C163" s="390" t="s">
        <v>15</v>
      </c>
      <c r="D163" s="391">
        <v>0.08</v>
      </c>
      <c r="E163" s="391">
        <f>E161*D163</f>
        <v>10.416000000000002</v>
      </c>
      <c r="F163" s="381"/>
      <c r="G163" s="381"/>
      <c r="H163" s="381"/>
      <c r="I163" s="381"/>
      <c r="J163" s="1121"/>
      <c r="K163" s="392">
        <f>E163*J163</f>
        <v>0</v>
      </c>
      <c r="L163" s="393">
        <f t="shared" si="12"/>
        <v>0</v>
      </c>
      <c r="M163" s="278"/>
    </row>
    <row r="164" spans="1:13" s="383" customFormat="1" x14ac:dyDescent="0.25">
      <c r="A164" s="347"/>
      <c r="B164" s="350" t="s">
        <v>177</v>
      </c>
      <c r="C164" s="348" t="s">
        <v>18</v>
      </c>
      <c r="D164" s="351">
        <v>1.6</v>
      </c>
      <c r="E164" s="351">
        <f>D164*E161</f>
        <v>208.32000000000005</v>
      </c>
      <c r="F164" s="387"/>
      <c r="G164" s="387"/>
      <c r="H164" s="1135"/>
      <c r="I164" s="386">
        <f>E164*H164</f>
        <v>0</v>
      </c>
      <c r="J164" s="386"/>
      <c r="K164" s="386"/>
      <c r="L164" s="382">
        <f t="shared" si="12"/>
        <v>0</v>
      </c>
      <c r="M164" s="278"/>
    </row>
    <row r="165" spans="1:13" s="383" customFormat="1" ht="15.75" x14ac:dyDescent="0.25">
      <c r="A165" s="347"/>
      <c r="B165" s="350" t="s">
        <v>178</v>
      </c>
      <c r="C165" s="348" t="s">
        <v>31</v>
      </c>
      <c r="D165" s="349">
        <v>2.7E-2</v>
      </c>
      <c r="E165" s="351">
        <f>D165*E161</f>
        <v>3.5154000000000005</v>
      </c>
      <c r="F165" s="387"/>
      <c r="G165" s="387"/>
      <c r="H165" s="1135"/>
      <c r="I165" s="386">
        <f>E165*H165</f>
        <v>0</v>
      </c>
      <c r="J165" s="386"/>
      <c r="K165" s="386"/>
      <c r="L165" s="382">
        <f t="shared" si="12"/>
        <v>0</v>
      </c>
      <c r="M165" s="278"/>
    </row>
    <row r="166" spans="1:13" s="383" customFormat="1" x14ac:dyDescent="0.25">
      <c r="A166" s="347"/>
      <c r="B166" s="350" t="s">
        <v>179</v>
      </c>
      <c r="C166" s="348" t="s">
        <v>18</v>
      </c>
      <c r="D166" s="351">
        <v>0.15</v>
      </c>
      <c r="E166" s="351">
        <f>D166*E161</f>
        <v>19.53</v>
      </c>
      <c r="F166" s="387"/>
      <c r="G166" s="387"/>
      <c r="H166" s="1135"/>
      <c r="I166" s="386">
        <f>E166*H166</f>
        <v>0</v>
      </c>
      <c r="J166" s="386"/>
      <c r="K166" s="386"/>
      <c r="L166" s="382">
        <f t="shared" si="12"/>
        <v>0</v>
      </c>
      <c r="M166" s="278"/>
    </row>
    <row r="167" spans="1:13" s="399" customFormat="1" ht="14.25" thickBot="1" x14ac:dyDescent="0.3">
      <c r="A167" s="481"/>
      <c r="B167" s="482" t="s">
        <v>146</v>
      </c>
      <c r="C167" s="483" t="s">
        <v>15</v>
      </c>
      <c r="D167" s="483">
        <v>4.1999999999999997E-3</v>
      </c>
      <c r="E167" s="484">
        <f>E161*D167</f>
        <v>0.54683999999999999</v>
      </c>
      <c r="F167" s="485"/>
      <c r="G167" s="485"/>
      <c r="H167" s="1136"/>
      <c r="I167" s="484">
        <f>E167*H167</f>
        <v>0</v>
      </c>
      <c r="J167" s="484"/>
      <c r="K167" s="484"/>
      <c r="L167" s="486">
        <f t="shared" si="12"/>
        <v>0</v>
      </c>
      <c r="M167" s="278"/>
    </row>
    <row r="168" spans="1:13" s="869" customFormat="1" ht="15.75" x14ac:dyDescent="0.25">
      <c r="A168" s="863">
        <v>8</v>
      </c>
      <c r="B168" s="864" t="s">
        <v>273</v>
      </c>
      <c r="C168" s="865" t="s">
        <v>166</v>
      </c>
      <c r="D168" s="866"/>
      <c r="E168" s="867">
        <f>E161</f>
        <v>130.20000000000002</v>
      </c>
      <c r="F168" s="867"/>
      <c r="G168" s="867"/>
      <c r="H168" s="867"/>
      <c r="I168" s="867"/>
      <c r="J168" s="867"/>
      <c r="K168" s="867"/>
      <c r="L168" s="868"/>
      <c r="M168" s="278"/>
    </row>
    <row r="169" spans="1:13" s="399" customFormat="1" x14ac:dyDescent="0.25">
      <c r="A169" s="492"/>
      <c r="B169" s="395" t="s">
        <v>36</v>
      </c>
      <c r="C169" s="396" t="s">
        <v>17</v>
      </c>
      <c r="D169" s="396">
        <v>0.51</v>
      </c>
      <c r="E169" s="397">
        <f>E168*D169</f>
        <v>66.402000000000015</v>
      </c>
      <c r="F169" s="1125"/>
      <c r="G169" s="397">
        <f>E169*F169</f>
        <v>0</v>
      </c>
      <c r="H169" s="398"/>
      <c r="I169" s="398"/>
      <c r="J169" s="397"/>
      <c r="K169" s="397"/>
      <c r="L169" s="467">
        <f>G169+I169+K169</f>
        <v>0</v>
      </c>
      <c r="M169" s="278"/>
    </row>
    <row r="170" spans="1:13" s="399" customFormat="1" x14ac:dyDescent="0.25">
      <c r="A170" s="492"/>
      <c r="B170" s="395" t="s">
        <v>48</v>
      </c>
      <c r="C170" s="396" t="s">
        <v>15</v>
      </c>
      <c r="D170" s="396">
        <v>1.4E-3</v>
      </c>
      <c r="E170" s="397">
        <f>E168*D170</f>
        <v>0.18228000000000003</v>
      </c>
      <c r="F170" s="397"/>
      <c r="G170" s="397"/>
      <c r="H170" s="397"/>
      <c r="I170" s="397"/>
      <c r="J170" s="1121"/>
      <c r="K170" s="397">
        <f>E170*J170</f>
        <v>0</v>
      </c>
      <c r="L170" s="467">
        <f>G170+I170+K170</f>
        <v>0</v>
      </c>
      <c r="M170" s="278"/>
    </row>
    <row r="171" spans="1:13" s="399" customFormat="1" x14ac:dyDescent="0.25">
      <c r="A171" s="492"/>
      <c r="B171" s="395" t="s">
        <v>271</v>
      </c>
      <c r="C171" s="396" t="s">
        <v>18</v>
      </c>
      <c r="D171" s="396">
        <v>0.69</v>
      </c>
      <c r="E171" s="397">
        <f>E168*D171</f>
        <v>89.838000000000008</v>
      </c>
      <c r="F171" s="398"/>
      <c r="G171" s="398"/>
      <c r="H171" s="1137"/>
      <c r="I171" s="397">
        <f>E171*H171</f>
        <v>0</v>
      </c>
      <c r="J171" s="397"/>
      <c r="K171" s="397"/>
      <c r="L171" s="467">
        <f>G171+I171+K171</f>
        <v>0</v>
      </c>
      <c r="M171" s="278"/>
    </row>
    <row r="172" spans="1:13" s="399" customFormat="1" ht="14.25" thickBot="1" x14ac:dyDescent="0.3">
      <c r="A172" s="468"/>
      <c r="B172" s="489" t="s">
        <v>42</v>
      </c>
      <c r="C172" s="470" t="s">
        <v>15</v>
      </c>
      <c r="D172" s="470">
        <v>6.0000000000000001E-3</v>
      </c>
      <c r="E172" s="471">
        <f>E168*D172</f>
        <v>0.78120000000000012</v>
      </c>
      <c r="F172" s="490"/>
      <c r="G172" s="490"/>
      <c r="H172" s="1138"/>
      <c r="I172" s="471">
        <f>E172*H172</f>
        <v>0</v>
      </c>
      <c r="J172" s="471"/>
      <c r="K172" s="471"/>
      <c r="L172" s="473">
        <f>G172+I172+K172</f>
        <v>0</v>
      </c>
      <c r="M172" s="278"/>
    </row>
    <row r="173" spans="1:13" s="876" customFormat="1" ht="27" x14ac:dyDescent="0.25">
      <c r="A173" s="870">
        <v>9</v>
      </c>
      <c r="B173" s="871" t="s">
        <v>304</v>
      </c>
      <c r="C173" s="865" t="s">
        <v>166</v>
      </c>
      <c r="D173" s="872"/>
      <c r="E173" s="872">
        <f>E140-20-20</f>
        <v>84</v>
      </c>
      <c r="F173" s="873"/>
      <c r="G173" s="873"/>
      <c r="H173" s="874"/>
      <c r="I173" s="740"/>
      <c r="J173" s="873"/>
      <c r="K173" s="873"/>
      <c r="L173" s="875"/>
      <c r="M173" s="278"/>
    </row>
    <row r="174" spans="1:13" s="478" customFormat="1" ht="15.75" x14ac:dyDescent="0.25">
      <c r="A174" s="487"/>
      <c r="B174" s="474" t="s">
        <v>263</v>
      </c>
      <c r="C174" s="36" t="s">
        <v>37</v>
      </c>
      <c r="D174" s="475">
        <v>0.74099999999999999</v>
      </c>
      <c r="E174" s="475">
        <f>E173*D174</f>
        <v>62.244</v>
      </c>
      <c r="F174" s="1125"/>
      <c r="G174" s="477">
        <f>E174*F174</f>
        <v>0</v>
      </c>
      <c r="H174" s="480"/>
      <c r="I174" s="480"/>
      <c r="J174" s="477"/>
      <c r="K174" s="477"/>
      <c r="L174" s="488">
        <f t="shared" ref="L174:L179" si="13">G174+I174+K174</f>
        <v>0</v>
      </c>
      <c r="M174" s="278"/>
    </row>
    <row r="175" spans="1:13" s="478" customFormat="1" ht="15.75" x14ac:dyDescent="0.25">
      <c r="A175" s="487"/>
      <c r="B175" s="474" t="s">
        <v>253</v>
      </c>
      <c r="C175" s="36" t="s">
        <v>15</v>
      </c>
      <c r="D175" s="475">
        <v>1.7000000000000001E-2</v>
      </c>
      <c r="E175" s="475">
        <f>E173*D175</f>
        <v>1.4280000000000002</v>
      </c>
      <c r="F175" s="479"/>
      <c r="G175" s="477"/>
      <c r="H175" s="477"/>
      <c r="I175" s="477"/>
      <c r="J175" s="1122"/>
      <c r="K175" s="476">
        <f>E175*J175</f>
        <v>0</v>
      </c>
      <c r="L175" s="488">
        <f t="shared" si="13"/>
        <v>0</v>
      </c>
      <c r="M175" s="278"/>
    </row>
    <row r="176" spans="1:13" s="478" customFormat="1" ht="15.75" x14ac:dyDescent="0.25">
      <c r="A176" s="487"/>
      <c r="B176" s="474" t="s">
        <v>303</v>
      </c>
      <c r="C176" s="36" t="s">
        <v>145</v>
      </c>
      <c r="D176" s="475">
        <v>1.01</v>
      </c>
      <c r="E176" s="475">
        <f>E173*D176</f>
        <v>84.84</v>
      </c>
      <c r="F176" s="480"/>
      <c r="G176" s="480"/>
      <c r="H176" s="1139"/>
      <c r="I176" s="477">
        <f>E176*H176</f>
        <v>0</v>
      </c>
      <c r="J176" s="477"/>
      <c r="K176" s="477"/>
      <c r="L176" s="488">
        <f t="shared" si="13"/>
        <v>0</v>
      </c>
      <c r="M176" s="278"/>
    </row>
    <row r="177" spans="1:13" s="478" customFormat="1" ht="15.75" x14ac:dyDescent="0.25">
      <c r="A177" s="487"/>
      <c r="B177" s="474" t="s">
        <v>302</v>
      </c>
      <c r="C177" s="36" t="s">
        <v>145</v>
      </c>
      <c r="D177" s="475">
        <v>1.05</v>
      </c>
      <c r="E177" s="475">
        <f>E173*D177</f>
        <v>88.2</v>
      </c>
      <c r="F177" s="480"/>
      <c r="G177" s="480"/>
      <c r="H177" s="1139"/>
      <c r="I177" s="477">
        <f>E177*H177</f>
        <v>0</v>
      </c>
      <c r="J177" s="477"/>
      <c r="K177" s="477"/>
      <c r="L177" s="488">
        <f t="shared" si="13"/>
        <v>0</v>
      </c>
      <c r="M177" s="278"/>
    </row>
    <row r="178" spans="1:13" s="771" customFormat="1" ht="15" x14ac:dyDescent="0.25">
      <c r="A178" s="877"/>
      <c r="B178" s="474" t="s">
        <v>264</v>
      </c>
      <c r="C178" s="36" t="s">
        <v>18</v>
      </c>
      <c r="D178" s="476">
        <v>5</v>
      </c>
      <c r="E178" s="476">
        <f>E173*D178</f>
        <v>420</v>
      </c>
      <c r="F178" s="479"/>
      <c r="G178" s="479"/>
      <c r="H178" s="1122"/>
      <c r="I178" s="476">
        <f>E178*H178</f>
        <v>0</v>
      </c>
      <c r="J178" s="479"/>
      <c r="K178" s="479"/>
      <c r="L178" s="488">
        <f t="shared" si="13"/>
        <v>0</v>
      </c>
    </row>
    <row r="179" spans="1:13" s="399" customFormat="1" ht="14.25" thickBot="1" x14ac:dyDescent="0.3">
      <c r="A179" s="468"/>
      <c r="B179" s="489" t="s">
        <v>42</v>
      </c>
      <c r="C179" s="470" t="s">
        <v>15</v>
      </c>
      <c r="D179" s="470">
        <v>6.0000000000000001E-3</v>
      </c>
      <c r="E179" s="471">
        <f>E173*D179</f>
        <v>0.504</v>
      </c>
      <c r="F179" s="490"/>
      <c r="G179" s="490"/>
      <c r="H179" s="1138"/>
      <c r="I179" s="471">
        <f>E179*H179</f>
        <v>0</v>
      </c>
      <c r="J179" s="471"/>
      <c r="K179" s="471"/>
      <c r="L179" s="491">
        <f t="shared" si="13"/>
        <v>0</v>
      </c>
      <c r="M179" s="278"/>
    </row>
    <row r="180" spans="1:13" s="429" customFormat="1" ht="25.5" customHeight="1" x14ac:dyDescent="0.25">
      <c r="A180" s="878">
        <v>10</v>
      </c>
      <c r="B180" s="879" t="s">
        <v>194</v>
      </c>
      <c r="C180" s="878" t="s">
        <v>226</v>
      </c>
      <c r="D180" s="880"/>
      <c r="E180" s="881">
        <f>E140-20</f>
        <v>104</v>
      </c>
      <c r="F180" s="882"/>
      <c r="G180" s="882"/>
      <c r="H180" s="883"/>
      <c r="I180" s="883"/>
      <c r="J180" s="883"/>
      <c r="K180" s="883"/>
      <c r="L180" s="883"/>
    </row>
    <row r="181" spans="1:13" s="429" customFormat="1" x14ac:dyDescent="0.25">
      <c r="A181" s="425"/>
      <c r="B181" s="426" t="s">
        <v>46</v>
      </c>
      <c r="C181" s="200" t="s">
        <v>17</v>
      </c>
      <c r="D181" s="434">
        <v>1</v>
      </c>
      <c r="E181" s="423">
        <f>D181*E180</f>
        <v>104</v>
      </c>
      <c r="F181" s="1125"/>
      <c r="G181" s="428">
        <f>E181*F181</f>
        <v>0</v>
      </c>
      <c r="H181" s="433"/>
      <c r="I181" s="433"/>
      <c r="J181" s="428"/>
      <c r="K181" s="428"/>
      <c r="L181" s="428">
        <f>G181+I181+K181</f>
        <v>0</v>
      </c>
    </row>
    <row r="182" spans="1:13" s="429" customFormat="1" x14ac:dyDescent="0.25">
      <c r="A182" s="425"/>
      <c r="B182" s="350" t="s">
        <v>269</v>
      </c>
      <c r="C182" s="200" t="s">
        <v>18</v>
      </c>
      <c r="D182" s="434">
        <v>6</v>
      </c>
      <c r="E182" s="434">
        <f>D182*E180</f>
        <v>624</v>
      </c>
      <c r="F182" s="433"/>
      <c r="G182" s="433"/>
      <c r="H182" s="1140"/>
      <c r="I182" s="428">
        <f>H182*E182</f>
        <v>0</v>
      </c>
      <c r="J182" s="428"/>
      <c r="K182" s="428"/>
      <c r="L182" s="428">
        <f>G182+I182+K182</f>
        <v>0</v>
      </c>
    </row>
    <row r="183" spans="1:13" s="429" customFormat="1" ht="15" x14ac:dyDescent="0.25">
      <c r="A183" s="425"/>
      <c r="B183" s="435" t="s">
        <v>190</v>
      </c>
      <c r="C183" s="200" t="s">
        <v>220</v>
      </c>
      <c r="D183" s="427">
        <v>0</v>
      </c>
      <c r="E183" s="434">
        <f>D183*E180</f>
        <v>0</v>
      </c>
      <c r="F183" s="433"/>
      <c r="G183" s="433"/>
      <c r="H183" s="1140"/>
      <c r="I183" s="428">
        <f>H183*E183</f>
        <v>0</v>
      </c>
      <c r="J183" s="428"/>
      <c r="K183" s="428"/>
      <c r="L183" s="428">
        <f>G183+I183+K183</f>
        <v>0</v>
      </c>
    </row>
    <row r="184" spans="1:13" s="429" customFormat="1" x14ac:dyDescent="0.25">
      <c r="A184" s="425"/>
      <c r="B184" s="435" t="s">
        <v>179</v>
      </c>
      <c r="C184" s="200" t="s">
        <v>18</v>
      </c>
      <c r="D184" s="434">
        <v>0.15</v>
      </c>
      <c r="E184" s="434">
        <f>D184*E180</f>
        <v>15.6</v>
      </c>
      <c r="F184" s="433"/>
      <c r="G184" s="433"/>
      <c r="H184" s="1135"/>
      <c r="I184" s="428">
        <f>H184*E184</f>
        <v>0</v>
      </c>
      <c r="J184" s="428"/>
      <c r="K184" s="428"/>
      <c r="L184" s="428">
        <f>G184+I184+K184</f>
        <v>0</v>
      </c>
    </row>
    <row r="185" spans="1:13" s="429" customFormat="1" x14ac:dyDescent="0.25">
      <c r="A185" s="425"/>
      <c r="B185" s="426" t="s">
        <v>16</v>
      </c>
      <c r="C185" s="200" t="s">
        <v>15</v>
      </c>
      <c r="D185" s="427">
        <v>0</v>
      </c>
      <c r="E185" s="434">
        <f>D185*E180</f>
        <v>0</v>
      </c>
      <c r="F185" s="433"/>
      <c r="G185" s="433"/>
      <c r="H185" s="1121"/>
      <c r="I185" s="428">
        <f>H185*E185</f>
        <v>0</v>
      </c>
      <c r="J185" s="428"/>
      <c r="K185" s="428"/>
      <c r="L185" s="428">
        <f>G185+I185+K185</f>
        <v>0</v>
      </c>
    </row>
    <row r="186" spans="1:13" s="890" customFormat="1" ht="27" x14ac:dyDescent="0.25">
      <c r="A186" s="436">
        <v>11</v>
      </c>
      <c r="B186" s="884" t="s">
        <v>272</v>
      </c>
      <c r="C186" s="436" t="s">
        <v>145</v>
      </c>
      <c r="D186" s="885"/>
      <c r="E186" s="885">
        <f>E180</f>
        <v>104</v>
      </c>
      <c r="F186" s="886"/>
      <c r="G186" s="887"/>
      <c r="H186" s="888"/>
      <c r="I186" s="889"/>
      <c r="J186" s="886"/>
      <c r="K186" s="887"/>
      <c r="L186" s="888"/>
    </row>
    <row r="187" spans="1:13" s="442" customFormat="1" x14ac:dyDescent="0.25">
      <c r="A187" s="436"/>
      <c r="B187" s="438" t="s">
        <v>107</v>
      </c>
      <c r="C187" s="437" t="s">
        <v>17</v>
      </c>
      <c r="D187" s="439">
        <v>1</v>
      </c>
      <c r="E187" s="439">
        <f>E186*D187</f>
        <v>104</v>
      </c>
      <c r="F187" s="1125"/>
      <c r="G187" s="428">
        <f>E187*F187</f>
        <v>0</v>
      </c>
      <c r="H187" s="437"/>
      <c r="I187" s="437"/>
      <c r="J187" s="428"/>
      <c r="K187" s="440"/>
      <c r="L187" s="441">
        <f t="shared" ref="L187:L192" si="14">G187+I187+K187</f>
        <v>0</v>
      </c>
    </row>
    <row r="188" spans="1:13" s="442" customFormat="1" x14ac:dyDescent="0.25">
      <c r="A188" s="436"/>
      <c r="B188" s="438" t="s">
        <v>14</v>
      </c>
      <c r="C188" s="437" t="s">
        <v>15</v>
      </c>
      <c r="D188" s="439">
        <f>0.7/100</f>
        <v>6.9999999999999993E-3</v>
      </c>
      <c r="E188" s="439">
        <f>E186*D188</f>
        <v>0.72799999999999998</v>
      </c>
      <c r="F188" s="443"/>
      <c r="G188" s="440"/>
      <c r="H188" s="428"/>
      <c r="I188" s="428"/>
      <c r="J188" s="1121"/>
      <c r="K188" s="444">
        <f>E188*J188</f>
        <v>0</v>
      </c>
      <c r="L188" s="441">
        <f t="shared" si="14"/>
        <v>0</v>
      </c>
    </row>
    <row r="189" spans="1:13" s="442" customFormat="1" ht="12.75" x14ac:dyDescent="0.25">
      <c r="A189" s="436"/>
      <c r="B189" s="445" t="s">
        <v>270</v>
      </c>
      <c r="C189" s="437" t="s">
        <v>18</v>
      </c>
      <c r="D189" s="439">
        <v>0.69</v>
      </c>
      <c r="E189" s="439">
        <f>E186*D189</f>
        <v>71.759999999999991</v>
      </c>
      <c r="F189" s="437"/>
      <c r="G189" s="437"/>
      <c r="H189" s="1141"/>
      <c r="I189" s="444">
        <f>E189*H189</f>
        <v>0</v>
      </c>
      <c r="J189" s="446"/>
      <c r="K189" s="440"/>
      <c r="L189" s="441">
        <f t="shared" si="14"/>
        <v>0</v>
      </c>
    </row>
    <row r="190" spans="1:13" s="442" customFormat="1" ht="12.75" x14ac:dyDescent="0.25">
      <c r="A190" s="436"/>
      <c r="B190" s="438" t="s">
        <v>169</v>
      </c>
      <c r="C190" s="437" t="s">
        <v>18</v>
      </c>
      <c r="D190" s="439">
        <v>0.12</v>
      </c>
      <c r="E190" s="439">
        <f>E186*D190</f>
        <v>12.48</v>
      </c>
      <c r="F190" s="437"/>
      <c r="G190" s="437"/>
      <c r="H190" s="1140"/>
      <c r="I190" s="440">
        <f>E190*H190</f>
        <v>0</v>
      </c>
      <c r="J190" s="446"/>
      <c r="K190" s="440"/>
      <c r="L190" s="441">
        <f t="shared" si="14"/>
        <v>0</v>
      </c>
    </row>
    <row r="191" spans="1:13" s="442" customFormat="1" ht="12.75" x14ac:dyDescent="0.25">
      <c r="A191" s="436"/>
      <c r="B191" s="438" t="s">
        <v>170</v>
      </c>
      <c r="C191" s="437" t="s">
        <v>18</v>
      </c>
      <c r="D191" s="447">
        <v>0.15</v>
      </c>
      <c r="E191" s="439">
        <f>E186*D191</f>
        <v>15.6</v>
      </c>
      <c r="F191" s="437"/>
      <c r="G191" s="437"/>
      <c r="H191" s="1142"/>
      <c r="I191" s="440">
        <f>E191*H191</f>
        <v>0</v>
      </c>
      <c r="J191" s="446"/>
      <c r="K191" s="440"/>
      <c r="L191" s="441">
        <f t="shared" si="14"/>
        <v>0</v>
      </c>
    </row>
    <row r="192" spans="1:13" s="442" customFormat="1" x14ac:dyDescent="0.25">
      <c r="A192" s="436"/>
      <c r="B192" s="438" t="s">
        <v>146</v>
      </c>
      <c r="C192" s="437" t="s">
        <v>15</v>
      </c>
      <c r="D192" s="447">
        <v>3.3999999999999998E-3</v>
      </c>
      <c r="E192" s="439">
        <f>E186*D192</f>
        <v>0.35359999999999997</v>
      </c>
      <c r="F192" s="437"/>
      <c r="G192" s="437"/>
      <c r="H192" s="1121"/>
      <c r="I192" s="440">
        <f>E192*H192</f>
        <v>0</v>
      </c>
      <c r="J192" s="446"/>
      <c r="K192" s="440"/>
      <c r="L192" s="441">
        <f t="shared" si="14"/>
        <v>0</v>
      </c>
    </row>
    <row r="193" spans="1:13" s="379" customFormat="1" ht="20.25" customHeight="1" x14ac:dyDescent="0.25">
      <c r="A193" s="344"/>
      <c r="B193" s="187" t="s">
        <v>228</v>
      </c>
      <c r="C193" s="375"/>
      <c r="D193" s="375"/>
      <c r="E193" s="376"/>
      <c r="F193" s="363"/>
      <c r="G193" s="400"/>
      <c r="H193" s="400"/>
      <c r="I193" s="400"/>
      <c r="J193" s="400"/>
      <c r="K193" s="400"/>
      <c r="L193" s="400"/>
      <c r="M193" s="278"/>
    </row>
    <row r="194" spans="1:13" s="771" customFormat="1" ht="27" x14ac:dyDescent="0.25">
      <c r="A194" s="849">
        <v>1</v>
      </c>
      <c r="B194" s="848" t="s">
        <v>274</v>
      </c>
      <c r="C194" s="849" t="s">
        <v>256</v>
      </c>
      <c r="D194" s="849"/>
      <c r="E194" s="851">
        <f>9.45+3.51+7.08+19.05</f>
        <v>39.090000000000003</v>
      </c>
      <c r="F194" s="852"/>
      <c r="G194" s="852"/>
      <c r="H194" s="853"/>
      <c r="I194" s="847"/>
      <c r="J194" s="852"/>
      <c r="K194" s="852"/>
      <c r="L194" s="851"/>
    </row>
    <row r="195" spans="1:13" s="771" customFormat="1" ht="15" x14ac:dyDescent="0.25">
      <c r="A195" s="835"/>
      <c r="B195" s="891" t="s">
        <v>263</v>
      </c>
      <c r="C195" s="835" t="s">
        <v>37</v>
      </c>
      <c r="D195" s="815">
        <v>1.53</v>
      </c>
      <c r="E195" s="892">
        <f>E194*D195</f>
        <v>59.807700000000004</v>
      </c>
      <c r="F195" s="1125"/>
      <c r="G195" s="815">
        <f>E195*F195</f>
        <v>0</v>
      </c>
      <c r="H195" s="857"/>
      <c r="I195" s="857"/>
      <c r="J195" s="857"/>
      <c r="K195" s="857"/>
      <c r="L195" s="815">
        <f>G195+I195+K195</f>
        <v>0</v>
      </c>
    </row>
    <row r="196" spans="1:13" s="771" customFormat="1" ht="15" x14ac:dyDescent="0.25">
      <c r="A196" s="835"/>
      <c r="B196" s="891" t="s">
        <v>14</v>
      </c>
      <c r="C196" s="835" t="s">
        <v>15</v>
      </c>
      <c r="D196" s="892">
        <v>4.2999999999999997E-2</v>
      </c>
      <c r="E196" s="892">
        <f>E194*D196</f>
        <v>1.6808700000000001</v>
      </c>
      <c r="F196" s="839"/>
      <c r="G196" s="857"/>
      <c r="H196" s="857"/>
      <c r="I196" s="857"/>
      <c r="J196" s="1125"/>
      <c r="K196" s="815">
        <f>E196*J196</f>
        <v>0</v>
      </c>
      <c r="L196" s="815">
        <f>G196+I196+K196</f>
        <v>0</v>
      </c>
    </row>
    <row r="197" spans="1:13" s="771" customFormat="1" ht="15" x14ac:dyDescent="0.25">
      <c r="A197" s="847"/>
      <c r="B197" s="893" t="s">
        <v>275</v>
      </c>
      <c r="C197" s="847" t="s">
        <v>145</v>
      </c>
      <c r="D197" s="853">
        <v>1.05</v>
      </c>
      <c r="E197" s="894">
        <f>E194*D197</f>
        <v>41.044500000000006</v>
      </c>
      <c r="F197" s="852"/>
      <c r="G197" s="895"/>
      <c r="H197" s="1143"/>
      <c r="I197" s="853">
        <f>E197*H197</f>
        <v>0</v>
      </c>
      <c r="J197" s="895"/>
      <c r="K197" s="895"/>
      <c r="L197" s="853">
        <f>G197+I197+K197</f>
        <v>0</v>
      </c>
    </row>
    <row r="198" spans="1:13" s="771" customFormat="1" ht="15" x14ac:dyDescent="0.25">
      <c r="A198" s="835"/>
      <c r="B198" s="891" t="s">
        <v>146</v>
      </c>
      <c r="C198" s="835" t="s">
        <v>15</v>
      </c>
      <c r="D198" s="892">
        <v>6.4000000000000001E-2</v>
      </c>
      <c r="E198" s="892">
        <f>E194*D198</f>
        <v>2.5017600000000004</v>
      </c>
      <c r="F198" s="896"/>
      <c r="G198" s="897"/>
      <c r="H198" s="1125"/>
      <c r="I198" s="815">
        <f>E198*H198</f>
        <v>0</v>
      </c>
      <c r="J198" s="857"/>
      <c r="K198" s="857"/>
      <c r="L198" s="815">
        <f>G198+I198+K198</f>
        <v>0</v>
      </c>
    </row>
    <row r="199" spans="1:13" s="95" customFormat="1" ht="15.75" x14ac:dyDescent="0.25">
      <c r="A199" s="27">
        <v>2</v>
      </c>
      <c r="B199" s="33" t="s">
        <v>209</v>
      </c>
      <c r="C199" s="347" t="s">
        <v>166</v>
      </c>
      <c r="D199" s="27"/>
      <c r="E199" s="851">
        <f>9.45+3.51+7.08+19.05</f>
        <v>39.090000000000003</v>
      </c>
      <c r="F199" s="30"/>
      <c r="G199" s="30"/>
      <c r="H199" s="30"/>
      <c r="I199" s="30"/>
      <c r="J199" s="30"/>
      <c r="K199" s="30"/>
      <c r="L199" s="18"/>
      <c r="M199" s="278"/>
    </row>
    <row r="200" spans="1:13" s="80" customFormat="1" x14ac:dyDescent="0.25">
      <c r="A200" s="27"/>
      <c r="B200" s="39" t="s">
        <v>36</v>
      </c>
      <c r="C200" s="34" t="s">
        <v>17</v>
      </c>
      <c r="D200" s="34">
        <v>1</v>
      </c>
      <c r="E200" s="25">
        <f>E199*D200</f>
        <v>39.090000000000003</v>
      </c>
      <c r="F200" s="1125"/>
      <c r="G200" s="25">
        <f>E200*F200</f>
        <v>0</v>
      </c>
      <c r="H200" s="402"/>
      <c r="I200" s="402"/>
      <c r="J200" s="25"/>
      <c r="K200" s="25"/>
      <c r="L200" s="18">
        <f>G200+I200+K200</f>
        <v>0</v>
      </c>
      <c r="M200" s="278"/>
    </row>
    <row r="201" spans="1:13" s="80" customFormat="1" x14ac:dyDescent="0.25">
      <c r="A201" s="27"/>
      <c r="B201" s="39" t="s">
        <v>40</v>
      </c>
      <c r="C201" s="34" t="s">
        <v>15</v>
      </c>
      <c r="D201" s="34">
        <f>0.95/100+0.23/100*2</f>
        <v>1.41E-2</v>
      </c>
      <c r="E201" s="403">
        <f>E199*D201</f>
        <v>0.55116900000000002</v>
      </c>
      <c r="F201" s="25"/>
      <c r="G201" s="25"/>
      <c r="H201" s="25"/>
      <c r="I201" s="25"/>
      <c r="J201" s="1125"/>
      <c r="K201" s="25">
        <f>E201*J201</f>
        <v>0</v>
      </c>
      <c r="L201" s="18">
        <f>G201+I201+K201</f>
        <v>0</v>
      </c>
      <c r="M201" s="278"/>
    </row>
    <row r="202" spans="1:13" s="80" customFormat="1" x14ac:dyDescent="0.25">
      <c r="A202" s="27"/>
      <c r="B202" s="893" t="s">
        <v>276</v>
      </c>
      <c r="C202" s="34" t="s">
        <v>10</v>
      </c>
      <c r="D202" s="34">
        <v>0.04</v>
      </c>
      <c r="E202" s="25">
        <f>E199*D202</f>
        <v>1.5636000000000001</v>
      </c>
      <c r="F202" s="402"/>
      <c r="G202" s="402"/>
      <c r="H202" s="1134"/>
      <c r="I202" s="25">
        <f>E202*H202</f>
        <v>0</v>
      </c>
      <c r="J202" s="25"/>
      <c r="K202" s="25"/>
      <c r="L202" s="18">
        <f>G202+I202+K202</f>
        <v>0</v>
      </c>
      <c r="M202" s="278"/>
    </row>
    <row r="203" spans="1:13" s="80" customFormat="1" ht="14.25" thickBot="1" x14ac:dyDescent="0.3">
      <c r="A203" s="454"/>
      <c r="B203" s="455" t="s">
        <v>42</v>
      </c>
      <c r="C203" s="346" t="s">
        <v>15</v>
      </c>
      <c r="D203" s="346">
        <v>6.3600000000000004E-2</v>
      </c>
      <c r="E203" s="456">
        <f>E199*D203</f>
        <v>2.4861240000000002</v>
      </c>
      <c r="F203" s="457"/>
      <c r="G203" s="457"/>
      <c r="H203" s="1125"/>
      <c r="I203" s="458">
        <f>E203*H203</f>
        <v>0</v>
      </c>
      <c r="J203" s="456"/>
      <c r="K203" s="456"/>
      <c r="L203" s="186">
        <f>G203+I203+K203</f>
        <v>0</v>
      </c>
      <c r="M203" s="278"/>
    </row>
    <row r="204" spans="1:13" s="769" customFormat="1" ht="30" customHeight="1" x14ac:dyDescent="0.25">
      <c r="A204" s="898">
        <v>3</v>
      </c>
      <c r="B204" s="899" t="s">
        <v>277</v>
      </c>
      <c r="C204" s="900" t="s">
        <v>166</v>
      </c>
      <c r="D204" s="901"/>
      <c r="E204" s="902">
        <f>9.45+3.51+7.08+19.05</f>
        <v>39.090000000000003</v>
      </c>
      <c r="F204" s="903"/>
      <c r="G204" s="904"/>
      <c r="H204" s="903"/>
      <c r="I204" s="903"/>
      <c r="J204" s="903"/>
      <c r="K204" s="905"/>
      <c r="L204" s="906"/>
    </row>
    <row r="205" spans="1:13" s="771" customFormat="1" ht="15" x14ac:dyDescent="0.25">
      <c r="A205" s="907"/>
      <c r="B205" s="908" t="s">
        <v>214</v>
      </c>
      <c r="C205" s="19" t="s">
        <v>37</v>
      </c>
      <c r="D205" s="179">
        <v>3.86</v>
      </c>
      <c r="E205" s="724">
        <f>E204*D205</f>
        <v>150.88740000000001</v>
      </c>
      <c r="F205" s="1126"/>
      <c r="G205" s="448">
        <f>E205*F205</f>
        <v>0</v>
      </c>
      <c r="H205" s="448"/>
      <c r="I205" s="448"/>
      <c r="J205" s="448"/>
      <c r="K205" s="449"/>
      <c r="L205" s="459">
        <f>G205+I205+K205</f>
        <v>0</v>
      </c>
    </row>
    <row r="206" spans="1:13" s="771" customFormat="1" ht="15" x14ac:dyDescent="0.25">
      <c r="A206" s="907"/>
      <c r="B206" s="908" t="s">
        <v>14</v>
      </c>
      <c r="C206" s="737" t="s">
        <v>15</v>
      </c>
      <c r="D206" s="737">
        <v>3.5999999999999997E-2</v>
      </c>
      <c r="E206" s="909">
        <f>D206*E204</f>
        <v>1.40724</v>
      </c>
      <c r="F206" s="448"/>
      <c r="G206" s="448"/>
      <c r="H206" s="448"/>
      <c r="I206" s="448"/>
      <c r="J206" s="1126"/>
      <c r="K206" s="449">
        <f>E206*J206</f>
        <v>0</v>
      </c>
      <c r="L206" s="459">
        <f>G206+I206+K206</f>
        <v>0</v>
      </c>
    </row>
    <row r="207" spans="1:13" s="771" customFormat="1" ht="15.75" x14ac:dyDescent="0.25">
      <c r="A207" s="907"/>
      <c r="B207" s="908" t="s">
        <v>278</v>
      </c>
      <c r="C207" s="737" t="s">
        <v>148</v>
      </c>
      <c r="D207" s="737">
        <v>1.02</v>
      </c>
      <c r="E207" s="909">
        <f>D207*E204</f>
        <v>39.871800000000007</v>
      </c>
      <c r="F207" s="448"/>
      <c r="G207" s="448"/>
      <c r="H207" s="1126"/>
      <c r="I207" s="448">
        <f>H207*E207</f>
        <v>0</v>
      </c>
      <c r="J207" s="448"/>
      <c r="K207" s="449"/>
      <c r="L207" s="459">
        <f>G207+I207+K207</f>
        <v>0</v>
      </c>
    </row>
    <row r="208" spans="1:13" s="771" customFormat="1" ht="15" x14ac:dyDescent="0.25">
      <c r="A208" s="907"/>
      <c r="B208" s="474" t="s">
        <v>264</v>
      </c>
      <c r="C208" s="737" t="s">
        <v>18</v>
      </c>
      <c r="D208" s="737">
        <v>6</v>
      </c>
      <c r="E208" s="909">
        <f>D208*E204</f>
        <v>234.54000000000002</v>
      </c>
      <c r="F208" s="448"/>
      <c r="G208" s="448"/>
      <c r="H208" s="1122"/>
      <c r="I208" s="448">
        <f>H208*E208</f>
        <v>0</v>
      </c>
      <c r="J208" s="448"/>
      <c r="K208" s="449"/>
      <c r="L208" s="459">
        <f>G208+I208+K208</f>
        <v>0</v>
      </c>
    </row>
    <row r="209" spans="1:25" s="771" customFormat="1" ht="15.75" thickBot="1" x14ac:dyDescent="0.3">
      <c r="A209" s="910"/>
      <c r="B209" s="912" t="s">
        <v>146</v>
      </c>
      <c r="C209" s="911" t="s">
        <v>15</v>
      </c>
      <c r="D209" s="911">
        <v>4.2999999999999997E-2</v>
      </c>
      <c r="E209" s="911">
        <f>E204*D209</f>
        <v>1.6808700000000001</v>
      </c>
      <c r="F209" s="460"/>
      <c r="G209" s="460"/>
      <c r="H209" s="1144"/>
      <c r="I209" s="460">
        <f>E209*H209</f>
        <v>0</v>
      </c>
      <c r="J209" s="460"/>
      <c r="K209" s="461"/>
      <c r="L209" s="462">
        <f>G209+I209+K209</f>
        <v>0</v>
      </c>
    </row>
    <row r="210" spans="1:25" s="918" customFormat="1" ht="27" x14ac:dyDescent="0.25">
      <c r="A210" s="913">
        <v>4</v>
      </c>
      <c r="B210" s="864" t="s">
        <v>446</v>
      </c>
      <c r="C210" s="865" t="s">
        <v>166</v>
      </c>
      <c r="D210" s="914"/>
      <c r="E210" s="914">
        <f>(7.5*7)*0.07</f>
        <v>3.6750000000000003</v>
      </c>
      <c r="F210" s="915"/>
      <c r="G210" s="915"/>
      <c r="H210" s="916"/>
      <c r="I210" s="916"/>
      <c r="J210" s="916"/>
      <c r="K210" s="916"/>
      <c r="L210" s="917"/>
      <c r="M210" s="278"/>
    </row>
    <row r="211" spans="1:25" s="394" customFormat="1" x14ac:dyDescent="0.25">
      <c r="A211" s="466"/>
      <c r="B211" s="389" t="s">
        <v>107</v>
      </c>
      <c r="C211" s="34" t="s">
        <v>17</v>
      </c>
      <c r="D211" s="397">
        <v>1.08</v>
      </c>
      <c r="E211" s="391">
        <f>E210*D211</f>
        <v>3.9690000000000007</v>
      </c>
      <c r="F211" s="1126"/>
      <c r="G211" s="392">
        <f>E211*F211</f>
        <v>0</v>
      </c>
      <c r="H211" s="392"/>
      <c r="I211" s="392"/>
      <c r="J211" s="401"/>
      <c r="K211" s="401"/>
      <c r="L211" s="467">
        <f>G211+I211+K211</f>
        <v>0</v>
      </c>
      <c r="M211" s="278"/>
    </row>
    <row r="212" spans="1:25" s="394" customFormat="1" x14ac:dyDescent="0.25">
      <c r="A212" s="466"/>
      <c r="B212" s="389" t="s">
        <v>14</v>
      </c>
      <c r="C212" s="390" t="s">
        <v>15</v>
      </c>
      <c r="D212" s="396">
        <v>4.5199999999999997E-2</v>
      </c>
      <c r="E212" s="391">
        <f>E210*D212</f>
        <v>0.16611000000000001</v>
      </c>
      <c r="F212" s="392"/>
      <c r="G212" s="392"/>
      <c r="H212" s="401"/>
      <c r="I212" s="401"/>
      <c r="J212" s="1145"/>
      <c r="K212" s="392">
        <f>E212*J212</f>
        <v>0</v>
      </c>
      <c r="L212" s="467">
        <f>G212+I212+K212</f>
        <v>0</v>
      </c>
      <c r="M212" s="278"/>
    </row>
    <row r="213" spans="1:25" s="394" customFormat="1" x14ac:dyDescent="0.25">
      <c r="A213" s="466"/>
      <c r="B213" s="389" t="s">
        <v>49</v>
      </c>
      <c r="C213" s="390" t="s">
        <v>18</v>
      </c>
      <c r="D213" s="396">
        <v>6.5</v>
      </c>
      <c r="E213" s="391">
        <f>E210*D213</f>
        <v>23.887500000000003</v>
      </c>
      <c r="F213" s="392"/>
      <c r="G213" s="392"/>
      <c r="H213" s="1122"/>
      <c r="I213" s="392">
        <f>E213*H213</f>
        <v>0</v>
      </c>
      <c r="J213" s="381"/>
      <c r="K213" s="381"/>
      <c r="L213" s="467">
        <f>G213+I213+K213</f>
        <v>0</v>
      </c>
      <c r="M213" s="278"/>
    </row>
    <row r="214" spans="1:25" s="394" customFormat="1" x14ac:dyDescent="0.25">
      <c r="A214" s="466"/>
      <c r="B214" s="389" t="s">
        <v>180</v>
      </c>
      <c r="C214" s="390" t="s">
        <v>145</v>
      </c>
      <c r="D214" s="396">
        <v>1.02</v>
      </c>
      <c r="E214" s="391">
        <f>E210*D214</f>
        <v>3.7485000000000004</v>
      </c>
      <c r="F214" s="392"/>
      <c r="G214" s="392"/>
      <c r="H214" s="1145"/>
      <c r="I214" s="392">
        <f>E214*H214</f>
        <v>0</v>
      </c>
      <c r="J214" s="401"/>
      <c r="K214" s="401"/>
      <c r="L214" s="467">
        <f>G214+I214+K214</f>
        <v>0</v>
      </c>
      <c r="M214" s="278"/>
    </row>
    <row r="215" spans="1:25" s="405" customFormat="1" ht="13.5" customHeight="1" thickBot="1" x14ac:dyDescent="0.3">
      <c r="A215" s="468"/>
      <c r="B215" s="469" t="s">
        <v>42</v>
      </c>
      <c r="C215" s="470" t="s">
        <v>15</v>
      </c>
      <c r="D215" s="470">
        <v>4.6600000000000003E-2</v>
      </c>
      <c r="E215" s="471">
        <f>E210*D215</f>
        <v>0.17125500000000002</v>
      </c>
      <c r="F215" s="472"/>
      <c r="G215" s="472"/>
      <c r="H215" s="1146"/>
      <c r="I215" s="471">
        <f>E215*H215</f>
        <v>0</v>
      </c>
      <c r="J215" s="471"/>
      <c r="K215" s="471"/>
      <c r="L215" s="473">
        <f>G215+I215+K215</f>
        <v>0</v>
      </c>
      <c r="M215" s="278"/>
    </row>
    <row r="216" spans="1:25" s="234" customFormat="1" x14ac:dyDescent="0.25">
      <c r="A216" s="261"/>
      <c r="B216" s="463" t="s">
        <v>191</v>
      </c>
      <c r="C216" s="464"/>
      <c r="D216" s="265"/>
      <c r="E216" s="266"/>
      <c r="F216" s="343"/>
      <c r="G216" s="464"/>
      <c r="H216" s="343"/>
      <c r="I216" s="464"/>
      <c r="J216" s="343"/>
      <c r="K216" s="464"/>
      <c r="L216" s="465"/>
      <c r="N216" s="258"/>
      <c r="O216" s="258"/>
      <c r="P216" s="258"/>
      <c r="Q216" s="258"/>
      <c r="R216" s="258"/>
      <c r="S216" s="258"/>
      <c r="T216" s="258"/>
      <c r="U216" s="258"/>
      <c r="V216" s="258"/>
      <c r="W216" s="258"/>
      <c r="X216" s="258"/>
      <c r="Y216" s="258"/>
    </row>
    <row r="217" spans="1:25" s="197" customFormat="1" ht="30.75" customHeight="1" x14ac:dyDescent="0.25">
      <c r="A217" s="27">
        <v>1</v>
      </c>
      <c r="B217" s="33" t="s">
        <v>173</v>
      </c>
      <c r="C217" s="347" t="s">
        <v>166</v>
      </c>
      <c r="D217" s="27"/>
      <c r="E217" s="30">
        <f>(2.1*0.9)*2+(2.1*0.8)</f>
        <v>5.4600000000000009</v>
      </c>
      <c r="F217" s="30"/>
      <c r="G217" s="30"/>
      <c r="H217" s="30"/>
      <c r="I217" s="30"/>
      <c r="J217" s="30"/>
      <c r="K217" s="30"/>
      <c r="L217" s="30"/>
      <c r="M217" s="278"/>
    </row>
    <row r="218" spans="1:25" s="183" customFormat="1" ht="15" customHeight="1" x14ac:dyDescent="0.25">
      <c r="A218" s="27"/>
      <c r="B218" s="39" t="s">
        <v>36</v>
      </c>
      <c r="C218" s="34" t="s">
        <v>37</v>
      </c>
      <c r="D218" s="34">
        <v>1.1100000000000001</v>
      </c>
      <c r="E218" s="25">
        <f>E217*D218</f>
        <v>6.0606000000000018</v>
      </c>
      <c r="F218" s="1125"/>
      <c r="G218" s="25">
        <f>E218*F218</f>
        <v>0</v>
      </c>
      <c r="H218" s="406"/>
      <c r="I218" s="406"/>
      <c r="J218" s="25"/>
      <c r="K218" s="25"/>
      <c r="L218" s="25">
        <f>G218+I218+K218</f>
        <v>0</v>
      </c>
      <c r="M218" s="278"/>
    </row>
    <row r="219" spans="1:25" s="183" customFormat="1" ht="12.75" customHeight="1" x14ac:dyDescent="0.25">
      <c r="A219" s="27"/>
      <c r="B219" s="39" t="s">
        <v>48</v>
      </c>
      <c r="C219" s="34" t="s">
        <v>15</v>
      </c>
      <c r="D219" s="34">
        <v>0.51600000000000001</v>
      </c>
      <c r="E219" s="25">
        <f>E217*D219</f>
        <v>2.8173600000000003</v>
      </c>
      <c r="F219" s="25"/>
      <c r="G219" s="25"/>
      <c r="H219" s="25"/>
      <c r="I219" s="25"/>
      <c r="J219" s="1148"/>
      <c r="K219" s="25">
        <f>E219*J219</f>
        <v>0</v>
      </c>
      <c r="L219" s="25">
        <f>G219+I219+K219</f>
        <v>0</v>
      </c>
      <c r="M219" s="278"/>
    </row>
    <row r="220" spans="1:25" s="183" customFormat="1" x14ac:dyDescent="0.25">
      <c r="A220" s="27"/>
      <c r="B220" s="39" t="s">
        <v>174</v>
      </c>
      <c r="C220" s="34" t="s">
        <v>17</v>
      </c>
      <c r="D220" s="34">
        <v>1</v>
      </c>
      <c r="E220" s="25">
        <f>E217*D220</f>
        <v>5.4600000000000009</v>
      </c>
      <c r="F220" s="406"/>
      <c r="G220" s="406"/>
      <c r="H220" s="1128"/>
      <c r="I220" s="25">
        <f>E220*H220</f>
        <v>0</v>
      </c>
      <c r="J220" s="25"/>
      <c r="K220" s="25"/>
      <c r="L220" s="25">
        <f t="shared" ref="L220:L233" si="15">G220+I220+K220</f>
        <v>0</v>
      </c>
      <c r="M220" s="278"/>
    </row>
    <row r="221" spans="1:25" s="183" customFormat="1" ht="15" customHeight="1" x14ac:dyDescent="0.25">
      <c r="A221" s="27"/>
      <c r="B221" s="39" t="s">
        <v>175</v>
      </c>
      <c r="C221" s="34" t="s">
        <v>18</v>
      </c>
      <c r="D221" s="34">
        <v>1.56</v>
      </c>
      <c r="E221" s="25">
        <f>E217*D221</f>
        <v>8.5176000000000016</v>
      </c>
      <c r="F221" s="406"/>
      <c r="G221" s="406"/>
      <c r="H221" s="1128"/>
      <c r="I221" s="25">
        <f>E221*H221</f>
        <v>0</v>
      </c>
      <c r="J221" s="25"/>
      <c r="K221" s="25"/>
      <c r="L221" s="25">
        <f t="shared" si="15"/>
        <v>0</v>
      </c>
      <c r="M221" s="278"/>
    </row>
    <row r="222" spans="1:25" s="183" customFormat="1" ht="14.25" customHeight="1" x14ac:dyDescent="0.25">
      <c r="A222" s="27"/>
      <c r="B222" s="39" t="s">
        <v>176</v>
      </c>
      <c r="C222" s="34" t="s">
        <v>18</v>
      </c>
      <c r="D222" s="34">
        <v>0.06</v>
      </c>
      <c r="E222" s="25">
        <f>E217*D222</f>
        <v>0.32760000000000006</v>
      </c>
      <c r="F222" s="406"/>
      <c r="G222" s="406"/>
      <c r="H222" s="1128"/>
      <c r="I222" s="25">
        <f>E222*H222</f>
        <v>0</v>
      </c>
      <c r="J222" s="25"/>
      <c r="K222" s="25"/>
      <c r="L222" s="25">
        <f t="shared" si="15"/>
        <v>0</v>
      </c>
      <c r="M222" s="278"/>
    </row>
    <row r="223" spans="1:25" s="183" customFormat="1" ht="15" customHeight="1" x14ac:dyDescent="0.25">
      <c r="A223" s="27"/>
      <c r="B223" s="39" t="s">
        <v>118</v>
      </c>
      <c r="C223" s="34" t="s">
        <v>18</v>
      </c>
      <c r="D223" s="34">
        <v>4.8000000000000001E-2</v>
      </c>
      <c r="E223" s="25">
        <f>E217*D223</f>
        <v>0.26208000000000004</v>
      </c>
      <c r="F223" s="406"/>
      <c r="G223" s="406"/>
      <c r="H223" s="1124"/>
      <c r="I223" s="25">
        <f>E223*H223</f>
        <v>0</v>
      </c>
      <c r="J223" s="25"/>
      <c r="K223" s="25"/>
      <c r="L223" s="25">
        <f t="shared" si="15"/>
        <v>0</v>
      </c>
      <c r="M223" s="278"/>
    </row>
    <row r="224" spans="1:25" s="183" customFormat="1" ht="15" customHeight="1" x14ac:dyDescent="0.25">
      <c r="A224" s="27"/>
      <c r="B224" s="39" t="s">
        <v>42</v>
      </c>
      <c r="C224" s="34" t="s">
        <v>15</v>
      </c>
      <c r="D224" s="34">
        <v>5.3999999999999999E-2</v>
      </c>
      <c r="E224" s="25">
        <f>E217*D224</f>
        <v>0.29484000000000005</v>
      </c>
      <c r="F224" s="406"/>
      <c r="G224" s="406"/>
      <c r="H224" s="1128"/>
      <c r="I224" s="25">
        <f>E224*H224</f>
        <v>0</v>
      </c>
      <c r="J224" s="25"/>
      <c r="K224" s="25"/>
      <c r="L224" s="25">
        <f t="shared" si="15"/>
        <v>0</v>
      </c>
      <c r="M224" s="278"/>
    </row>
    <row r="225" spans="1:255" s="95" customFormat="1" ht="30" customHeight="1" x14ac:dyDescent="0.25">
      <c r="A225" s="27">
        <v>2</v>
      </c>
      <c r="B225" s="33" t="s">
        <v>167</v>
      </c>
      <c r="C225" s="347" t="s">
        <v>166</v>
      </c>
      <c r="D225" s="27"/>
      <c r="E225" s="30">
        <f>E217*2</f>
        <v>10.920000000000002</v>
      </c>
      <c r="F225" s="260"/>
      <c r="G225" s="260"/>
      <c r="H225" s="260"/>
      <c r="I225" s="260"/>
      <c r="J225" s="260"/>
      <c r="K225" s="260"/>
      <c r="L225" s="260"/>
      <c r="M225" s="278"/>
    </row>
    <row r="226" spans="1:255" s="80" customFormat="1" ht="15.75" customHeight="1" x14ac:dyDescent="0.25">
      <c r="A226" s="27"/>
      <c r="B226" s="39" t="s">
        <v>36</v>
      </c>
      <c r="C226" s="34" t="s">
        <v>37</v>
      </c>
      <c r="D226" s="34">
        <v>0.68</v>
      </c>
      <c r="E226" s="25">
        <f>E225*D226</f>
        <v>7.425600000000002</v>
      </c>
      <c r="F226" s="1125"/>
      <c r="G226" s="342">
        <f>E226*F226</f>
        <v>0</v>
      </c>
      <c r="H226" s="402"/>
      <c r="I226" s="402"/>
      <c r="J226" s="342"/>
      <c r="K226" s="342"/>
      <c r="L226" s="342">
        <f t="shared" si="15"/>
        <v>0</v>
      </c>
      <c r="M226" s="278"/>
    </row>
    <row r="227" spans="1:255" s="80" customFormat="1" x14ac:dyDescent="0.25">
      <c r="A227" s="27"/>
      <c r="B227" s="39" t="s">
        <v>48</v>
      </c>
      <c r="C227" s="34" t="s">
        <v>15</v>
      </c>
      <c r="D227" s="34">
        <v>2.9999999999999997E-4</v>
      </c>
      <c r="E227" s="403">
        <f>E225*D227</f>
        <v>3.2760000000000003E-3</v>
      </c>
      <c r="F227" s="342"/>
      <c r="G227" s="342"/>
      <c r="H227" s="342"/>
      <c r="I227" s="342"/>
      <c r="J227" s="1148"/>
      <c r="K227" s="342">
        <f>E227*J227</f>
        <v>0</v>
      </c>
      <c r="L227" s="342">
        <f t="shared" si="15"/>
        <v>0</v>
      </c>
      <c r="M227" s="278"/>
    </row>
    <row r="228" spans="1:255" s="80" customFormat="1" x14ac:dyDescent="0.25">
      <c r="A228" s="27"/>
      <c r="B228" s="39" t="s">
        <v>311</v>
      </c>
      <c r="C228" s="34" t="s">
        <v>18</v>
      </c>
      <c r="D228" s="34">
        <v>0.246</v>
      </c>
      <c r="E228" s="25">
        <f>E225*D228</f>
        <v>2.6863200000000003</v>
      </c>
      <c r="F228" s="402"/>
      <c r="G228" s="402"/>
      <c r="H228" s="1147"/>
      <c r="I228" s="342">
        <f>E228*H228</f>
        <v>0</v>
      </c>
      <c r="J228" s="342"/>
      <c r="K228" s="342"/>
      <c r="L228" s="342">
        <f t="shared" si="15"/>
        <v>0</v>
      </c>
      <c r="M228" s="278"/>
    </row>
    <row r="229" spans="1:255" s="80" customFormat="1" x14ac:dyDescent="0.25">
      <c r="A229" s="27"/>
      <c r="B229" s="39" t="s">
        <v>168</v>
      </c>
      <c r="C229" s="34" t="s">
        <v>18</v>
      </c>
      <c r="D229" s="34">
        <v>2.7E-2</v>
      </c>
      <c r="E229" s="25">
        <f>E225*D229</f>
        <v>0.29484000000000005</v>
      </c>
      <c r="F229" s="402"/>
      <c r="G229" s="402"/>
      <c r="H229" s="1147"/>
      <c r="I229" s="342">
        <f>E229*H229</f>
        <v>0</v>
      </c>
      <c r="J229" s="342"/>
      <c r="K229" s="342"/>
      <c r="L229" s="342">
        <f t="shared" si="15"/>
        <v>0</v>
      </c>
      <c r="M229" s="278"/>
    </row>
    <row r="230" spans="1:255" s="80" customFormat="1" x14ac:dyDescent="0.25">
      <c r="A230" s="27"/>
      <c r="B230" s="39" t="s">
        <v>42</v>
      </c>
      <c r="C230" s="34" t="s">
        <v>15</v>
      </c>
      <c r="D230" s="34">
        <v>1.9E-3</v>
      </c>
      <c r="E230" s="25">
        <f>E225*D230</f>
        <v>2.0748000000000003E-2</v>
      </c>
      <c r="F230" s="402"/>
      <c r="G230" s="402"/>
      <c r="H230" s="1148"/>
      <c r="I230" s="342">
        <f>E230*H230</f>
        <v>0</v>
      </c>
      <c r="J230" s="342"/>
      <c r="K230" s="342"/>
      <c r="L230" s="342">
        <f t="shared" si="15"/>
        <v>0</v>
      </c>
      <c r="M230" s="278"/>
    </row>
    <row r="231" spans="1:255" s="80" customFormat="1" x14ac:dyDescent="0.25">
      <c r="A231" s="27">
        <v>3</v>
      </c>
      <c r="B231" s="33" t="s">
        <v>208</v>
      </c>
      <c r="C231" s="27" t="s">
        <v>17</v>
      </c>
      <c r="D231" s="27"/>
      <c r="E231" s="30">
        <f>(2.1*0.8)</f>
        <v>1.6800000000000002</v>
      </c>
      <c r="F231" s="260"/>
      <c r="G231" s="260"/>
      <c r="H231" s="260"/>
      <c r="I231" s="260"/>
      <c r="J231" s="260"/>
      <c r="K231" s="260"/>
      <c r="L231" s="363">
        <f t="shared" si="15"/>
        <v>0</v>
      </c>
      <c r="M231" s="181"/>
      <c r="N231" s="596"/>
      <c r="O231" s="596"/>
      <c r="P231" s="596"/>
      <c r="Q231" s="596"/>
      <c r="R231" s="596"/>
      <c r="S231" s="596"/>
      <c r="T231" s="596"/>
      <c r="U231" s="596"/>
      <c r="V231" s="596"/>
      <c r="W231" s="596"/>
      <c r="X231" s="596"/>
      <c r="Y231" s="596"/>
      <c r="Z231" s="336"/>
      <c r="AA231" s="336"/>
      <c r="AB231" s="336"/>
      <c r="AC231" s="336"/>
      <c r="AD231" s="336"/>
      <c r="AE231" s="336"/>
      <c r="AF231" s="336"/>
      <c r="AG231" s="336"/>
      <c r="AH231" s="336"/>
      <c r="AI231" s="336"/>
      <c r="AJ231" s="336"/>
      <c r="AK231" s="336"/>
      <c r="AL231" s="336"/>
      <c r="AM231" s="336"/>
      <c r="AN231" s="336"/>
      <c r="AO231" s="336"/>
      <c r="AP231" s="336"/>
      <c r="AQ231" s="336"/>
      <c r="AR231" s="336"/>
      <c r="AS231" s="336"/>
      <c r="AT231" s="336"/>
      <c r="AU231" s="336"/>
      <c r="AV231" s="336"/>
      <c r="AW231" s="336"/>
      <c r="AX231" s="336"/>
      <c r="AY231" s="336"/>
      <c r="AZ231" s="336"/>
      <c r="BA231" s="336"/>
      <c r="BB231" s="336"/>
      <c r="BC231" s="336"/>
      <c r="BD231" s="336"/>
      <c r="BE231" s="336"/>
      <c r="BF231" s="336"/>
      <c r="BG231" s="336"/>
      <c r="BH231" s="336"/>
      <c r="BI231" s="336"/>
      <c r="BJ231" s="336"/>
      <c r="BK231" s="336"/>
      <c r="BL231" s="336"/>
      <c r="BM231" s="336"/>
      <c r="BN231" s="336"/>
      <c r="BO231" s="336"/>
      <c r="BP231" s="336"/>
      <c r="BQ231" s="336"/>
      <c r="BR231" s="336"/>
      <c r="BS231" s="336"/>
      <c r="BT231" s="336"/>
      <c r="BU231" s="336"/>
      <c r="BV231" s="336"/>
      <c r="BW231" s="336"/>
      <c r="BX231" s="336"/>
      <c r="BY231" s="336"/>
      <c r="BZ231" s="336"/>
      <c r="CA231" s="336"/>
      <c r="CB231" s="336"/>
      <c r="CC231" s="336"/>
      <c r="CD231" s="336"/>
      <c r="CE231" s="336"/>
      <c r="CF231" s="336"/>
      <c r="CG231" s="336"/>
      <c r="CH231" s="336"/>
      <c r="CI231" s="336"/>
      <c r="CJ231" s="336"/>
      <c r="CK231" s="336"/>
      <c r="CL231" s="336"/>
      <c r="CM231" s="336"/>
      <c r="CN231" s="336"/>
      <c r="CO231" s="336"/>
      <c r="CP231" s="336"/>
      <c r="CQ231" s="336"/>
      <c r="CR231" s="336"/>
      <c r="CS231" s="336"/>
      <c r="CT231" s="336"/>
      <c r="CU231" s="336"/>
      <c r="CV231" s="336"/>
      <c r="CW231" s="336"/>
      <c r="CX231" s="336"/>
      <c r="CY231" s="336"/>
      <c r="CZ231" s="336"/>
      <c r="DA231" s="336"/>
      <c r="DB231" s="336"/>
      <c r="DC231" s="336"/>
      <c r="DD231" s="336"/>
      <c r="DE231" s="336"/>
      <c r="DF231" s="336"/>
      <c r="DG231" s="336"/>
      <c r="DH231" s="336"/>
      <c r="DI231" s="336"/>
      <c r="DJ231" s="336"/>
      <c r="DK231" s="336"/>
      <c r="DL231" s="336"/>
      <c r="DM231" s="336"/>
      <c r="DN231" s="336"/>
      <c r="DO231" s="336"/>
      <c r="DP231" s="336"/>
      <c r="DQ231" s="336"/>
      <c r="DR231" s="336"/>
      <c r="DS231" s="336"/>
      <c r="DT231" s="336"/>
      <c r="DU231" s="336"/>
      <c r="DV231" s="336"/>
      <c r="DW231" s="336"/>
      <c r="DX231" s="336"/>
      <c r="DY231" s="336"/>
      <c r="DZ231" s="336"/>
      <c r="EA231" s="336"/>
      <c r="EB231" s="336"/>
      <c r="EC231" s="336"/>
      <c r="ED231" s="336"/>
      <c r="EE231" s="336"/>
      <c r="EF231" s="336"/>
      <c r="EG231" s="336"/>
      <c r="EH231" s="336"/>
      <c r="EI231" s="336"/>
      <c r="EJ231" s="336"/>
      <c r="EK231" s="336"/>
      <c r="EL231" s="336"/>
      <c r="EM231" s="336"/>
      <c r="EN231" s="336"/>
      <c r="EO231" s="336"/>
      <c r="EP231" s="336"/>
      <c r="EQ231" s="336"/>
      <c r="ER231" s="336"/>
      <c r="ES231" s="336"/>
      <c r="ET231" s="336"/>
      <c r="EU231" s="336"/>
      <c r="EV231" s="336"/>
      <c r="EW231" s="336"/>
      <c r="EX231" s="336"/>
      <c r="EY231" s="336"/>
      <c r="EZ231" s="336"/>
      <c r="FA231" s="336"/>
      <c r="FB231" s="336"/>
      <c r="FC231" s="336"/>
      <c r="FD231" s="336"/>
      <c r="FE231" s="336"/>
      <c r="FF231" s="336"/>
      <c r="FG231" s="336"/>
      <c r="FH231" s="336"/>
      <c r="FI231" s="336"/>
      <c r="FJ231" s="336"/>
      <c r="FK231" s="336"/>
      <c r="FL231" s="336"/>
      <c r="FM231" s="336"/>
      <c r="FN231" s="336"/>
      <c r="FO231" s="336"/>
      <c r="FP231" s="336"/>
      <c r="FQ231" s="336"/>
      <c r="FR231" s="336"/>
      <c r="FS231" s="336"/>
      <c r="FT231" s="336"/>
      <c r="FU231" s="336"/>
      <c r="FV231" s="336"/>
      <c r="FW231" s="336"/>
      <c r="FX231" s="336"/>
      <c r="FY231" s="336"/>
      <c r="FZ231" s="336"/>
      <c r="GA231" s="336"/>
      <c r="GB231" s="336"/>
      <c r="GC231" s="336"/>
      <c r="GD231" s="336"/>
      <c r="GE231" s="336"/>
      <c r="GF231" s="336"/>
      <c r="GG231" s="336"/>
      <c r="GH231" s="336"/>
      <c r="GI231" s="336"/>
      <c r="GJ231" s="336"/>
      <c r="GK231" s="336"/>
      <c r="GL231" s="336"/>
      <c r="GM231" s="336"/>
      <c r="GN231" s="336"/>
      <c r="GO231" s="336"/>
      <c r="GP231" s="336"/>
      <c r="GQ231" s="336"/>
      <c r="GR231" s="336"/>
      <c r="GS231" s="336"/>
      <c r="GT231" s="336"/>
      <c r="GU231" s="336"/>
      <c r="GV231" s="336"/>
      <c r="GW231" s="336"/>
      <c r="GX231" s="336"/>
      <c r="GY231" s="336"/>
      <c r="GZ231" s="336"/>
      <c r="HA231" s="336"/>
      <c r="HB231" s="336"/>
      <c r="HC231" s="336"/>
      <c r="HD231" s="336"/>
      <c r="HE231" s="336"/>
      <c r="HF231" s="336"/>
      <c r="HG231" s="336"/>
      <c r="HH231" s="336"/>
      <c r="HI231" s="336"/>
      <c r="HJ231" s="336"/>
      <c r="HK231" s="336"/>
      <c r="HL231" s="336"/>
      <c r="HM231" s="336"/>
      <c r="HN231" s="336"/>
      <c r="HO231" s="336"/>
      <c r="HP231" s="336"/>
      <c r="HQ231" s="336"/>
      <c r="HR231" s="336"/>
      <c r="HS231" s="336"/>
      <c r="HT231" s="336"/>
      <c r="HU231" s="336"/>
      <c r="HV231" s="336"/>
      <c r="HW231" s="336"/>
      <c r="HX231" s="336"/>
      <c r="HY231" s="336"/>
      <c r="HZ231" s="336"/>
      <c r="IA231" s="336"/>
      <c r="IB231" s="336"/>
      <c r="IC231" s="336"/>
      <c r="ID231" s="336"/>
      <c r="IE231" s="336"/>
      <c r="IF231" s="336"/>
      <c r="IG231" s="336"/>
      <c r="IH231" s="336"/>
      <c r="II231" s="336"/>
      <c r="IJ231" s="336"/>
      <c r="IK231" s="336"/>
      <c r="IL231" s="336"/>
      <c r="IM231" s="336"/>
      <c r="IN231" s="336"/>
      <c r="IO231" s="336"/>
      <c r="IP231" s="336"/>
      <c r="IQ231" s="336"/>
      <c r="IR231" s="336"/>
      <c r="IS231" s="336"/>
      <c r="IT231" s="336"/>
      <c r="IU231" s="336"/>
    </row>
    <row r="232" spans="1:255" s="80" customFormat="1" ht="15.75" customHeight="1" x14ac:dyDescent="0.25">
      <c r="A232" s="19"/>
      <c r="B232" s="20" t="s">
        <v>36</v>
      </c>
      <c r="C232" s="19" t="s">
        <v>37</v>
      </c>
      <c r="D232" s="19">
        <v>2.72</v>
      </c>
      <c r="E232" s="18">
        <f>E231*D232</f>
        <v>4.5696000000000003</v>
      </c>
      <c r="F232" s="1125"/>
      <c r="G232" s="363">
        <f>F232*E232</f>
        <v>0</v>
      </c>
      <c r="H232" s="402"/>
      <c r="I232" s="402"/>
      <c r="J232" s="363"/>
      <c r="K232" s="363"/>
      <c r="L232" s="363">
        <f t="shared" si="15"/>
        <v>0</v>
      </c>
      <c r="M232" s="81"/>
      <c r="N232" s="407"/>
      <c r="O232" s="407"/>
      <c r="P232" s="407"/>
      <c r="Q232" s="407"/>
      <c r="R232" s="407"/>
      <c r="S232" s="407"/>
      <c r="T232" s="407"/>
      <c r="U232" s="407"/>
      <c r="V232" s="407"/>
      <c r="W232" s="407"/>
      <c r="X232" s="407"/>
      <c r="Y232" s="407"/>
      <c r="Z232" s="408"/>
      <c r="AA232" s="408"/>
      <c r="AB232" s="408"/>
      <c r="AC232" s="408"/>
      <c r="AD232" s="408"/>
      <c r="AE232" s="408"/>
      <c r="AF232" s="408"/>
      <c r="AG232" s="408"/>
      <c r="AH232" s="408"/>
      <c r="AI232" s="408"/>
      <c r="AJ232" s="408"/>
      <c r="AK232" s="408"/>
      <c r="AL232" s="408"/>
      <c r="AM232" s="408"/>
      <c r="AN232" s="408"/>
      <c r="AO232" s="408"/>
      <c r="AP232" s="408"/>
      <c r="AQ232" s="408"/>
      <c r="AR232" s="408"/>
      <c r="AS232" s="408"/>
      <c r="AT232" s="408"/>
      <c r="AU232" s="408"/>
      <c r="AV232" s="408"/>
      <c r="AW232" s="408"/>
      <c r="AX232" s="408"/>
      <c r="AY232" s="408"/>
      <c r="AZ232" s="408"/>
      <c r="BA232" s="408"/>
      <c r="BB232" s="408"/>
      <c r="BC232" s="408"/>
      <c r="BD232" s="408"/>
      <c r="BE232" s="408"/>
      <c r="BF232" s="408"/>
      <c r="BG232" s="408"/>
      <c r="BH232" s="408"/>
      <c r="BI232" s="408"/>
      <c r="BJ232" s="408"/>
      <c r="BK232" s="408"/>
      <c r="BL232" s="408"/>
      <c r="BM232" s="408"/>
      <c r="BN232" s="408"/>
      <c r="BO232" s="408"/>
      <c r="BP232" s="408"/>
      <c r="BQ232" s="408"/>
      <c r="BR232" s="408"/>
      <c r="BS232" s="408"/>
      <c r="BT232" s="408"/>
      <c r="BU232" s="408"/>
      <c r="BV232" s="408"/>
      <c r="BW232" s="408"/>
      <c r="BX232" s="408"/>
      <c r="BY232" s="408"/>
      <c r="BZ232" s="408"/>
      <c r="CA232" s="408"/>
      <c r="CB232" s="408"/>
      <c r="CC232" s="408"/>
      <c r="CD232" s="408"/>
      <c r="CE232" s="408"/>
      <c r="CF232" s="408"/>
      <c r="CG232" s="408"/>
      <c r="CH232" s="408"/>
      <c r="CI232" s="408"/>
      <c r="CJ232" s="408"/>
      <c r="CK232" s="408"/>
      <c r="CL232" s="408"/>
      <c r="CM232" s="408"/>
      <c r="CN232" s="408"/>
      <c r="CO232" s="408"/>
      <c r="CP232" s="408"/>
      <c r="CQ232" s="408"/>
      <c r="CR232" s="408"/>
      <c r="CS232" s="408"/>
      <c r="CT232" s="408"/>
      <c r="CU232" s="408"/>
      <c r="CV232" s="408"/>
      <c r="CW232" s="408"/>
      <c r="CX232" s="408"/>
      <c r="CY232" s="408"/>
      <c r="CZ232" s="408"/>
      <c r="DA232" s="408"/>
      <c r="DB232" s="408"/>
      <c r="DC232" s="408"/>
      <c r="DD232" s="408"/>
      <c r="DE232" s="408"/>
      <c r="DF232" s="408"/>
      <c r="DG232" s="408"/>
      <c r="DH232" s="408"/>
      <c r="DI232" s="408"/>
      <c r="DJ232" s="408"/>
      <c r="DK232" s="408"/>
      <c r="DL232" s="408"/>
      <c r="DM232" s="408"/>
      <c r="DN232" s="408"/>
      <c r="DO232" s="408"/>
      <c r="DP232" s="408"/>
      <c r="DQ232" s="408"/>
      <c r="DR232" s="408"/>
      <c r="DS232" s="408"/>
      <c r="DT232" s="408"/>
      <c r="DU232" s="408"/>
      <c r="DV232" s="408"/>
      <c r="DW232" s="408"/>
      <c r="DX232" s="408"/>
      <c r="DY232" s="408"/>
      <c r="DZ232" s="408"/>
      <c r="EA232" s="408"/>
      <c r="EB232" s="408"/>
      <c r="EC232" s="408"/>
      <c r="ED232" s="408"/>
      <c r="EE232" s="408"/>
      <c r="EF232" s="408"/>
      <c r="EG232" s="408"/>
      <c r="EH232" s="408"/>
      <c r="EI232" s="408"/>
      <c r="EJ232" s="408"/>
      <c r="EK232" s="408"/>
      <c r="EL232" s="408"/>
      <c r="EM232" s="408"/>
      <c r="EN232" s="408"/>
      <c r="EO232" s="408"/>
      <c r="EP232" s="408"/>
      <c r="EQ232" s="408"/>
      <c r="ER232" s="408"/>
      <c r="ES232" s="408"/>
      <c r="ET232" s="408"/>
      <c r="EU232" s="408"/>
      <c r="EV232" s="408"/>
      <c r="EW232" s="408"/>
      <c r="EX232" s="408"/>
      <c r="EY232" s="408"/>
      <c r="EZ232" s="408"/>
      <c r="FA232" s="408"/>
      <c r="FB232" s="408"/>
      <c r="FC232" s="408"/>
      <c r="FD232" s="408"/>
      <c r="FE232" s="408"/>
      <c r="FF232" s="408"/>
      <c r="FG232" s="408"/>
      <c r="FH232" s="408"/>
      <c r="FI232" s="408"/>
      <c r="FJ232" s="408"/>
      <c r="FK232" s="408"/>
      <c r="FL232" s="408"/>
      <c r="FM232" s="408"/>
      <c r="FN232" s="408"/>
      <c r="FO232" s="408"/>
      <c r="FP232" s="408"/>
      <c r="FQ232" s="408"/>
      <c r="FR232" s="408"/>
      <c r="FS232" s="408"/>
      <c r="FT232" s="408"/>
      <c r="FU232" s="408"/>
      <c r="FV232" s="408"/>
      <c r="FW232" s="408"/>
      <c r="FX232" s="408"/>
      <c r="FY232" s="408"/>
      <c r="FZ232" s="408"/>
      <c r="GA232" s="408"/>
      <c r="GB232" s="408"/>
      <c r="GC232" s="408"/>
      <c r="GD232" s="408"/>
      <c r="GE232" s="408"/>
      <c r="GF232" s="408"/>
      <c r="GG232" s="408"/>
      <c r="GH232" s="408"/>
      <c r="GI232" s="408"/>
      <c r="GJ232" s="408"/>
      <c r="GK232" s="408"/>
      <c r="GL232" s="408"/>
      <c r="GM232" s="408"/>
      <c r="GN232" s="408"/>
      <c r="GO232" s="408"/>
      <c r="GP232" s="408"/>
      <c r="GQ232" s="408"/>
      <c r="GR232" s="408"/>
      <c r="GS232" s="408"/>
      <c r="GT232" s="408"/>
      <c r="GU232" s="408"/>
      <c r="GV232" s="408"/>
      <c r="GW232" s="408"/>
      <c r="GX232" s="408"/>
      <c r="GY232" s="408"/>
      <c r="GZ232" s="408"/>
      <c r="HA232" s="408"/>
      <c r="HB232" s="408"/>
      <c r="HC232" s="408"/>
      <c r="HD232" s="408"/>
      <c r="HE232" s="408"/>
      <c r="HF232" s="408"/>
      <c r="HG232" s="408"/>
      <c r="HH232" s="408"/>
      <c r="HI232" s="408"/>
      <c r="HJ232" s="408"/>
      <c r="HK232" s="408"/>
      <c r="HL232" s="408"/>
      <c r="HM232" s="408"/>
      <c r="HN232" s="408"/>
      <c r="HO232" s="408"/>
      <c r="HP232" s="408"/>
      <c r="HQ232" s="408"/>
      <c r="HR232" s="408"/>
      <c r="HS232" s="408"/>
      <c r="HT232" s="408"/>
      <c r="HU232" s="408"/>
      <c r="HV232" s="408"/>
      <c r="HW232" s="408"/>
      <c r="HX232" s="408"/>
      <c r="HY232" s="408"/>
      <c r="HZ232" s="408"/>
      <c r="IA232" s="408"/>
      <c r="IB232" s="408"/>
      <c r="IC232" s="408"/>
      <c r="ID232" s="408"/>
      <c r="IE232" s="408"/>
      <c r="IF232" s="408"/>
      <c r="IG232" s="408"/>
      <c r="IH232" s="408"/>
      <c r="II232" s="408"/>
      <c r="IJ232" s="408"/>
      <c r="IK232" s="408"/>
      <c r="IL232" s="408"/>
      <c r="IM232" s="408"/>
      <c r="IN232" s="408"/>
      <c r="IO232" s="408"/>
      <c r="IP232" s="408"/>
      <c r="IQ232" s="408"/>
      <c r="IR232" s="408"/>
      <c r="IS232" s="408"/>
      <c r="IT232" s="408"/>
      <c r="IU232" s="408"/>
    </row>
    <row r="233" spans="1:255" s="80" customFormat="1" ht="15.75" customHeight="1" x14ac:dyDescent="0.25">
      <c r="A233" s="19"/>
      <c r="B233" s="20" t="s">
        <v>312</v>
      </c>
      <c r="C233" s="19" t="s">
        <v>17</v>
      </c>
      <c r="D233" s="19"/>
      <c r="E233" s="18">
        <f>E231</f>
        <v>1.6800000000000002</v>
      </c>
      <c r="F233" s="402"/>
      <c r="G233" s="402"/>
      <c r="H233" s="1131"/>
      <c r="I233" s="363">
        <f>E233*H233</f>
        <v>0</v>
      </c>
      <c r="J233" s="363"/>
      <c r="K233" s="363"/>
      <c r="L233" s="363">
        <f t="shared" si="15"/>
        <v>0</v>
      </c>
      <c r="M233" s="81"/>
      <c r="N233" s="407"/>
      <c r="O233" s="407"/>
      <c r="P233" s="407"/>
      <c r="Q233" s="407"/>
      <c r="R233" s="407"/>
      <c r="S233" s="407"/>
      <c r="T233" s="407"/>
      <c r="U233" s="407"/>
      <c r="V233" s="407"/>
      <c r="W233" s="407"/>
      <c r="X233" s="407"/>
      <c r="Y233" s="407"/>
      <c r="Z233" s="408"/>
      <c r="AA233" s="408"/>
      <c r="AB233" s="408"/>
      <c r="AC233" s="408"/>
      <c r="AD233" s="408"/>
      <c r="AE233" s="408"/>
      <c r="AF233" s="408"/>
      <c r="AG233" s="408"/>
      <c r="AH233" s="408"/>
      <c r="AI233" s="408"/>
      <c r="AJ233" s="408"/>
      <c r="AK233" s="408"/>
      <c r="AL233" s="408"/>
      <c r="AM233" s="408"/>
      <c r="AN233" s="408"/>
      <c r="AO233" s="408"/>
      <c r="AP233" s="408"/>
      <c r="AQ233" s="408"/>
      <c r="AR233" s="408"/>
      <c r="AS233" s="408"/>
      <c r="AT233" s="408"/>
      <c r="AU233" s="408"/>
      <c r="AV233" s="408"/>
      <c r="AW233" s="408"/>
      <c r="AX233" s="408"/>
      <c r="AY233" s="408"/>
      <c r="AZ233" s="408"/>
      <c r="BA233" s="408"/>
      <c r="BB233" s="408"/>
      <c r="BC233" s="408"/>
      <c r="BD233" s="408"/>
      <c r="BE233" s="408"/>
      <c r="BF233" s="408"/>
      <c r="BG233" s="408"/>
      <c r="BH233" s="408"/>
      <c r="BI233" s="408"/>
      <c r="BJ233" s="408"/>
      <c r="BK233" s="408"/>
      <c r="BL233" s="408"/>
      <c r="BM233" s="408"/>
      <c r="BN233" s="408"/>
      <c r="BO233" s="408"/>
      <c r="BP233" s="408"/>
      <c r="BQ233" s="408"/>
      <c r="BR233" s="408"/>
      <c r="BS233" s="408"/>
      <c r="BT233" s="408"/>
      <c r="BU233" s="408"/>
      <c r="BV233" s="408"/>
      <c r="BW233" s="408"/>
      <c r="BX233" s="408"/>
      <c r="BY233" s="408"/>
      <c r="BZ233" s="408"/>
      <c r="CA233" s="408"/>
      <c r="CB233" s="408"/>
      <c r="CC233" s="408"/>
      <c r="CD233" s="408"/>
      <c r="CE233" s="408"/>
      <c r="CF233" s="408"/>
      <c r="CG233" s="408"/>
      <c r="CH233" s="408"/>
      <c r="CI233" s="408"/>
      <c r="CJ233" s="408"/>
      <c r="CK233" s="408"/>
      <c r="CL233" s="408"/>
      <c r="CM233" s="408"/>
      <c r="CN233" s="408"/>
      <c r="CO233" s="408"/>
      <c r="CP233" s="408"/>
      <c r="CQ233" s="408"/>
      <c r="CR233" s="408"/>
      <c r="CS233" s="408"/>
      <c r="CT233" s="408"/>
      <c r="CU233" s="408"/>
      <c r="CV233" s="408"/>
      <c r="CW233" s="408"/>
      <c r="CX233" s="408"/>
      <c r="CY233" s="408"/>
      <c r="CZ233" s="408"/>
      <c r="DA233" s="408"/>
      <c r="DB233" s="408"/>
      <c r="DC233" s="408"/>
      <c r="DD233" s="408"/>
      <c r="DE233" s="408"/>
      <c r="DF233" s="408"/>
      <c r="DG233" s="408"/>
      <c r="DH233" s="408"/>
      <c r="DI233" s="408"/>
      <c r="DJ233" s="408"/>
      <c r="DK233" s="408"/>
      <c r="DL233" s="408"/>
      <c r="DM233" s="408"/>
      <c r="DN233" s="408"/>
      <c r="DO233" s="408"/>
      <c r="DP233" s="408"/>
      <c r="DQ233" s="408"/>
      <c r="DR233" s="408"/>
      <c r="DS233" s="408"/>
      <c r="DT233" s="408"/>
      <c r="DU233" s="408"/>
      <c r="DV233" s="408"/>
      <c r="DW233" s="408"/>
      <c r="DX233" s="408"/>
      <c r="DY233" s="408"/>
      <c r="DZ233" s="408"/>
      <c r="EA233" s="408"/>
      <c r="EB233" s="408"/>
      <c r="EC233" s="408"/>
      <c r="ED233" s="408"/>
      <c r="EE233" s="408"/>
      <c r="EF233" s="408"/>
      <c r="EG233" s="408"/>
      <c r="EH233" s="408"/>
      <c r="EI233" s="408"/>
      <c r="EJ233" s="408"/>
      <c r="EK233" s="408"/>
      <c r="EL233" s="408"/>
      <c r="EM233" s="408"/>
      <c r="EN233" s="408"/>
      <c r="EO233" s="408"/>
      <c r="EP233" s="408"/>
      <c r="EQ233" s="408"/>
      <c r="ER233" s="408"/>
      <c r="ES233" s="408"/>
      <c r="ET233" s="408"/>
      <c r="EU233" s="408"/>
      <c r="EV233" s="408"/>
      <c r="EW233" s="408"/>
      <c r="EX233" s="408"/>
      <c r="EY233" s="408"/>
      <c r="EZ233" s="408"/>
      <c r="FA233" s="408"/>
      <c r="FB233" s="408"/>
      <c r="FC233" s="408"/>
      <c r="FD233" s="408"/>
      <c r="FE233" s="408"/>
      <c r="FF233" s="408"/>
      <c r="FG233" s="408"/>
      <c r="FH233" s="408"/>
      <c r="FI233" s="408"/>
      <c r="FJ233" s="408"/>
      <c r="FK233" s="408"/>
      <c r="FL233" s="408"/>
      <c r="FM233" s="408"/>
      <c r="FN233" s="408"/>
      <c r="FO233" s="408"/>
      <c r="FP233" s="408"/>
      <c r="FQ233" s="408"/>
      <c r="FR233" s="408"/>
      <c r="FS233" s="408"/>
      <c r="FT233" s="408"/>
      <c r="FU233" s="408"/>
      <c r="FV233" s="408"/>
      <c r="FW233" s="408"/>
      <c r="FX233" s="408"/>
      <c r="FY233" s="408"/>
      <c r="FZ233" s="408"/>
      <c r="GA233" s="408"/>
      <c r="GB233" s="408"/>
      <c r="GC233" s="408"/>
      <c r="GD233" s="408"/>
      <c r="GE233" s="408"/>
      <c r="GF233" s="408"/>
      <c r="GG233" s="408"/>
      <c r="GH233" s="408"/>
      <c r="GI233" s="408"/>
      <c r="GJ233" s="408"/>
      <c r="GK233" s="408"/>
      <c r="GL233" s="408"/>
      <c r="GM233" s="408"/>
      <c r="GN233" s="408"/>
      <c r="GO233" s="408"/>
      <c r="GP233" s="408"/>
      <c r="GQ233" s="408"/>
      <c r="GR233" s="408"/>
      <c r="GS233" s="408"/>
      <c r="GT233" s="408"/>
      <c r="GU233" s="408"/>
      <c r="GV233" s="408"/>
      <c r="GW233" s="408"/>
      <c r="GX233" s="408"/>
      <c r="GY233" s="408"/>
      <c r="GZ233" s="408"/>
      <c r="HA233" s="408"/>
      <c r="HB233" s="408"/>
      <c r="HC233" s="408"/>
      <c r="HD233" s="408"/>
      <c r="HE233" s="408"/>
      <c r="HF233" s="408"/>
      <c r="HG233" s="408"/>
      <c r="HH233" s="408"/>
      <c r="HI233" s="408"/>
      <c r="HJ233" s="408"/>
      <c r="HK233" s="408"/>
      <c r="HL233" s="408"/>
      <c r="HM233" s="408"/>
      <c r="HN233" s="408"/>
      <c r="HO233" s="408"/>
      <c r="HP233" s="408"/>
      <c r="HQ233" s="408"/>
      <c r="HR233" s="408"/>
      <c r="HS233" s="408"/>
      <c r="HT233" s="408"/>
      <c r="HU233" s="408"/>
      <c r="HV233" s="408"/>
      <c r="HW233" s="408"/>
      <c r="HX233" s="408"/>
      <c r="HY233" s="408"/>
      <c r="HZ233" s="408"/>
      <c r="IA233" s="408"/>
      <c r="IB233" s="408"/>
      <c r="IC233" s="408"/>
      <c r="ID233" s="408"/>
      <c r="IE233" s="408"/>
      <c r="IF233" s="408"/>
      <c r="IG233" s="408"/>
      <c r="IH233" s="408"/>
      <c r="II233" s="408"/>
      <c r="IJ233" s="408"/>
      <c r="IK233" s="408"/>
      <c r="IL233" s="408"/>
      <c r="IM233" s="408"/>
      <c r="IN233" s="408"/>
      <c r="IO233" s="408"/>
      <c r="IP233" s="408"/>
      <c r="IQ233" s="408"/>
      <c r="IR233" s="408"/>
      <c r="IS233" s="408"/>
      <c r="IT233" s="408"/>
      <c r="IU233" s="408"/>
    </row>
    <row r="234" spans="1:255" s="771" customFormat="1" ht="15" x14ac:dyDescent="0.25">
      <c r="A234" s="835">
        <v>4</v>
      </c>
      <c r="B234" s="848" t="s">
        <v>283</v>
      </c>
      <c r="C234" s="836" t="s">
        <v>145</v>
      </c>
      <c r="D234" s="837"/>
      <c r="E234" s="838">
        <f>(1.2*1.2*2)+(0.8*1.2*3)+(0.6*0.6*3)</f>
        <v>6.84</v>
      </c>
      <c r="F234" s="919"/>
      <c r="G234" s="919"/>
      <c r="H234" s="838"/>
      <c r="I234" s="836"/>
      <c r="J234" s="919"/>
      <c r="K234" s="919"/>
      <c r="L234" s="920"/>
    </row>
    <row r="235" spans="1:255" s="771" customFormat="1" ht="17.25" customHeight="1" x14ac:dyDescent="0.25">
      <c r="A235" s="835"/>
      <c r="B235" s="891" t="s">
        <v>107</v>
      </c>
      <c r="C235" s="835" t="s">
        <v>37</v>
      </c>
      <c r="D235" s="815">
        <v>2.72</v>
      </c>
      <c r="E235" s="892">
        <f>E234*D235</f>
        <v>18.604800000000001</v>
      </c>
      <c r="F235" s="1125"/>
      <c r="G235" s="815">
        <f>E235*F235</f>
        <v>0</v>
      </c>
      <c r="H235" s="839"/>
      <c r="I235" s="839"/>
      <c r="J235" s="839"/>
      <c r="K235" s="839"/>
      <c r="L235" s="815">
        <f>G235+I235+K235</f>
        <v>0</v>
      </c>
    </row>
    <row r="236" spans="1:255" s="771" customFormat="1" ht="15" x14ac:dyDescent="0.25">
      <c r="A236" s="847"/>
      <c r="B236" s="893" t="s">
        <v>445</v>
      </c>
      <c r="C236" s="847" t="s">
        <v>145</v>
      </c>
      <c r="D236" s="853">
        <v>1</v>
      </c>
      <c r="E236" s="853">
        <f>E234*D236</f>
        <v>6.84</v>
      </c>
      <c r="F236" s="852"/>
      <c r="G236" s="852"/>
      <c r="H236" s="1143"/>
      <c r="I236" s="921">
        <f>E236*H236</f>
        <v>0</v>
      </c>
      <c r="J236" s="852"/>
      <c r="K236" s="852"/>
      <c r="L236" s="853">
        <f>G236+I236+K236</f>
        <v>0</v>
      </c>
    </row>
    <row r="237" spans="1:255" s="771" customFormat="1" ht="15" x14ac:dyDescent="0.25">
      <c r="A237" s="835">
        <v>5</v>
      </c>
      <c r="B237" s="848" t="s">
        <v>281</v>
      </c>
      <c r="C237" s="849" t="s">
        <v>43</v>
      </c>
      <c r="D237" s="837"/>
      <c r="E237" s="838">
        <f>1.6+0.8+2.4+1.2</f>
        <v>6.0000000000000009</v>
      </c>
      <c r="F237" s="919"/>
      <c r="G237" s="919"/>
      <c r="H237" s="838"/>
      <c r="I237" s="836"/>
      <c r="J237" s="919"/>
      <c r="K237" s="919"/>
      <c r="L237" s="920"/>
    </row>
    <row r="238" spans="1:255" s="771" customFormat="1" ht="15" x14ac:dyDescent="0.25">
      <c r="A238" s="835"/>
      <c r="B238" s="891" t="s">
        <v>107</v>
      </c>
      <c r="C238" s="847" t="s">
        <v>43</v>
      </c>
      <c r="D238" s="892">
        <v>1</v>
      </c>
      <c r="E238" s="892">
        <f>E237*D238</f>
        <v>6.0000000000000009</v>
      </c>
      <c r="F238" s="1125"/>
      <c r="G238" s="815">
        <f>E238*F238</f>
        <v>0</v>
      </c>
      <c r="H238" s="839"/>
      <c r="I238" s="839"/>
      <c r="J238" s="839"/>
      <c r="K238" s="839"/>
      <c r="L238" s="815">
        <f>G238+I238+K238</f>
        <v>0</v>
      </c>
    </row>
    <row r="239" spans="1:255" s="771" customFormat="1" ht="15" x14ac:dyDescent="0.25">
      <c r="A239" s="847"/>
      <c r="B239" s="893" t="s">
        <v>282</v>
      </c>
      <c r="C239" s="847" t="s">
        <v>43</v>
      </c>
      <c r="D239" s="853">
        <v>1</v>
      </c>
      <c r="E239" s="853">
        <f>D239*E237</f>
        <v>6.0000000000000009</v>
      </c>
      <c r="F239" s="852"/>
      <c r="G239" s="852"/>
      <c r="H239" s="1143"/>
      <c r="I239" s="921">
        <f>E239*H239</f>
        <v>0</v>
      </c>
      <c r="J239" s="852"/>
      <c r="K239" s="852"/>
      <c r="L239" s="853">
        <f>G239+I239+K239</f>
        <v>0</v>
      </c>
    </row>
    <row r="240" spans="1:255" s="652" customFormat="1" ht="28.5" customHeight="1" x14ac:dyDescent="0.25">
      <c r="A240" s="27">
        <v>6</v>
      </c>
      <c r="B240" s="33" t="s">
        <v>163</v>
      </c>
      <c r="C240" s="27" t="s">
        <v>17</v>
      </c>
      <c r="D240" s="27"/>
      <c r="E240" s="838">
        <f>((1.2*1.2*2)+(0.8*1.2*3))*1.3</f>
        <v>7.4879999999999995</v>
      </c>
      <c r="F240" s="30"/>
      <c r="G240" s="30"/>
      <c r="H240" s="30"/>
      <c r="I240" s="30"/>
      <c r="J240" s="30"/>
      <c r="K240" s="30"/>
      <c r="L240" s="18"/>
      <c r="M240" s="82"/>
    </row>
    <row r="241" spans="1:25" s="404" customFormat="1" ht="13.5" customHeight="1" x14ac:dyDescent="0.25">
      <c r="A241" s="34"/>
      <c r="B241" s="39" t="s">
        <v>36</v>
      </c>
      <c r="C241" s="34" t="s">
        <v>37</v>
      </c>
      <c r="D241" s="34">
        <v>1.1200000000000001</v>
      </c>
      <c r="E241" s="25">
        <f>E240*D241</f>
        <v>8.3865600000000011</v>
      </c>
      <c r="F241" s="1125"/>
      <c r="G241" s="25">
        <f>E241*F241</f>
        <v>0</v>
      </c>
      <c r="H241" s="25"/>
      <c r="I241" s="25"/>
      <c r="J241" s="25"/>
      <c r="K241" s="25"/>
      <c r="L241" s="18">
        <f>G241+I241+K241</f>
        <v>0</v>
      </c>
      <c r="M241" s="83"/>
    </row>
    <row r="242" spans="1:25" s="404" customFormat="1" ht="27" x14ac:dyDescent="0.25">
      <c r="A242" s="34"/>
      <c r="B242" s="39" t="s">
        <v>164</v>
      </c>
      <c r="C242" s="34" t="s">
        <v>17</v>
      </c>
      <c r="D242" s="25">
        <v>1</v>
      </c>
      <c r="E242" s="25">
        <f>E240*D242</f>
        <v>7.4879999999999995</v>
      </c>
      <c r="F242" s="25"/>
      <c r="G242" s="25"/>
      <c r="H242" s="1128"/>
      <c r="I242" s="25">
        <f>E242*H242</f>
        <v>0</v>
      </c>
      <c r="J242" s="25"/>
      <c r="K242" s="25"/>
      <c r="L242" s="18">
        <f>G242+I242+K242</f>
        <v>0</v>
      </c>
      <c r="M242" s="83"/>
    </row>
    <row r="243" spans="1:25" s="769" customFormat="1" ht="39.75" customHeight="1" x14ac:dyDescent="0.25">
      <c r="A243" s="922">
        <v>7</v>
      </c>
      <c r="B243" s="33" t="s">
        <v>284</v>
      </c>
      <c r="C243" s="634" t="s">
        <v>166</v>
      </c>
      <c r="D243" s="923"/>
      <c r="E243" s="838">
        <f>1.6+0.8+2.4+1.8</f>
        <v>6.6000000000000005</v>
      </c>
      <c r="F243" s="924"/>
      <c r="G243" s="925"/>
      <c r="H243" s="924"/>
      <c r="I243" s="924"/>
      <c r="J243" s="924"/>
      <c r="K243" s="926"/>
      <c r="L243" s="924"/>
    </row>
    <row r="244" spans="1:25" s="771" customFormat="1" ht="15" x14ac:dyDescent="0.25">
      <c r="A244" s="927"/>
      <c r="B244" s="928" t="s">
        <v>214</v>
      </c>
      <c r="C244" s="927" t="s">
        <v>28</v>
      </c>
      <c r="D244" s="927">
        <v>0.83</v>
      </c>
      <c r="E244" s="927">
        <f>D244*E243</f>
        <v>5.4779999999999998</v>
      </c>
      <c r="F244" s="1127"/>
      <c r="G244" s="448">
        <f>E244*F244</f>
        <v>0</v>
      </c>
      <c r="H244" s="450"/>
      <c r="I244" s="450"/>
      <c r="J244" s="450"/>
      <c r="K244" s="449"/>
      <c r="L244" s="450">
        <f>G244+I244+K244</f>
        <v>0</v>
      </c>
    </row>
    <row r="245" spans="1:25" s="771" customFormat="1" ht="15" x14ac:dyDescent="0.25">
      <c r="A245" s="19"/>
      <c r="B245" s="929" t="s">
        <v>14</v>
      </c>
      <c r="C245" s="19" t="s">
        <v>15</v>
      </c>
      <c r="D245" s="930">
        <v>4.1000000000000003E-3</v>
      </c>
      <c r="E245" s="18">
        <f>D245*E243</f>
        <v>2.7060000000000004E-2</v>
      </c>
      <c r="F245" s="19"/>
      <c r="G245" s="18"/>
      <c r="H245" s="19"/>
      <c r="I245" s="18"/>
      <c r="J245" s="1148"/>
      <c r="K245" s="18">
        <f>E245*J245</f>
        <v>0</v>
      </c>
      <c r="L245" s="18">
        <f>G245+I245+K245</f>
        <v>0</v>
      </c>
    </row>
    <row r="246" spans="1:25" s="769" customFormat="1" ht="27" x14ac:dyDescent="0.25">
      <c r="A246" s="816"/>
      <c r="B246" s="828" t="s">
        <v>279</v>
      </c>
      <c r="C246" s="816" t="s">
        <v>17</v>
      </c>
      <c r="D246" s="816">
        <v>1.2</v>
      </c>
      <c r="E246" s="823">
        <f>D246*E243</f>
        <v>7.92</v>
      </c>
      <c r="F246" s="823"/>
      <c r="G246" s="823"/>
      <c r="H246" s="1132"/>
      <c r="I246" s="823">
        <f>H246*E246</f>
        <v>0</v>
      </c>
      <c r="J246" s="823"/>
      <c r="K246" s="823"/>
      <c r="L246" s="823">
        <f>G246+I246+K246</f>
        <v>0</v>
      </c>
    </row>
    <row r="247" spans="1:25" s="771" customFormat="1" ht="15" x14ac:dyDescent="0.25">
      <c r="A247" s="179"/>
      <c r="B247" s="723" t="s">
        <v>280</v>
      </c>
      <c r="C247" s="179" t="s">
        <v>20</v>
      </c>
      <c r="D247" s="724">
        <v>8</v>
      </c>
      <c r="E247" s="724">
        <f>E243*D247</f>
        <v>52.800000000000004</v>
      </c>
      <c r="F247" s="772"/>
      <c r="G247" s="381"/>
      <c r="H247" s="1121"/>
      <c r="I247" s="724">
        <f>E247*H247</f>
        <v>0</v>
      </c>
      <c r="J247" s="381"/>
      <c r="K247" s="381"/>
      <c r="L247" s="724">
        <f>G247+I247+K247</f>
        <v>0</v>
      </c>
    </row>
    <row r="248" spans="1:25" s="771" customFormat="1" ht="15" x14ac:dyDescent="0.25">
      <c r="A248" s="179"/>
      <c r="B248" s="723" t="s">
        <v>146</v>
      </c>
      <c r="C248" s="179" t="s">
        <v>15</v>
      </c>
      <c r="D248" s="770">
        <v>7.8E-2</v>
      </c>
      <c r="E248" s="724">
        <f>E243*D248</f>
        <v>0.51480000000000004</v>
      </c>
      <c r="F248" s="772"/>
      <c r="G248" s="381"/>
      <c r="H248" s="1121"/>
      <c r="I248" s="724">
        <f>E248*H248</f>
        <v>0</v>
      </c>
      <c r="J248" s="381"/>
      <c r="K248" s="381"/>
      <c r="L248" s="724">
        <f>G248+I248+K248</f>
        <v>0</v>
      </c>
    </row>
    <row r="249" spans="1:25" s="234" customFormat="1" ht="12.75" x14ac:dyDescent="0.25">
      <c r="A249" s="228"/>
      <c r="B249" s="409" t="s">
        <v>210</v>
      </c>
      <c r="C249" s="260"/>
      <c r="D249" s="257"/>
      <c r="E249" s="259"/>
      <c r="F249" s="233"/>
      <c r="G249" s="410"/>
      <c r="H249" s="233"/>
      <c r="I249" s="410"/>
      <c r="J249" s="233"/>
      <c r="K249" s="410"/>
      <c r="L249" s="411"/>
      <c r="N249" s="258"/>
      <c r="O249" s="258"/>
      <c r="P249" s="258"/>
      <c r="Q249" s="258"/>
      <c r="R249" s="258"/>
      <c r="S249" s="258"/>
      <c r="T249" s="258"/>
      <c r="U249" s="258"/>
      <c r="V249" s="258"/>
      <c r="W249" s="258"/>
      <c r="X249" s="258"/>
      <c r="Y249" s="258"/>
    </row>
    <row r="250" spans="1:25" s="931" customFormat="1" x14ac:dyDescent="0.2">
      <c r="A250" s="634">
        <v>1</v>
      </c>
      <c r="B250" s="33" t="s">
        <v>444</v>
      </c>
      <c r="C250" s="634" t="s">
        <v>132</v>
      </c>
      <c r="D250" s="767"/>
      <c r="E250" s="787">
        <f>28.29*0.1</f>
        <v>2.8290000000000002</v>
      </c>
      <c r="F250" s="479"/>
      <c r="G250" s="479"/>
      <c r="H250" s="476"/>
      <c r="I250" s="36"/>
      <c r="J250" s="479"/>
      <c r="K250" s="479"/>
      <c r="L250" s="787"/>
    </row>
    <row r="251" spans="1:25" s="931" customFormat="1" x14ac:dyDescent="0.2">
      <c r="A251" s="36"/>
      <c r="B251" s="474" t="s">
        <v>107</v>
      </c>
      <c r="C251" s="36" t="s">
        <v>37</v>
      </c>
      <c r="D251" s="476">
        <v>2.9</v>
      </c>
      <c r="E251" s="476">
        <f>E250*D251</f>
        <v>8.2041000000000004</v>
      </c>
      <c r="F251" s="1127"/>
      <c r="G251" s="476">
        <f>E251*F251</f>
        <v>0</v>
      </c>
      <c r="H251" s="477"/>
      <c r="I251" s="477"/>
      <c r="J251" s="477"/>
      <c r="K251" s="477"/>
      <c r="L251" s="476">
        <f>G251+I251+K251</f>
        <v>0</v>
      </c>
    </row>
    <row r="252" spans="1:25" s="931" customFormat="1" x14ac:dyDescent="0.2">
      <c r="A252" s="36"/>
      <c r="B252" s="474" t="s">
        <v>290</v>
      </c>
      <c r="C252" s="36" t="s">
        <v>132</v>
      </c>
      <c r="D252" s="476">
        <v>1.02</v>
      </c>
      <c r="E252" s="476">
        <f>E250*D252</f>
        <v>2.88558</v>
      </c>
      <c r="F252" s="479"/>
      <c r="G252" s="477"/>
      <c r="H252" s="1122"/>
      <c r="I252" s="476">
        <f>E252*H252</f>
        <v>0</v>
      </c>
      <c r="J252" s="477"/>
      <c r="K252" s="477"/>
      <c r="L252" s="476">
        <f>G252+I252+K252</f>
        <v>0</v>
      </c>
    </row>
    <row r="253" spans="1:25" s="931" customFormat="1" x14ac:dyDescent="0.25">
      <c r="A253" s="36"/>
      <c r="B253" s="474" t="s">
        <v>146</v>
      </c>
      <c r="C253" s="36" t="s">
        <v>15</v>
      </c>
      <c r="D253" s="476">
        <v>0.88</v>
      </c>
      <c r="E253" s="476">
        <f>E250*D253</f>
        <v>2.4895200000000002</v>
      </c>
      <c r="F253" s="479"/>
      <c r="G253" s="477"/>
      <c r="H253" s="1121"/>
      <c r="I253" s="476">
        <f>E253*H253</f>
        <v>0</v>
      </c>
      <c r="J253" s="477"/>
      <c r="K253" s="477"/>
      <c r="L253" s="476">
        <f>G253+I253+K253</f>
        <v>0</v>
      </c>
    </row>
    <row r="254" spans="1:25" s="931" customFormat="1" ht="27" x14ac:dyDescent="0.2">
      <c r="A254" s="19">
        <v>2</v>
      </c>
      <c r="B254" s="15" t="s">
        <v>291</v>
      </c>
      <c r="C254" s="14" t="s">
        <v>13</v>
      </c>
      <c r="D254" s="932"/>
      <c r="E254" s="933">
        <f>(28*0.395)/1000</f>
        <v>1.106E-2</v>
      </c>
      <c r="F254" s="790"/>
      <c r="G254" s="791"/>
      <c r="H254" s="791"/>
      <c r="I254" s="791"/>
      <c r="J254" s="791"/>
      <c r="K254" s="791"/>
      <c r="L254" s="791"/>
    </row>
    <row r="255" spans="1:25" s="931" customFormat="1" x14ac:dyDescent="0.2">
      <c r="A255" s="20"/>
      <c r="B255" s="20" t="s">
        <v>36</v>
      </c>
      <c r="C255" s="19" t="s">
        <v>37</v>
      </c>
      <c r="D255" s="19">
        <v>12.3</v>
      </c>
      <c r="E255" s="493">
        <f>E254*D255</f>
        <v>0.13603800000000002</v>
      </c>
      <c r="F255" s="1127"/>
      <c r="G255" s="431">
        <f>F255*E255</f>
        <v>0</v>
      </c>
      <c r="H255" s="792"/>
      <c r="I255" s="792"/>
      <c r="J255" s="431"/>
      <c r="K255" s="431"/>
      <c r="L255" s="431">
        <f>G255+I255+K255</f>
        <v>0</v>
      </c>
    </row>
    <row r="256" spans="1:25" s="931" customFormat="1" x14ac:dyDescent="0.25">
      <c r="A256" s="20"/>
      <c r="B256" s="20" t="s">
        <v>48</v>
      </c>
      <c r="C256" s="19" t="s">
        <v>15</v>
      </c>
      <c r="D256" s="19">
        <v>1.4</v>
      </c>
      <c r="E256" s="493">
        <f>E254*D256</f>
        <v>1.5484E-2</v>
      </c>
      <c r="F256" s="432"/>
      <c r="G256" s="431"/>
      <c r="H256" s="431"/>
      <c r="I256" s="431"/>
      <c r="J256" s="1121"/>
      <c r="K256" s="431">
        <f>E256*J256</f>
        <v>0</v>
      </c>
      <c r="L256" s="431">
        <f>G256+I256+K256</f>
        <v>0</v>
      </c>
    </row>
    <row r="257" spans="1:25" s="931" customFormat="1" x14ac:dyDescent="0.25">
      <c r="A257" s="908"/>
      <c r="B257" s="723" t="s">
        <v>296</v>
      </c>
      <c r="C257" s="737" t="s">
        <v>223</v>
      </c>
      <c r="D257" s="179">
        <v>1</v>
      </c>
      <c r="E257" s="934">
        <f>D257*E254</f>
        <v>1.106E-2</v>
      </c>
      <c r="F257" s="909"/>
      <c r="G257" s="909"/>
      <c r="H257" s="1121"/>
      <c r="I257" s="909">
        <f>E257*H257</f>
        <v>0</v>
      </c>
      <c r="J257" s="909"/>
      <c r="K257" s="909"/>
      <c r="L257" s="909">
        <f>G257+I257+K257</f>
        <v>0</v>
      </c>
    </row>
    <row r="258" spans="1:25" s="931" customFormat="1" x14ac:dyDescent="0.25">
      <c r="A258" s="20"/>
      <c r="B258" s="20" t="s">
        <v>42</v>
      </c>
      <c r="C258" s="19" t="s">
        <v>15</v>
      </c>
      <c r="D258" s="19">
        <v>7.15</v>
      </c>
      <c r="E258" s="493">
        <f>E254*D258</f>
        <v>7.907900000000001E-2</v>
      </c>
      <c r="F258" s="793"/>
      <c r="G258" s="793"/>
      <c r="H258" s="1121"/>
      <c r="I258" s="431">
        <f>E258*H258</f>
        <v>0</v>
      </c>
      <c r="J258" s="431"/>
      <c r="K258" s="431"/>
      <c r="L258" s="431">
        <f>G258+I258+K258</f>
        <v>0</v>
      </c>
    </row>
    <row r="259" spans="1:25" s="771" customFormat="1" ht="15" x14ac:dyDescent="0.25">
      <c r="A259" s="366">
        <v>3</v>
      </c>
      <c r="B259" s="174" t="s">
        <v>285</v>
      </c>
      <c r="C259" s="46" t="s">
        <v>17</v>
      </c>
      <c r="D259" s="46"/>
      <c r="E259" s="242">
        <v>96</v>
      </c>
      <c r="F259" s="368"/>
      <c r="G259" s="368"/>
      <c r="H259" s="368"/>
      <c r="I259" s="368"/>
      <c r="J259" s="368"/>
      <c r="K259" s="368"/>
      <c r="L259" s="242"/>
    </row>
    <row r="260" spans="1:25" s="771" customFormat="1" ht="15" x14ac:dyDescent="0.25">
      <c r="A260" s="46"/>
      <c r="B260" s="322" t="s">
        <v>36</v>
      </c>
      <c r="C260" s="366" t="s">
        <v>286</v>
      </c>
      <c r="D260" s="366">
        <v>0.45900000000000002</v>
      </c>
      <c r="E260" s="368">
        <f>E259*D260</f>
        <v>44.064</v>
      </c>
      <c r="F260" s="1127"/>
      <c r="G260" s="935">
        <f>F260*E260</f>
        <v>0</v>
      </c>
      <c r="H260" s="936"/>
      <c r="I260" s="936"/>
      <c r="J260" s="936"/>
      <c r="K260" s="936"/>
      <c r="L260" s="935">
        <f>G260+I260+K260</f>
        <v>0</v>
      </c>
    </row>
    <row r="261" spans="1:25" s="771" customFormat="1" ht="15" x14ac:dyDescent="0.25">
      <c r="A261" s="46"/>
      <c r="B261" s="322" t="s">
        <v>48</v>
      </c>
      <c r="C261" s="366" t="s">
        <v>15</v>
      </c>
      <c r="D261" s="366">
        <v>2.3E-3</v>
      </c>
      <c r="E261" s="368">
        <f>E259*D261</f>
        <v>0.2208</v>
      </c>
      <c r="F261" s="368"/>
      <c r="G261" s="368"/>
      <c r="H261" s="368"/>
      <c r="I261" s="368"/>
      <c r="J261" s="1121"/>
      <c r="K261" s="368">
        <f>E261*J261</f>
        <v>0</v>
      </c>
      <c r="L261" s="368">
        <f>G261+I261+K261</f>
        <v>0</v>
      </c>
    </row>
    <row r="262" spans="1:25" s="771" customFormat="1" ht="18" customHeight="1" x14ac:dyDescent="0.25">
      <c r="A262" s="46"/>
      <c r="B262" s="322" t="s">
        <v>287</v>
      </c>
      <c r="C262" s="366" t="s">
        <v>13</v>
      </c>
      <c r="D262" s="366">
        <v>3.5E-4</v>
      </c>
      <c r="E262" s="368">
        <f>E259*D262</f>
        <v>3.3599999999999998E-2</v>
      </c>
      <c r="F262" s="368"/>
      <c r="G262" s="368"/>
      <c r="H262" s="1149"/>
      <c r="I262" s="935">
        <f>H262*E262</f>
        <v>0</v>
      </c>
      <c r="J262" s="935"/>
      <c r="K262" s="935"/>
      <c r="L262" s="935">
        <f>G262+I262+K262</f>
        <v>0</v>
      </c>
    </row>
    <row r="263" spans="1:25" s="771" customFormat="1" ht="15" x14ac:dyDescent="0.25">
      <c r="A263" s="46"/>
      <c r="B263" s="322" t="s">
        <v>288</v>
      </c>
      <c r="C263" s="366" t="s">
        <v>10</v>
      </c>
      <c r="D263" s="366">
        <v>9.0000000000000006E-5</v>
      </c>
      <c r="E263" s="368">
        <f>E259*D263</f>
        <v>8.6400000000000001E-3</v>
      </c>
      <c r="F263" s="368"/>
      <c r="G263" s="368"/>
      <c r="H263" s="1149"/>
      <c r="I263" s="935">
        <f>H263*E263</f>
        <v>0</v>
      </c>
      <c r="J263" s="935"/>
      <c r="K263" s="935"/>
      <c r="L263" s="935">
        <f>G263+I263+K263</f>
        <v>0</v>
      </c>
    </row>
    <row r="264" spans="1:25" s="771" customFormat="1" ht="15" x14ac:dyDescent="0.25">
      <c r="A264" s="46"/>
      <c r="B264" s="322" t="s">
        <v>289</v>
      </c>
      <c r="C264" s="366" t="s">
        <v>17</v>
      </c>
      <c r="D264" s="366">
        <v>3.4000000000000002E-2</v>
      </c>
      <c r="E264" s="368">
        <f>E259*D264</f>
        <v>3.2640000000000002</v>
      </c>
      <c r="F264" s="368"/>
      <c r="G264" s="368"/>
      <c r="H264" s="1149"/>
      <c r="I264" s="935">
        <f>H264*E264</f>
        <v>0</v>
      </c>
      <c r="J264" s="935"/>
      <c r="K264" s="935"/>
      <c r="L264" s="935">
        <f>G264+I264+K264</f>
        <v>0</v>
      </c>
    </row>
    <row r="265" spans="1:25" s="197" customFormat="1" ht="27" customHeight="1" x14ac:dyDescent="0.25">
      <c r="A265" s="34">
        <v>4</v>
      </c>
      <c r="B265" s="33" t="s">
        <v>192</v>
      </c>
      <c r="C265" s="27" t="s">
        <v>115</v>
      </c>
      <c r="D265" s="27"/>
      <c r="E265" s="31">
        <v>8</v>
      </c>
      <c r="F265" s="937"/>
      <c r="G265" s="938"/>
      <c r="H265" s="30"/>
      <c r="I265" s="30"/>
      <c r="J265" s="30"/>
      <c r="K265" s="30"/>
      <c r="L265" s="30"/>
      <c r="M265" s="278"/>
    </row>
    <row r="266" spans="1:25" s="183" customFormat="1" ht="15" customHeight="1" x14ac:dyDescent="0.25">
      <c r="A266" s="34"/>
      <c r="B266" s="39" t="s">
        <v>46</v>
      </c>
      <c r="C266" s="34" t="s">
        <v>37</v>
      </c>
      <c r="D266" s="34">
        <v>0.53</v>
      </c>
      <c r="E266" s="25">
        <f>E265*D266</f>
        <v>4.24</v>
      </c>
      <c r="F266" s="1128"/>
      <c r="G266" s="25">
        <f>E266*F266</f>
        <v>0</v>
      </c>
      <c r="H266" s="406"/>
      <c r="I266" s="406"/>
      <c r="J266" s="25"/>
      <c r="K266" s="25"/>
      <c r="L266" s="25">
        <f>G266+I266+K266</f>
        <v>0</v>
      </c>
      <c r="M266" s="278"/>
    </row>
    <row r="267" spans="1:25" s="197" customFormat="1" ht="21" customHeight="1" x14ac:dyDescent="0.25">
      <c r="A267" s="34">
        <v>5</v>
      </c>
      <c r="B267" s="33" t="s">
        <v>193</v>
      </c>
      <c r="C267" s="27" t="s">
        <v>115</v>
      </c>
      <c r="D267" s="27"/>
      <c r="E267" s="31">
        <f>8*1.6</f>
        <v>12.8</v>
      </c>
      <c r="F267" s="25"/>
      <c r="G267" s="25"/>
      <c r="H267" s="25"/>
      <c r="I267" s="25"/>
      <c r="J267" s="1128"/>
      <c r="K267" s="25">
        <f>J267*E267</f>
        <v>0</v>
      </c>
      <c r="L267" s="25">
        <f>G267+I267+K267</f>
        <v>0</v>
      </c>
      <c r="M267" s="278"/>
    </row>
    <row r="268" spans="1:25" s="237" customFormat="1" x14ac:dyDescent="0.25">
      <c r="A268" s="228"/>
      <c r="B268" s="27" t="s">
        <v>82</v>
      </c>
      <c r="C268" s="260"/>
      <c r="D268" s="257"/>
      <c r="E268" s="244"/>
      <c r="F268" s="230"/>
      <c r="G268" s="257">
        <f>SUM(G7:G267)</f>
        <v>0</v>
      </c>
      <c r="H268" s="243"/>
      <c r="I268" s="257">
        <f>SUM(I7:I267)</f>
        <v>0</v>
      </c>
      <c r="J268" s="230"/>
      <c r="K268" s="257">
        <f>SUM(K7:K267)</f>
        <v>0</v>
      </c>
      <c r="L268" s="244">
        <f>SUM(L7:L267)</f>
        <v>0</v>
      </c>
      <c r="N268" s="245"/>
      <c r="O268" s="245"/>
      <c r="P268" s="245"/>
      <c r="Q268" s="245"/>
      <c r="R268" s="245"/>
      <c r="S268" s="245"/>
      <c r="T268" s="245"/>
      <c r="U268" s="245"/>
      <c r="V268" s="245"/>
      <c r="W268" s="245"/>
      <c r="X268" s="245"/>
      <c r="Y268" s="245"/>
    </row>
    <row r="269" spans="1:25" s="234" customFormat="1" x14ac:dyDescent="0.25">
      <c r="A269" s="261"/>
      <c r="B269" s="263" t="s">
        <v>66</v>
      </c>
      <c r="C269" s="1152"/>
      <c r="D269" s="265"/>
      <c r="E269" s="266"/>
      <c r="F269" s="229"/>
      <c r="G269" s="262"/>
      <c r="H269" s="267"/>
      <c r="I269" s="262"/>
      <c r="J269" s="262"/>
      <c r="K269" s="262"/>
      <c r="L269" s="266">
        <f>G268*C269</f>
        <v>0</v>
      </c>
      <c r="N269" s="258"/>
      <c r="O269" s="258"/>
      <c r="P269" s="258"/>
      <c r="Q269" s="258"/>
      <c r="R269" s="258"/>
      <c r="S269" s="258"/>
      <c r="T269" s="258"/>
      <c r="U269" s="258"/>
      <c r="V269" s="258"/>
      <c r="W269" s="258"/>
      <c r="X269" s="258"/>
      <c r="Y269" s="258"/>
    </row>
    <row r="270" spans="1:25" s="237" customFormat="1" x14ac:dyDescent="0.25">
      <c r="A270" s="228"/>
      <c r="B270" s="27" t="s">
        <v>7</v>
      </c>
      <c r="C270" s="260"/>
      <c r="D270" s="257"/>
      <c r="E270" s="244"/>
      <c r="F270" s="230"/>
      <c r="G270" s="268"/>
      <c r="H270" s="243"/>
      <c r="I270" s="230"/>
      <c r="J270" s="230"/>
      <c r="K270" s="230"/>
      <c r="L270" s="269">
        <f>SUM(L268:L269)</f>
        <v>0</v>
      </c>
      <c r="N270" s="245"/>
      <c r="O270" s="245"/>
      <c r="P270" s="245"/>
      <c r="Q270" s="245"/>
      <c r="R270" s="245"/>
      <c r="S270" s="245"/>
      <c r="T270" s="245"/>
      <c r="U270" s="245"/>
      <c r="V270" s="245"/>
      <c r="W270" s="245"/>
      <c r="X270" s="245"/>
      <c r="Y270" s="245"/>
    </row>
    <row r="271" spans="1:25" s="234" customFormat="1" x14ac:dyDescent="0.25">
      <c r="A271" s="228"/>
      <c r="B271" s="22" t="s">
        <v>65</v>
      </c>
      <c r="C271" s="1152"/>
      <c r="D271" s="264"/>
      <c r="E271" s="259"/>
      <c r="F271" s="229"/>
      <c r="G271" s="270"/>
      <c r="H271" s="233"/>
      <c r="I271" s="229"/>
      <c r="J271" s="229"/>
      <c r="K271" s="229"/>
      <c r="L271" s="271">
        <f>L270*C271</f>
        <v>0</v>
      </c>
      <c r="N271" s="258"/>
      <c r="O271" s="258"/>
      <c r="P271" s="258"/>
      <c r="Q271" s="258"/>
      <c r="R271" s="258"/>
      <c r="S271" s="258"/>
      <c r="T271" s="258"/>
      <c r="U271" s="258"/>
      <c r="V271" s="258"/>
      <c r="W271" s="258"/>
      <c r="X271" s="258"/>
      <c r="Y271" s="258"/>
    </row>
    <row r="272" spans="1:25" s="237" customFormat="1" x14ac:dyDescent="0.25">
      <c r="A272" s="228"/>
      <c r="B272" s="27" t="s">
        <v>7</v>
      </c>
      <c r="C272" s="199"/>
      <c r="D272" s="199"/>
      <c r="E272" s="244"/>
      <c r="F272" s="230"/>
      <c r="G272" s="268"/>
      <c r="H272" s="243"/>
      <c r="I272" s="230"/>
      <c r="J272" s="230"/>
      <c r="K272" s="230"/>
      <c r="L272" s="269">
        <f>SUM(L270:L271)</f>
        <v>0</v>
      </c>
    </row>
    <row r="273" spans="1:12" s="234" customFormat="1" x14ac:dyDescent="0.25">
      <c r="A273" s="228"/>
      <c r="B273" s="22" t="s">
        <v>162</v>
      </c>
      <c r="C273" s="1152"/>
      <c r="D273" s="264"/>
      <c r="E273" s="259"/>
      <c r="F273" s="229"/>
      <c r="G273" s="270"/>
      <c r="H273" s="233"/>
      <c r="I273" s="229"/>
      <c r="J273" s="229"/>
      <c r="K273" s="229"/>
      <c r="L273" s="271">
        <f>L272*C273</f>
        <v>0</v>
      </c>
    </row>
    <row r="274" spans="1:12" s="237" customFormat="1" x14ac:dyDescent="0.25">
      <c r="A274" s="228"/>
      <c r="B274" s="27" t="s">
        <v>7</v>
      </c>
      <c r="C274" s="260"/>
      <c r="D274" s="257"/>
      <c r="E274" s="244"/>
      <c r="F274" s="230"/>
      <c r="G274" s="268"/>
      <c r="H274" s="243"/>
      <c r="I274" s="230"/>
      <c r="J274" s="230"/>
      <c r="K274" s="230"/>
      <c r="L274" s="269">
        <f>SUM(L272:L273)</f>
        <v>0</v>
      </c>
    </row>
  </sheetData>
  <protectedRanges>
    <protectedRange sqref="H188:I188 G187 G181 J181 J187" name="Range1_2"/>
  </protectedRanges>
  <autoFilter ref="A6:IU274"/>
  <mergeCells count="11">
    <mergeCell ref="A2:L2"/>
    <mergeCell ref="A3:L3"/>
    <mergeCell ref="G1:H1"/>
    <mergeCell ref="L4:L5"/>
    <mergeCell ref="A4:A5"/>
    <mergeCell ref="B4:B5"/>
    <mergeCell ref="C4:C5"/>
    <mergeCell ref="D4:E4"/>
    <mergeCell ref="F4:G4"/>
    <mergeCell ref="H4:I4"/>
    <mergeCell ref="J4:K4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85" orientation="landscape" r:id="rId1"/>
  <rowBreaks count="7" manualBreakCount="7">
    <brk id="31" max="12" man="1"/>
    <brk id="73" max="12" man="1"/>
    <brk id="108" max="12" man="1"/>
    <brk id="148" max="12" man="1"/>
    <brk id="185" max="12" man="1"/>
    <brk id="224" max="12" man="1"/>
    <brk id="258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view="pageBreakPreview" topLeftCell="A61" zoomScale="120" zoomScaleNormal="100" zoomScaleSheetLayoutView="120" workbookViewId="0">
      <selection activeCell="C80" sqref="C80"/>
    </sheetView>
  </sheetViews>
  <sheetFormatPr defaultColWidth="9.140625" defaultRowHeight="13.5" x14ac:dyDescent="0.25"/>
  <cols>
    <col min="1" max="1" width="7" style="275" customWidth="1"/>
    <col min="2" max="2" width="50.7109375" style="97" customWidth="1"/>
    <col min="3" max="3" width="7.7109375" style="241" customWidth="1"/>
    <col min="4" max="4" width="8.140625" style="241" customWidth="1"/>
    <col min="5" max="5" width="7.5703125" style="240" customWidth="1"/>
    <col min="6" max="6" width="7" style="240" customWidth="1"/>
    <col min="7" max="7" width="7.5703125" style="240" customWidth="1"/>
    <col min="8" max="8" width="8.140625" style="240" customWidth="1"/>
    <col min="9" max="9" width="9" style="240" customWidth="1"/>
    <col min="10" max="10" width="7" style="240" customWidth="1"/>
    <col min="11" max="11" width="6.5703125" style="240" customWidth="1"/>
    <col min="12" max="12" width="10.5703125" style="240" customWidth="1"/>
    <col min="13" max="13" width="8.140625" style="240" customWidth="1"/>
    <col min="14" max="18" width="9.140625" style="240"/>
    <col min="19" max="19" width="16" style="240" customWidth="1"/>
    <col min="20" max="16384" width="9.140625" style="240"/>
  </cols>
  <sheetData>
    <row r="1" spans="1:25" s="204" customFormat="1" ht="15.75" x14ac:dyDescent="0.3">
      <c r="A1" s="272"/>
      <c r="B1" s="203"/>
      <c r="C1" s="202"/>
      <c r="D1" s="202"/>
      <c r="F1" s="708"/>
      <c r="G1" s="205"/>
      <c r="H1" s="205"/>
      <c r="I1" s="205"/>
      <c r="J1" s="205"/>
      <c r="K1" s="1091"/>
      <c r="L1" s="1091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</row>
    <row r="2" spans="1:25" s="207" customFormat="1" ht="16.5" x14ac:dyDescent="0.25">
      <c r="A2" s="1092"/>
      <c r="B2" s="1092"/>
      <c r="C2" s="1092"/>
      <c r="D2" s="1092"/>
      <c r="E2" s="1092"/>
      <c r="F2" s="1092"/>
      <c r="G2" s="1092"/>
      <c r="H2" s="1092"/>
      <c r="I2" s="1092"/>
      <c r="J2" s="1092"/>
      <c r="K2" s="1093"/>
      <c r="L2" s="1093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</row>
    <row r="3" spans="1:25" s="207" customFormat="1" ht="16.5" x14ac:dyDescent="0.25">
      <c r="A3" s="273"/>
      <c r="B3" s="210"/>
      <c r="C3" s="210"/>
      <c r="D3" s="210"/>
      <c r="E3" s="210"/>
      <c r="F3" s="707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</row>
    <row r="4" spans="1:25" s="207" customFormat="1" ht="16.5" x14ac:dyDescent="0.25">
      <c r="A4" s="1078" t="s">
        <v>232</v>
      </c>
      <c r="B4" s="1078"/>
      <c r="C4" s="1078"/>
      <c r="D4" s="1078"/>
      <c r="E4" s="1078"/>
      <c r="F4" s="1078"/>
      <c r="G4" s="1078"/>
      <c r="H4" s="1078"/>
      <c r="I4" s="1078"/>
      <c r="J4" s="1078"/>
      <c r="K4" s="1078"/>
      <c r="L4" s="107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</row>
    <row r="5" spans="1:25" s="207" customFormat="1" ht="16.5" x14ac:dyDescent="0.25">
      <c r="A5" s="1078"/>
      <c r="B5" s="1078"/>
      <c r="C5" s="1078"/>
      <c r="D5" s="1078"/>
      <c r="E5" s="1078"/>
      <c r="F5" s="1078"/>
      <c r="G5" s="1078"/>
      <c r="H5" s="1078"/>
      <c r="I5" s="1078"/>
      <c r="J5" s="1078"/>
      <c r="K5" s="1078"/>
      <c r="L5" s="107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</row>
    <row r="6" spans="1:25" ht="15.75" x14ac:dyDescent="0.25">
      <c r="A6" s="1090"/>
      <c r="B6" s="1090"/>
      <c r="C6" s="1090"/>
      <c r="D6" s="1090"/>
      <c r="E6" s="97"/>
      <c r="F6" s="250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</row>
    <row r="7" spans="1:25" ht="15.75" x14ac:dyDescent="0.25">
      <c r="A7" s="1090"/>
      <c r="B7" s="1090"/>
      <c r="C7" s="253"/>
      <c r="D7" s="253"/>
      <c r="E7" s="254"/>
      <c r="F7" s="255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</row>
    <row r="8" spans="1:25" s="202" customFormat="1" ht="29.25" customHeight="1" x14ac:dyDescent="0.25">
      <c r="A8" s="1094" t="s">
        <v>0</v>
      </c>
      <c r="B8" s="1084" t="s">
        <v>1</v>
      </c>
      <c r="C8" s="1084" t="s">
        <v>2</v>
      </c>
      <c r="D8" s="1086" t="s">
        <v>3</v>
      </c>
      <c r="E8" s="1087"/>
      <c r="F8" s="1088" t="s">
        <v>4</v>
      </c>
      <c r="G8" s="1089"/>
      <c r="H8" s="1088" t="s">
        <v>5</v>
      </c>
      <c r="I8" s="1089"/>
      <c r="J8" s="1088" t="s">
        <v>6</v>
      </c>
      <c r="K8" s="1089"/>
      <c r="L8" s="1080" t="s">
        <v>7</v>
      </c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</row>
    <row r="9" spans="1:25" s="202" customFormat="1" ht="23.25" customHeight="1" x14ac:dyDescent="0.25">
      <c r="A9" s="1095"/>
      <c r="B9" s="1085"/>
      <c r="C9" s="1085"/>
      <c r="D9" s="214" t="s">
        <v>8</v>
      </c>
      <c r="E9" s="214" t="s">
        <v>9</v>
      </c>
      <c r="F9" s="215" t="s">
        <v>8</v>
      </c>
      <c r="G9" s="215" t="s">
        <v>9</v>
      </c>
      <c r="H9" s="215" t="s">
        <v>8</v>
      </c>
      <c r="I9" s="215" t="s">
        <v>9</v>
      </c>
      <c r="J9" s="215" t="s">
        <v>8</v>
      </c>
      <c r="K9" s="215" t="s">
        <v>9</v>
      </c>
      <c r="L9" s="1081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</row>
    <row r="10" spans="1:25" s="201" customFormat="1" ht="17.25" customHeight="1" x14ac:dyDescent="0.25">
      <c r="A10" s="274">
        <v>1</v>
      </c>
      <c r="B10" s="216">
        <v>3</v>
      </c>
      <c r="C10" s="216">
        <v>4</v>
      </c>
      <c r="D10" s="216">
        <v>5</v>
      </c>
      <c r="E10" s="216">
        <v>6</v>
      </c>
      <c r="F10" s="216">
        <v>7</v>
      </c>
      <c r="G10" s="216">
        <v>8</v>
      </c>
      <c r="H10" s="216">
        <v>9</v>
      </c>
      <c r="I10" s="216">
        <v>10</v>
      </c>
      <c r="J10" s="216">
        <v>11</v>
      </c>
      <c r="K10" s="216">
        <v>12</v>
      </c>
      <c r="L10" s="217">
        <v>13</v>
      </c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</row>
    <row r="11" spans="1:25" s="66" customFormat="1" ht="40.5" x14ac:dyDescent="0.25">
      <c r="A11" s="27">
        <v>1</v>
      </c>
      <c r="B11" s="28" t="s">
        <v>62</v>
      </c>
      <c r="C11" s="27" t="s">
        <v>43</v>
      </c>
      <c r="D11" s="34"/>
      <c r="E11" s="27">
        <v>24</v>
      </c>
      <c r="F11" s="25"/>
      <c r="G11" s="99"/>
      <c r="H11" s="25"/>
      <c r="I11" s="25"/>
      <c r="J11" s="25"/>
      <c r="K11" s="25"/>
      <c r="L11" s="25"/>
      <c r="N11" s="85"/>
      <c r="O11" s="85"/>
      <c r="P11" s="67"/>
      <c r="Q11" s="85"/>
      <c r="R11" s="85"/>
      <c r="S11" s="67"/>
      <c r="T11" s="85"/>
      <c r="U11" s="85"/>
      <c r="V11" s="67"/>
      <c r="W11" s="76"/>
      <c r="X11" s="67"/>
      <c r="Y11" s="67"/>
    </row>
    <row r="12" spans="1:25" s="64" customFormat="1" ht="15" customHeight="1" x14ac:dyDescent="0.25">
      <c r="A12" s="14"/>
      <c r="B12" s="32" t="s">
        <v>36</v>
      </c>
      <c r="C12" s="19" t="s">
        <v>37</v>
      </c>
      <c r="D12" s="26">
        <v>1.43</v>
      </c>
      <c r="E12" s="19">
        <f>E11*D12</f>
        <v>34.32</v>
      </c>
      <c r="F12" s="1148"/>
      <c r="G12" s="18">
        <f>E12*F12</f>
        <v>0</v>
      </c>
      <c r="H12" s="18"/>
      <c r="I12" s="18"/>
      <c r="J12" s="18"/>
      <c r="K12" s="18"/>
      <c r="L12" s="18">
        <f>G12+I12+K12</f>
        <v>0</v>
      </c>
      <c r="N12" s="78"/>
      <c r="O12" s="74"/>
      <c r="P12" s="65"/>
      <c r="Q12" s="78"/>
      <c r="R12" s="74"/>
      <c r="S12" s="65"/>
      <c r="T12" s="78"/>
      <c r="U12" s="74"/>
      <c r="V12" s="65"/>
      <c r="W12" s="76"/>
      <c r="X12" s="65"/>
      <c r="Y12" s="65"/>
    </row>
    <row r="13" spans="1:25" s="64" customFormat="1" ht="14.25" customHeight="1" x14ac:dyDescent="0.25">
      <c r="A13" s="14"/>
      <c r="B13" s="32" t="s">
        <v>44</v>
      </c>
      <c r="C13" s="19" t="s">
        <v>15</v>
      </c>
      <c r="D13" s="19">
        <v>2.5700000000000001E-2</v>
      </c>
      <c r="E13" s="19">
        <f>E11*D13</f>
        <v>0.61680000000000001</v>
      </c>
      <c r="F13" s="18"/>
      <c r="G13" s="18"/>
      <c r="H13" s="18"/>
      <c r="I13" s="18"/>
      <c r="J13" s="1148"/>
      <c r="K13" s="18">
        <f>E13*J13</f>
        <v>0</v>
      </c>
      <c r="L13" s="18">
        <f>G13+I13+K13</f>
        <v>0</v>
      </c>
      <c r="N13" s="74"/>
      <c r="O13" s="74"/>
      <c r="P13" s="65"/>
      <c r="Q13" s="74"/>
      <c r="R13" s="74"/>
      <c r="S13" s="65"/>
      <c r="T13" s="74"/>
      <c r="U13" s="74"/>
      <c r="V13" s="65"/>
      <c r="W13" s="76"/>
      <c r="X13" s="65"/>
      <c r="Y13" s="65"/>
    </row>
    <row r="14" spans="1:25" s="66" customFormat="1" ht="28.5" customHeight="1" x14ac:dyDescent="0.25">
      <c r="A14" s="27"/>
      <c r="B14" s="39" t="s">
        <v>45</v>
      </c>
      <c r="C14" s="34" t="s">
        <v>43</v>
      </c>
      <c r="D14" s="89">
        <v>0.92900000000000005</v>
      </c>
      <c r="E14" s="34">
        <f>E11*D14</f>
        <v>22.295999999999999</v>
      </c>
      <c r="F14" s="25"/>
      <c r="G14" s="25"/>
      <c r="H14" s="1128"/>
      <c r="I14" s="25">
        <f>E14*H14</f>
        <v>0</v>
      </c>
      <c r="J14" s="25"/>
      <c r="K14" s="25"/>
      <c r="L14" s="25">
        <f>G14+I14+K14</f>
        <v>0</v>
      </c>
      <c r="N14" s="90"/>
      <c r="O14" s="85"/>
      <c r="P14" s="67"/>
      <c r="Q14" s="90"/>
      <c r="R14" s="85"/>
      <c r="S14" s="67"/>
      <c r="T14" s="90"/>
      <c r="U14" s="85"/>
      <c r="V14" s="67"/>
      <c r="W14" s="76"/>
      <c r="X14" s="67"/>
      <c r="Y14" s="67"/>
    </row>
    <row r="15" spans="1:25" s="64" customFormat="1" ht="13.5" customHeight="1" x14ac:dyDescent="0.25">
      <c r="A15" s="14"/>
      <c r="B15" s="32" t="s">
        <v>42</v>
      </c>
      <c r="C15" s="19" t="s">
        <v>15</v>
      </c>
      <c r="D15" s="19">
        <v>4.5699999999999998E-2</v>
      </c>
      <c r="E15" s="19">
        <f>E11*D15</f>
        <v>1.0968</v>
      </c>
      <c r="F15" s="18"/>
      <c r="G15" s="18"/>
      <c r="H15" s="1148"/>
      <c r="I15" s="18">
        <f>E15*H15</f>
        <v>0</v>
      </c>
      <c r="J15" s="18"/>
      <c r="K15" s="18"/>
      <c r="L15" s="18">
        <f>G15+I15+K15</f>
        <v>0</v>
      </c>
      <c r="N15" s="74"/>
      <c r="O15" s="74"/>
      <c r="P15" s="65"/>
      <c r="Q15" s="74"/>
      <c r="R15" s="74"/>
      <c r="S15" s="65"/>
      <c r="T15" s="74"/>
      <c r="U15" s="74"/>
      <c r="V15" s="65"/>
      <c r="W15" s="76"/>
      <c r="X15" s="65"/>
      <c r="Y15" s="65"/>
    </row>
    <row r="16" spans="1:25" s="93" customFormat="1" x14ac:dyDescent="0.25">
      <c r="A16" s="14">
        <v>2</v>
      </c>
      <c r="B16" s="91" t="s">
        <v>391</v>
      </c>
      <c r="C16" s="14" t="s">
        <v>21</v>
      </c>
      <c r="D16" s="14"/>
      <c r="E16" s="41">
        <v>1</v>
      </c>
      <c r="F16" s="17"/>
      <c r="G16" s="17"/>
      <c r="H16" s="17"/>
      <c r="I16" s="17"/>
      <c r="J16" s="17"/>
      <c r="K16" s="17"/>
      <c r="L16" s="18"/>
    </row>
    <row r="17" spans="1:25" s="94" customFormat="1" x14ac:dyDescent="0.25">
      <c r="A17" s="14"/>
      <c r="B17" s="32" t="s">
        <v>36</v>
      </c>
      <c r="C17" s="19" t="s">
        <v>37</v>
      </c>
      <c r="D17" s="19">
        <v>1.85</v>
      </c>
      <c r="E17" s="18">
        <f>E16*D17</f>
        <v>1.85</v>
      </c>
      <c r="F17" s="1148"/>
      <c r="G17" s="18">
        <f>E17*F17</f>
        <v>0</v>
      </c>
      <c r="H17" s="18"/>
      <c r="I17" s="18"/>
      <c r="J17" s="18"/>
      <c r="K17" s="18"/>
      <c r="L17" s="18">
        <f>G17+I17+K17</f>
        <v>0</v>
      </c>
    </row>
    <row r="18" spans="1:25" s="94" customFormat="1" x14ac:dyDescent="0.25">
      <c r="A18" s="14"/>
      <c r="B18" s="32" t="s">
        <v>40</v>
      </c>
      <c r="C18" s="19" t="s">
        <v>15</v>
      </c>
      <c r="D18" s="19">
        <v>0.03</v>
      </c>
      <c r="E18" s="18">
        <f>E16*D18</f>
        <v>0.03</v>
      </c>
      <c r="F18" s="18"/>
      <c r="G18" s="18"/>
      <c r="H18" s="18"/>
      <c r="I18" s="18"/>
      <c r="J18" s="1148"/>
      <c r="K18" s="18">
        <f>E18*J18</f>
        <v>0</v>
      </c>
      <c r="L18" s="18">
        <f>G18+I18+K18</f>
        <v>0</v>
      </c>
    </row>
    <row r="19" spans="1:25" s="94" customFormat="1" ht="16.5" customHeight="1" x14ac:dyDescent="0.25">
      <c r="A19" s="14"/>
      <c r="B19" s="32" t="s">
        <v>391</v>
      </c>
      <c r="C19" s="19" t="s">
        <v>21</v>
      </c>
      <c r="D19" s="19"/>
      <c r="E19" s="35">
        <f>E16</f>
        <v>1</v>
      </c>
      <c r="F19" s="18"/>
      <c r="G19" s="18"/>
      <c r="H19" s="1148"/>
      <c r="I19" s="18">
        <f>E19*H19</f>
        <v>0</v>
      </c>
      <c r="J19" s="18"/>
      <c r="K19" s="18"/>
      <c r="L19" s="18">
        <f>G19+I19+K19</f>
        <v>0</v>
      </c>
    </row>
    <row r="20" spans="1:25" s="94" customFormat="1" x14ac:dyDescent="0.25">
      <c r="A20" s="14"/>
      <c r="B20" s="32" t="s">
        <v>42</v>
      </c>
      <c r="C20" s="19" t="s">
        <v>15</v>
      </c>
      <c r="D20" s="19">
        <v>0.18</v>
      </c>
      <c r="E20" s="18">
        <f>E16*D20</f>
        <v>0.18</v>
      </c>
      <c r="F20" s="18"/>
      <c r="G20" s="18"/>
      <c r="H20" s="1148"/>
      <c r="I20" s="18">
        <f>E20*H20</f>
        <v>0</v>
      </c>
      <c r="J20" s="18"/>
      <c r="K20" s="18"/>
      <c r="L20" s="18">
        <f>G20+I20+K20</f>
        <v>0</v>
      </c>
    </row>
    <row r="21" spans="1:25" s="320" customFormat="1" ht="54" x14ac:dyDescent="0.25">
      <c r="A21" s="27">
        <v>3</v>
      </c>
      <c r="B21" s="28" t="s">
        <v>380</v>
      </c>
      <c r="C21" s="27" t="s">
        <v>39</v>
      </c>
      <c r="D21" s="27"/>
      <c r="E21" s="29">
        <v>3</v>
      </c>
      <c r="F21" s="30"/>
      <c r="G21" s="30"/>
      <c r="H21" s="30"/>
      <c r="I21" s="30"/>
      <c r="J21" s="30"/>
      <c r="K21" s="30"/>
      <c r="L21" s="30"/>
      <c r="N21" s="136"/>
      <c r="O21" s="650"/>
      <c r="P21" s="519"/>
      <c r="Q21" s="136"/>
      <c r="R21" s="650"/>
      <c r="S21" s="519"/>
      <c r="T21" s="136"/>
      <c r="U21" s="650"/>
      <c r="V21" s="519"/>
      <c r="W21" s="139"/>
      <c r="X21" s="519"/>
      <c r="Y21" s="519"/>
    </row>
    <row r="22" spans="1:25" s="64" customFormat="1" ht="13.5" customHeight="1" x14ac:dyDescent="0.25">
      <c r="A22" s="14"/>
      <c r="B22" s="32" t="s">
        <v>36</v>
      </c>
      <c r="C22" s="19" t="s">
        <v>37</v>
      </c>
      <c r="D22" s="19">
        <v>2.19</v>
      </c>
      <c r="E22" s="18">
        <f>E21*D22</f>
        <v>6.57</v>
      </c>
      <c r="F22" s="1148"/>
      <c r="G22" s="25">
        <f>E22*F22</f>
        <v>0</v>
      </c>
      <c r="H22" s="18"/>
      <c r="I22" s="18"/>
      <c r="J22" s="18"/>
      <c r="K22" s="18"/>
      <c r="L22" s="18">
        <f>G22+I22+K22</f>
        <v>0</v>
      </c>
      <c r="N22" s="74"/>
      <c r="O22" s="75"/>
      <c r="P22" s="65"/>
      <c r="Q22" s="74"/>
      <c r="R22" s="75"/>
      <c r="S22" s="65"/>
      <c r="T22" s="74"/>
      <c r="U22" s="75"/>
      <c r="V22" s="65"/>
      <c r="W22" s="76"/>
      <c r="X22" s="65"/>
      <c r="Y22" s="65"/>
    </row>
    <row r="23" spans="1:25" s="64" customFormat="1" ht="13.5" customHeight="1" x14ac:dyDescent="0.25">
      <c r="A23" s="14"/>
      <c r="B23" s="32" t="s">
        <v>40</v>
      </c>
      <c r="C23" s="19" t="s">
        <v>15</v>
      </c>
      <c r="D23" s="19">
        <v>7.0000000000000007E-2</v>
      </c>
      <c r="E23" s="18">
        <f>E21*D23</f>
        <v>0.21000000000000002</v>
      </c>
      <c r="F23" s="18"/>
      <c r="G23" s="18"/>
      <c r="H23" s="18"/>
      <c r="I23" s="18"/>
      <c r="J23" s="1148"/>
      <c r="K23" s="18">
        <f>E23*J23</f>
        <v>0</v>
      </c>
      <c r="L23" s="18">
        <f>G23+I23+K23</f>
        <v>0</v>
      </c>
      <c r="N23" s="74"/>
      <c r="O23" s="75"/>
      <c r="P23" s="65"/>
      <c r="Q23" s="74"/>
      <c r="R23" s="75"/>
      <c r="S23" s="65"/>
      <c r="T23" s="74"/>
      <c r="U23" s="75"/>
      <c r="V23" s="65"/>
      <c r="W23" s="76"/>
      <c r="X23" s="65"/>
      <c r="Y23" s="65"/>
    </row>
    <row r="24" spans="1:25" s="64" customFormat="1" ht="14.25" customHeight="1" x14ac:dyDescent="0.25">
      <c r="A24" s="14"/>
      <c r="B24" s="32" t="s">
        <v>41</v>
      </c>
      <c r="C24" s="19"/>
      <c r="D24" s="19"/>
      <c r="E24" s="18"/>
      <c r="F24" s="18"/>
      <c r="G24" s="18"/>
      <c r="H24" s="18"/>
      <c r="I24" s="18"/>
      <c r="J24" s="18"/>
      <c r="K24" s="18"/>
      <c r="L24" s="18"/>
      <c r="N24" s="74"/>
      <c r="O24" s="75"/>
      <c r="P24" s="65"/>
      <c r="Q24" s="74"/>
      <c r="R24" s="75"/>
      <c r="S24" s="65"/>
      <c r="T24" s="74"/>
      <c r="U24" s="75"/>
      <c r="V24" s="65"/>
      <c r="W24" s="76"/>
      <c r="X24" s="65"/>
      <c r="Y24" s="65"/>
    </row>
    <row r="25" spans="1:25" s="66" customFormat="1" ht="60" customHeight="1" x14ac:dyDescent="0.25">
      <c r="A25" s="27"/>
      <c r="B25" s="39" t="s">
        <v>380</v>
      </c>
      <c r="C25" s="34" t="s">
        <v>39</v>
      </c>
      <c r="D25" s="34">
        <v>1</v>
      </c>
      <c r="E25" s="42">
        <f>E21*D25</f>
        <v>3</v>
      </c>
      <c r="F25" s="25"/>
      <c r="G25" s="25"/>
      <c r="H25" s="1128"/>
      <c r="I25" s="25">
        <f>E25*H25</f>
        <v>0</v>
      </c>
      <c r="J25" s="25"/>
      <c r="K25" s="25"/>
      <c r="L25" s="25">
        <f>G25+I25+K25</f>
        <v>0</v>
      </c>
      <c r="N25" s="85"/>
      <c r="O25" s="96"/>
      <c r="P25" s="67"/>
      <c r="Q25" s="85"/>
      <c r="R25" s="96"/>
      <c r="S25" s="67"/>
      <c r="T25" s="85"/>
      <c r="U25" s="96"/>
      <c r="V25" s="67"/>
      <c r="W25" s="76"/>
      <c r="X25" s="67"/>
      <c r="Y25" s="67"/>
    </row>
    <row r="26" spans="1:25" s="64" customFormat="1" ht="15" customHeight="1" x14ac:dyDescent="0.25">
      <c r="A26" s="14"/>
      <c r="B26" s="32" t="s">
        <v>42</v>
      </c>
      <c r="C26" s="19" t="s">
        <v>15</v>
      </c>
      <c r="D26" s="19">
        <v>0.37</v>
      </c>
      <c r="E26" s="18">
        <f>E21*D26</f>
        <v>1.1099999999999999</v>
      </c>
      <c r="F26" s="18"/>
      <c r="G26" s="18"/>
      <c r="H26" s="1148"/>
      <c r="I26" s="18">
        <f>E26*H26</f>
        <v>0</v>
      </c>
      <c r="J26" s="18"/>
      <c r="K26" s="18"/>
      <c r="L26" s="18">
        <f>G26+I26+K26</f>
        <v>0</v>
      </c>
      <c r="N26" s="74"/>
      <c r="O26" s="75"/>
      <c r="P26" s="65"/>
      <c r="Q26" s="74"/>
      <c r="R26" s="75"/>
      <c r="S26" s="65"/>
      <c r="T26" s="74"/>
      <c r="U26" s="75"/>
      <c r="V26" s="65"/>
      <c r="W26" s="76"/>
      <c r="X26" s="65"/>
      <c r="Y26" s="65"/>
    </row>
    <row r="27" spans="1:25" s="66" customFormat="1" ht="44.25" customHeight="1" x14ac:dyDescent="0.25">
      <c r="A27" s="27">
        <v>4</v>
      </c>
      <c r="B27" s="28" t="s">
        <v>106</v>
      </c>
      <c r="C27" s="37" t="s">
        <v>21</v>
      </c>
      <c r="D27" s="34"/>
      <c r="E27" s="34">
        <v>8</v>
      </c>
      <c r="F27" s="25"/>
      <c r="G27" s="99"/>
      <c r="H27" s="25"/>
      <c r="I27" s="25"/>
      <c r="J27" s="25"/>
      <c r="K27" s="25"/>
      <c r="L27" s="25"/>
      <c r="M27" s="97"/>
      <c r="N27" s="85"/>
      <c r="O27" s="85"/>
      <c r="P27" s="98"/>
      <c r="Q27" s="85"/>
      <c r="R27" s="85"/>
      <c r="S27" s="67"/>
      <c r="T27" s="85"/>
      <c r="U27" s="85"/>
      <c r="V27" s="67"/>
      <c r="W27" s="76"/>
      <c r="X27" s="67"/>
      <c r="Y27" s="67"/>
    </row>
    <row r="28" spans="1:25" s="66" customFormat="1" ht="15.75" customHeight="1" x14ac:dyDescent="0.25">
      <c r="A28" s="27"/>
      <c r="B28" s="39" t="s">
        <v>36</v>
      </c>
      <c r="C28" s="34" t="s">
        <v>37</v>
      </c>
      <c r="D28" s="34">
        <v>1.51</v>
      </c>
      <c r="E28" s="34">
        <f>E27*D28</f>
        <v>12.08</v>
      </c>
      <c r="F28" s="1148"/>
      <c r="G28" s="25">
        <f>E28*F28</f>
        <v>0</v>
      </c>
      <c r="H28" s="25"/>
      <c r="I28" s="25"/>
      <c r="J28" s="25"/>
      <c r="K28" s="25"/>
      <c r="L28" s="25">
        <f>G28+I28+K28</f>
        <v>0</v>
      </c>
      <c r="M28" s="97"/>
      <c r="N28" s="85"/>
      <c r="O28" s="85"/>
      <c r="P28" s="98"/>
      <c r="Q28" s="85"/>
      <c r="R28" s="85"/>
      <c r="S28" s="67"/>
      <c r="T28" s="85"/>
      <c r="U28" s="85"/>
      <c r="V28" s="67"/>
      <c r="W28" s="76"/>
      <c r="X28" s="67"/>
      <c r="Y28" s="67"/>
    </row>
    <row r="29" spans="1:25" s="66" customFormat="1" ht="15" customHeight="1" x14ac:dyDescent="0.25">
      <c r="A29" s="27"/>
      <c r="B29" s="39" t="s">
        <v>40</v>
      </c>
      <c r="C29" s="34" t="s">
        <v>15</v>
      </c>
      <c r="D29" s="34">
        <v>0.13</v>
      </c>
      <c r="E29" s="34">
        <f>E27*D29</f>
        <v>1.04</v>
      </c>
      <c r="F29" s="25"/>
      <c r="G29" s="25"/>
      <c r="H29" s="25"/>
      <c r="I29" s="25"/>
      <c r="J29" s="1148"/>
      <c r="K29" s="25">
        <f>E29*J29</f>
        <v>0</v>
      </c>
      <c r="L29" s="25">
        <f>G29+I29+K29</f>
        <v>0</v>
      </c>
      <c r="M29" s="97"/>
      <c r="N29" s="85"/>
      <c r="O29" s="85"/>
      <c r="P29" s="98"/>
      <c r="Q29" s="85"/>
      <c r="R29" s="85"/>
      <c r="S29" s="67"/>
      <c r="T29" s="85"/>
      <c r="U29" s="85"/>
      <c r="V29" s="67"/>
      <c r="W29" s="76"/>
      <c r="X29" s="67"/>
      <c r="Y29" s="67"/>
    </row>
    <row r="30" spans="1:25" s="66" customFormat="1" ht="14.25" customHeight="1" x14ac:dyDescent="0.25">
      <c r="A30" s="27"/>
      <c r="B30" s="39" t="s">
        <v>41</v>
      </c>
      <c r="C30" s="34"/>
      <c r="D30" s="34"/>
      <c r="E30" s="34"/>
      <c r="F30" s="25"/>
      <c r="G30" s="25"/>
      <c r="H30" s="25"/>
      <c r="I30" s="25"/>
      <c r="J30" s="25"/>
      <c r="K30" s="25"/>
      <c r="L30" s="25"/>
      <c r="M30" s="97"/>
      <c r="N30" s="85"/>
      <c r="O30" s="85"/>
      <c r="P30" s="98"/>
      <c r="Q30" s="85"/>
      <c r="R30" s="85"/>
      <c r="S30" s="67"/>
      <c r="T30" s="85"/>
      <c r="U30" s="85"/>
      <c r="V30" s="67"/>
      <c r="W30" s="76"/>
      <c r="X30" s="67"/>
      <c r="Y30" s="67"/>
    </row>
    <row r="31" spans="1:25" s="66" customFormat="1" ht="15" customHeight="1" x14ac:dyDescent="0.25">
      <c r="A31" s="27"/>
      <c r="B31" s="39" t="s">
        <v>54</v>
      </c>
      <c r="C31" s="34" t="s">
        <v>21</v>
      </c>
      <c r="D31" s="34"/>
      <c r="E31" s="34">
        <v>4</v>
      </c>
      <c r="F31" s="25"/>
      <c r="G31" s="25"/>
      <c r="H31" s="1128"/>
      <c r="I31" s="25">
        <f>E31*H31</f>
        <v>0</v>
      </c>
      <c r="J31" s="25"/>
      <c r="K31" s="25"/>
      <c r="L31" s="25">
        <f>G31+I31+K31</f>
        <v>0</v>
      </c>
      <c r="M31" s="97"/>
      <c r="N31" s="85"/>
      <c r="O31" s="85"/>
      <c r="P31" s="98"/>
      <c r="Q31" s="85"/>
      <c r="R31" s="85"/>
      <c r="S31" s="67"/>
      <c r="T31" s="85"/>
      <c r="U31" s="85"/>
      <c r="V31" s="67"/>
      <c r="W31" s="76"/>
      <c r="X31" s="67"/>
      <c r="Y31" s="67"/>
    </row>
    <row r="32" spans="1:25" s="66" customFormat="1" ht="15" customHeight="1" x14ac:dyDescent="0.25">
      <c r="A32" s="27"/>
      <c r="B32" s="39" t="s">
        <v>55</v>
      </c>
      <c r="C32" s="34" t="s">
        <v>21</v>
      </c>
      <c r="D32" s="34"/>
      <c r="E32" s="34">
        <v>4</v>
      </c>
      <c r="F32" s="25"/>
      <c r="G32" s="25"/>
      <c r="H32" s="1128"/>
      <c r="I32" s="25">
        <f>E32*H32</f>
        <v>0</v>
      </c>
      <c r="J32" s="25"/>
      <c r="K32" s="25"/>
      <c r="L32" s="25">
        <f>G32+I32+K32</f>
        <v>0</v>
      </c>
      <c r="M32" s="97"/>
      <c r="N32" s="85"/>
      <c r="O32" s="85"/>
      <c r="P32" s="98"/>
      <c r="Q32" s="85"/>
      <c r="R32" s="85"/>
      <c r="S32" s="67"/>
      <c r="T32" s="85"/>
      <c r="U32" s="85"/>
      <c r="V32" s="67"/>
      <c r="W32" s="76"/>
      <c r="X32" s="67"/>
      <c r="Y32" s="67"/>
    </row>
    <row r="33" spans="1:25" s="66" customFormat="1" ht="15" customHeight="1" x14ac:dyDescent="0.25">
      <c r="A33" s="27"/>
      <c r="B33" s="39" t="s">
        <v>56</v>
      </c>
      <c r="C33" s="34" t="s">
        <v>21</v>
      </c>
      <c r="D33" s="34">
        <v>2</v>
      </c>
      <c r="E33" s="34">
        <f>E27*D33</f>
        <v>16</v>
      </c>
      <c r="F33" s="25"/>
      <c r="G33" s="25"/>
      <c r="H33" s="1128"/>
      <c r="I33" s="25">
        <f>E33*H33</f>
        <v>0</v>
      </c>
      <c r="J33" s="25"/>
      <c r="K33" s="25"/>
      <c r="L33" s="25">
        <f>G33+I33+K33</f>
        <v>0</v>
      </c>
      <c r="M33" s="97"/>
      <c r="N33" s="85"/>
      <c r="O33" s="85"/>
      <c r="P33" s="98"/>
      <c r="Q33" s="85"/>
      <c r="R33" s="85"/>
      <c r="S33" s="67"/>
      <c r="T33" s="85"/>
      <c r="U33" s="85"/>
      <c r="V33" s="67"/>
      <c r="W33" s="76"/>
      <c r="X33" s="67"/>
      <c r="Y33" s="67"/>
    </row>
    <row r="34" spans="1:25" s="66" customFormat="1" ht="15" customHeight="1" x14ac:dyDescent="0.25">
      <c r="A34" s="27"/>
      <c r="B34" s="39" t="s">
        <v>57</v>
      </c>
      <c r="C34" s="34" t="s">
        <v>18</v>
      </c>
      <c r="D34" s="34">
        <v>1.1000000000000001</v>
      </c>
      <c r="E34" s="34">
        <f>E27*D34</f>
        <v>8.8000000000000007</v>
      </c>
      <c r="F34" s="25"/>
      <c r="G34" s="25"/>
      <c r="H34" s="1128"/>
      <c r="I34" s="25">
        <f>E34*H34</f>
        <v>0</v>
      </c>
      <c r="J34" s="25"/>
      <c r="K34" s="25"/>
      <c r="L34" s="25">
        <f>G34+I34+K34</f>
        <v>0</v>
      </c>
      <c r="M34" s="97"/>
      <c r="N34" s="85"/>
      <c r="O34" s="85"/>
      <c r="P34" s="98"/>
      <c r="Q34" s="85"/>
      <c r="R34" s="85"/>
      <c r="S34" s="67"/>
      <c r="T34" s="85"/>
      <c r="U34" s="85"/>
      <c r="V34" s="67"/>
      <c r="W34" s="76"/>
      <c r="X34" s="67"/>
      <c r="Y34" s="67"/>
    </row>
    <row r="35" spans="1:25" s="66" customFormat="1" ht="15" customHeight="1" x14ac:dyDescent="0.25">
      <c r="A35" s="27"/>
      <c r="B35" s="39" t="s">
        <v>42</v>
      </c>
      <c r="C35" s="34" t="s">
        <v>15</v>
      </c>
      <c r="D35" s="34">
        <v>7.0000000000000007E-2</v>
      </c>
      <c r="E35" s="34">
        <f>E27*D35</f>
        <v>0.56000000000000005</v>
      </c>
      <c r="F35" s="25"/>
      <c r="G35" s="25"/>
      <c r="H35" s="1148"/>
      <c r="I35" s="25">
        <f>E35*H35</f>
        <v>0</v>
      </c>
      <c r="J35" s="25"/>
      <c r="K35" s="25"/>
      <c r="L35" s="25">
        <f>G35+I35+K35</f>
        <v>0</v>
      </c>
      <c r="M35" s="97"/>
      <c r="N35" s="85"/>
      <c r="O35" s="85"/>
      <c r="P35" s="98"/>
      <c r="Q35" s="85"/>
      <c r="R35" s="85"/>
      <c r="S35" s="67"/>
      <c r="T35" s="85"/>
      <c r="U35" s="85"/>
      <c r="V35" s="67"/>
      <c r="W35" s="76"/>
      <c r="X35" s="67"/>
      <c r="Y35" s="67"/>
    </row>
    <row r="36" spans="1:25" s="66" customFormat="1" ht="57" customHeight="1" x14ac:dyDescent="0.25">
      <c r="A36" s="27">
        <v>5</v>
      </c>
      <c r="B36" s="28" t="s">
        <v>159</v>
      </c>
      <c r="C36" s="34" t="s">
        <v>39</v>
      </c>
      <c r="D36" s="34"/>
      <c r="E36" s="34">
        <v>2</v>
      </c>
      <c r="F36" s="25"/>
      <c r="G36" s="25"/>
      <c r="H36" s="25"/>
      <c r="I36" s="25"/>
      <c r="J36" s="25"/>
      <c r="K36" s="25"/>
      <c r="L36" s="25"/>
    </row>
    <row r="37" spans="1:25" s="64" customFormat="1" ht="15" customHeight="1" x14ac:dyDescent="0.25">
      <c r="A37" s="14"/>
      <c r="B37" s="32" t="s">
        <v>36</v>
      </c>
      <c r="C37" s="19" t="s">
        <v>37</v>
      </c>
      <c r="D37" s="19">
        <v>3.66</v>
      </c>
      <c r="E37" s="19">
        <f>E36*D37</f>
        <v>7.32</v>
      </c>
      <c r="F37" s="1148"/>
      <c r="G37" s="18">
        <f>E37*F37</f>
        <v>0</v>
      </c>
      <c r="H37" s="18"/>
      <c r="I37" s="18"/>
      <c r="J37" s="18"/>
      <c r="K37" s="18"/>
      <c r="L37" s="18">
        <f>G37+I37+K37</f>
        <v>0</v>
      </c>
    </row>
    <row r="38" spans="1:25" s="64" customFormat="1" ht="15" customHeight="1" x14ac:dyDescent="0.25">
      <c r="A38" s="14"/>
      <c r="B38" s="32" t="s">
        <v>44</v>
      </c>
      <c r="C38" s="19" t="s">
        <v>15</v>
      </c>
      <c r="D38" s="19">
        <v>0.28000000000000003</v>
      </c>
      <c r="E38" s="19">
        <f>E36*D38</f>
        <v>0.56000000000000005</v>
      </c>
      <c r="F38" s="18"/>
      <c r="G38" s="18"/>
      <c r="H38" s="18"/>
      <c r="I38" s="18"/>
      <c r="J38" s="1148"/>
      <c r="K38" s="18">
        <f>E38*J38</f>
        <v>0</v>
      </c>
      <c r="L38" s="18">
        <f>G38+I38+K38</f>
        <v>0</v>
      </c>
    </row>
    <row r="39" spans="1:25" s="66" customFormat="1" ht="57" customHeight="1" x14ac:dyDescent="0.25">
      <c r="A39" s="27"/>
      <c r="B39" s="22" t="s">
        <v>159</v>
      </c>
      <c r="C39" s="34" t="s">
        <v>39</v>
      </c>
      <c r="D39" s="34">
        <v>1</v>
      </c>
      <c r="E39" s="34">
        <f>E36*D39</f>
        <v>2</v>
      </c>
      <c r="F39" s="25"/>
      <c r="G39" s="25"/>
      <c r="H39" s="1128"/>
      <c r="I39" s="25">
        <f>E39*H39</f>
        <v>0</v>
      </c>
      <c r="J39" s="25"/>
      <c r="K39" s="25"/>
      <c r="L39" s="25">
        <f>G39+I39+K39</f>
        <v>0</v>
      </c>
    </row>
    <row r="40" spans="1:25" s="64" customFormat="1" ht="15" customHeight="1" x14ac:dyDescent="0.25">
      <c r="A40" s="14"/>
      <c r="B40" s="32" t="s">
        <v>42</v>
      </c>
      <c r="C40" s="19" t="s">
        <v>15</v>
      </c>
      <c r="D40" s="19">
        <v>1.24</v>
      </c>
      <c r="E40" s="19">
        <f>E36*D40</f>
        <v>2.48</v>
      </c>
      <c r="F40" s="18"/>
      <c r="G40" s="18"/>
      <c r="H40" s="1148"/>
      <c r="I40" s="25">
        <f>E40*H40</f>
        <v>0</v>
      </c>
      <c r="J40" s="18"/>
      <c r="K40" s="18"/>
      <c r="L40" s="18">
        <f>G40+I40+K40</f>
        <v>0</v>
      </c>
    </row>
    <row r="41" spans="1:25" s="165" customFormat="1" ht="26.25" customHeight="1" x14ac:dyDescent="0.25">
      <c r="A41" s="173">
        <v>6</v>
      </c>
      <c r="B41" s="174" t="s">
        <v>389</v>
      </c>
      <c r="C41" s="176" t="s">
        <v>34</v>
      </c>
      <c r="D41" s="63"/>
      <c r="E41" s="175">
        <v>10</v>
      </c>
      <c r="F41" s="63"/>
      <c r="G41" s="63"/>
      <c r="H41" s="649"/>
      <c r="I41" s="649"/>
      <c r="J41" s="649"/>
      <c r="K41" s="63"/>
      <c r="L41" s="63"/>
    </row>
    <row r="42" spans="1:25" s="166" customFormat="1" ht="15" x14ac:dyDescent="0.25">
      <c r="A42" s="45"/>
      <c r="B42" s="72" t="s">
        <v>36</v>
      </c>
      <c r="C42" s="70" t="s">
        <v>28</v>
      </c>
      <c r="D42" s="73">
        <v>0.58299999999999996</v>
      </c>
      <c r="E42" s="73">
        <f>E41*D42</f>
        <v>5.83</v>
      </c>
      <c r="F42" s="953"/>
      <c r="G42" s="73">
        <f>E42*F42</f>
        <v>0</v>
      </c>
      <c r="H42" s="73"/>
      <c r="I42" s="73"/>
      <c r="J42" s="73"/>
      <c r="K42" s="73"/>
      <c r="L42" s="73">
        <f>G42+I42+K42</f>
        <v>0</v>
      </c>
    </row>
    <row r="43" spans="1:25" s="166" customFormat="1" ht="15" x14ac:dyDescent="0.25">
      <c r="A43" s="45"/>
      <c r="B43" s="72" t="s">
        <v>390</v>
      </c>
      <c r="C43" s="70" t="s">
        <v>34</v>
      </c>
      <c r="D43" s="73">
        <v>1</v>
      </c>
      <c r="E43" s="73">
        <f>E41*D43</f>
        <v>10</v>
      </c>
      <c r="F43" s="73"/>
      <c r="G43" s="73"/>
      <c r="H43" s="953"/>
      <c r="I43" s="73">
        <f>E43*H43</f>
        <v>0</v>
      </c>
      <c r="J43" s="73"/>
      <c r="K43" s="73"/>
      <c r="L43" s="73">
        <f>G43+I43+K43</f>
        <v>0</v>
      </c>
    </row>
    <row r="44" spans="1:25" s="166" customFormat="1" ht="15" x14ac:dyDescent="0.25">
      <c r="A44" s="45"/>
      <c r="B44" s="180" t="s">
        <v>32</v>
      </c>
      <c r="C44" s="179" t="s">
        <v>33</v>
      </c>
      <c r="D44" s="178">
        <v>4.5999999999999999E-3</v>
      </c>
      <c r="E44" s="73">
        <f>D44*E41</f>
        <v>4.5999999999999999E-2</v>
      </c>
      <c r="F44" s="73"/>
      <c r="G44" s="73"/>
      <c r="H44" s="73"/>
      <c r="I44" s="73"/>
      <c r="J44" s="1148"/>
      <c r="K44" s="73">
        <f>E44*J44</f>
        <v>0</v>
      </c>
      <c r="L44" s="73">
        <f>G44+I44+K44</f>
        <v>0</v>
      </c>
    </row>
    <row r="45" spans="1:25" s="166" customFormat="1" ht="15" x14ac:dyDescent="0.25">
      <c r="A45" s="45"/>
      <c r="B45" s="72" t="s">
        <v>16</v>
      </c>
      <c r="C45" s="70" t="s">
        <v>33</v>
      </c>
      <c r="D45" s="198">
        <v>0.20799999999999999</v>
      </c>
      <c r="E45" s="73">
        <f>D45*E41</f>
        <v>2.08</v>
      </c>
      <c r="F45" s="73"/>
      <c r="G45" s="73"/>
      <c r="H45" s="1148"/>
      <c r="I45" s="73">
        <f>E45*H45</f>
        <v>0</v>
      </c>
      <c r="J45" s="73"/>
      <c r="K45" s="73"/>
      <c r="L45" s="73">
        <f>G45+I45+K45</f>
        <v>0</v>
      </c>
    </row>
    <row r="46" spans="1:25" s="66" customFormat="1" ht="34.5" customHeight="1" x14ac:dyDescent="0.25">
      <c r="A46" s="27">
        <v>7</v>
      </c>
      <c r="B46" s="28" t="s">
        <v>59</v>
      </c>
      <c r="C46" s="27" t="s">
        <v>43</v>
      </c>
      <c r="D46" s="27"/>
      <c r="E46" s="736">
        <v>4</v>
      </c>
      <c r="F46" s="25"/>
      <c r="G46" s="25"/>
      <c r="H46" s="25"/>
      <c r="I46" s="25"/>
      <c r="J46" s="25"/>
      <c r="K46" s="25"/>
      <c r="L46" s="25"/>
      <c r="N46" s="85"/>
      <c r="O46" s="100"/>
      <c r="P46" s="67"/>
      <c r="Q46" s="85"/>
      <c r="R46" s="100"/>
      <c r="S46" s="67"/>
      <c r="T46" s="85"/>
      <c r="U46" s="100"/>
      <c r="V46" s="67"/>
      <c r="W46" s="76"/>
      <c r="X46" s="67"/>
      <c r="Y46" s="67"/>
    </row>
    <row r="47" spans="1:25" s="64" customFormat="1" ht="15" customHeight="1" x14ac:dyDescent="0.25">
      <c r="A47" s="14"/>
      <c r="B47" s="32" t="s">
        <v>36</v>
      </c>
      <c r="C47" s="19" t="s">
        <v>37</v>
      </c>
      <c r="D47" s="19">
        <v>0.60899999999999999</v>
      </c>
      <c r="E47" s="19">
        <f>E46*D47</f>
        <v>2.4359999999999999</v>
      </c>
      <c r="F47" s="1148"/>
      <c r="G47" s="18">
        <f>E47*F47</f>
        <v>0</v>
      </c>
      <c r="H47" s="18"/>
      <c r="I47" s="18"/>
      <c r="J47" s="18"/>
      <c r="K47" s="18"/>
      <c r="L47" s="18">
        <f>G47+I47+K47</f>
        <v>0</v>
      </c>
      <c r="N47" s="74"/>
      <c r="O47" s="74"/>
      <c r="P47" s="65"/>
      <c r="Q47" s="74"/>
      <c r="R47" s="74"/>
      <c r="S47" s="65"/>
      <c r="T47" s="74"/>
      <c r="U47" s="74"/>
      <c r="V47" s="65"/>
      <c r="W47" s="76"/>
      <c r="X47" s="65"/>
      <c r="Y47" s="65"/>
    </row>
    <row r="48" spans="1:25" s="64" customFormat="1" ht="15" customHeight="1" x14ac:dyDescent="0.25">
      <c r="A48" s="14"/>
      <c r="B48" s="32" t="s">
        <v>48</v>
      </c>
      <c r="C48" s="19" t="s">
        <v>15</v>
      </c>
      <c r="D48" s="19">
        <v>2.0999999999999999E-3</v>
      </c>
      <c r="E48" s="19">
        <f>E46*D48</f>
        <v>8.3999999999999995E-3</v>
      </c>
      <c r="F48" s="18"/>
      <c r="G48" s="18"/>
      <c r="H48" s="18"/>
      <c r="I48" s="18"/>
      <c r="J48" s="1148"/>
      <c r="K48" s="18">
        <f>E48*J48</f>
        <v>0</v>
      </c>
      <c r="L48" s="18">
        <f>G48+I48+K48</f>
        <v>0</v>
      </c>
      <c r="N48" s="74"/>
      <c r="O48" s="74"/>
      <c r="P48" s="65"/>
      <c r="Q48" s="74"/>
      <c r="R48" s="74"/>
      <c r="S48" s="65"/>
      <c r="T48" s="74"/>
      <c r="U48" s="74"/>
      <c r="V48" s="65"/>
      <c r="W48" s="76"/>
      <c r="X48" s="65"/>
      <c r="Y48" s="65"/>
    </row>
    <row r="49" spans="1:25" s="66" customFormat="1" ht="27" x14ac:dyDescent="0.25">
      <c r="A49" s="27"/>
      <c r="B49" s="39" t="s">
        <v>58</v>
      </c>
      <c r="C49" s="34" t="s">
        <v>43</v>
      </c>
      <c r="D49" s="34">
        <v>0.998</v>
      </c>
      <c r="E49" s="34">
        <f>E46*D49</f>
        <v>3.992</v>
      </c>
      <c r="F49" s="25"/>
      <c r="G49" s="25"/>
      <c r="H49" s="1120"/>
      <c r="I49" s="25">
        <f>E49*H49</f>
        <v>0</v>
      </c>
      <c r="J49" s="25"/>
      <c r="K49" s="25"/>
      <c r="L49" s="25">
        <f>G49+I49+K49</f>
        <v>0</v>
      </c>
      <c r="N49" s="85"/>
      <c r="O49" s="85"/>
      <c r="P49" s="67"/>
      <c r="Q49" s="85"/>
      <c r="R49" s="85"/>
      <c r="S49" s="67"/>
      <c r="T49" s="85"/>
      <c r="U49" s="85"/>
      <c r="V49" s="67"/>
      <c r="W49" s="76"/>
      <c r="X49" s="67"/>
      <c r="Y49" s="67"/>
    </row>
    <row r="50" spans="1:25" s="64" customFormat="1" ht="15" customHeight="1" x14ac:dyDescent="0.25">
      <c r="A50" s="14"/>
      <c r="B50" s="32" t="s">
        <v>52</v>
      </c>
      <c r="C50" s="19" t="s">
        <v>18</v>
      </c>
      <c r="D50" s="19">
        <v>0.14000000000000001</v>
      </c>
      <c r="E50" s="19">
        <f>E46*D50</f>
        <v>0.56000000000000005</v>
      </c>
      <c r="F50" s="18"/>
      <c r="G50" s="18"/>
      <c r="H50" s="1148"/>
      <c r="I50" s="18">
        <f>E50*H50</f>
        <v>0</v>
      </c>
      <c r="J50" s="18"/>
      <c r="K50" s="18"/>
      <c r="L50" s="18">
        <f>G50+I50+K50</f>
        <v>0</v>
      </c>
      <c r="N50" s="74"/>
      <c r="O50" s="74"/>
      <c r="P50" s="65"/>
      <c r="Q50" s="74"/>
      <c r="R50" s="74"/>
      <c r="S50" s="65"/>
      <c r="T50" s="74"/>
      <c r="U50" s="74"/>
      <c r="V50" s="65"/>
      <c r="W50" s="76"/>
      <c r="X50" s="65"/>
      <c r="Y50" s="65"/>
    </row>
    <row r="51" spans="1:25" s="64" customFormat="1" ht="15" customHeight="1" x14ac:dyDescent="0.25">
      <c r="A51" s="14"/>
      <c r="B51" s="32" t="s">
        <v>42</v>
      </c>
      <c r="C51" s="19" t="s">
        <v>37</v>
      </c>
      <c r="D51" s="19">
        <v>0.156</v>
      </c>
      <c r="E51" s="18">
        <f>E46*D51</f>
        <v>0.624</v>
      </c>
      <c r="F51" s="18"/>
      <c r="G51" s="18"/>
      <c r="H51" s="1148"/>
      <c r="I51" s="18">
        <f>E51*H51</f>
        <v>0</v>
      </c>
      <c r="J51" s="18"/>
      <c r="K51" s="18"/>
      <c r="L51" s="18">
        <f>G51+I51+K51</f>
        <v>0</v>
      </c>
      <c r="N51" s="74"/>
      <c r="O51" s="75"/>
      <c r="P51" s="65"/>
      <c r="Q51" s="74"/>
      <c r="R51" s="75"/>
      <c r="S51" s="65"/>
      <c r="T51" s="74"/>
      <c r="U51" s="75"/>
      <c r="V51" s="65"/>
      <c r="W51" s="76"/>
      <c r="X51" s="65"/>
      <c r="Y51" s="65"/>
    </row>
    <row r="52" spans="1:25" s="66" customFormat="1" ht="34.5" customHeight="1" x14ac:dyDescent="0.25">
      <c r="A52" s="27">
        <v>8</v>
      </c>
      <c r="B52" s="28" t="s">
        <v>387</v>
      </c>
      <c r="C52" s="27" t="s">
        <v>43</v>
      </c>
      <c r="D52" s="27"/>
      <c r="E52" s="736">
        <v>5</v>
      </c>
      <c r="F52" s="25"/>
      <c r="G52" s="25"/>
      <c r="H52" s="25"/>
      <c r="I52" s="25"/>
      <c r="J52" s="25"/>
      <c r="K52" s="25"/>
      <c r="L52" s="25"/>
      <c r="N52" s="85"/>
      <c r="O52" s="100"/>
      <c r="P52" s="67"/>
      <c r="Q52" s="85"/>
      <c r="R52" s="100"/>
      <c r="S52" s="67"/>
      <c r="T52" s="85"/>
      <c r="U52" s="100"/>
      <c r="V52" s="67"/>
      <c r="W52" s="76"/>
      <c r="X52" s="67"/>
      <c r="Y52" s="67"/>
    </row>
    <row r="53" spans="1:25" s="64" customFormat="1" ht="15" customHeight="1" x14ac:dyDescent="0.25">
      <c r="A53" s="14"/>
      <c r="B53" s="32" t="s">
        <v>36</v>
      </c>
      <c r="C53" s="19" t="s">
        <v>37</v>
      </c>
      <c r="D53" s="19">
        <v>0.60899999999999999</v>
      </c>
      <c r="E53" s="19">
        <f>E52*D53</f>
        <v>3.0449999999999999</v>
      </c>
      <c r="F53" s="1148"/>
      <c r="G53" s="18">
        <f>E53*F53</f>
        <v>0</v>
      </c>
      <c r="H53" s="18"/>
      <c r="I53" s="18"/>
      <c r="J53" s="18"/>
      <c r="K53" s="18"/>
      <c r="L53" s="18">
        <f>G53+I53+K53</f>
        <v>0</v>
      </c>
      <c r="N53" s="74"/>
      <c r="O53" s="74"/>
      <c r="P53" s="65"/>
      <c r="Q53" s="74"/>
      <c r="R53" s="74"/>
      <c r="S53" s="65"/>
      <c r="T53" s="74"/>
      <c r="U53" s="74"/>
      <c r="V53" s="65"/>
      <c r="W53" s="76"/>
      <c r="X53" s="65"/>
      <c r="Y53" s="65"/>
    </row>
    <row r="54" spans="1:25" s="64" customFormat="1" ht="15" customHeight="1" x14ac:dyDescent="0.25">
      <c r="A54" s="14"/>
      <c r="B54" s="32" t="s">
        <v>48</v>
      </c>
      <c r="C54" s="19" t="s">
        <v>15</v>
      </c>
      <c r="D54" s="19">
        <v>2.0999999999999999E-3</v>
      </c>
      <c r="E54" s="19">
        <f>E52*D54</f>
        <v>1.0499999999999999E-2</v>
      </c>
      <c r="F54" s="18"/>
      <c r="G54" s="18"/>
      <c r="H54" s="18"/>
      <c r="I54" s="18"/>
      <c r="J54" s="1148"/>
      <c r="K54" s="18">
        <f>E54*J54</f>
        <v>0</v>
      </c>
      <c r="L54" s="18">
        <f>G54+I54+K54</f>
        <v>0</v>
      </c>
      <c r="N54" s="74"/>
      <c r="O54" s="74"/>
      <c r="P54" s="65"/>
      <c r="Q54" s="74"/>
      <c r="R54" s="74"/>
      <c r="S54" s="65"/>
      <c r="T54" s="74"/>
      <c r="U54" s="74"/>
      <c r="V54" s="65"/>
      <c r="W54" s="76"/>
      <c r="X54" s="65"/>
      <c r="Y54" s="65"/>
    </row>
    <row r="55" spans="1:25" s="66" customFormat="1" ht="27" x14ac:dyDescent="0.25">
      <c r="A55" s="27"/>
      <c r="B55" s="39" t="s">
        <v>388</v>
      </c>
      <c r="C55" s="34" t="s">
        <v>43</v>
      </c>
      <c r="D55" s="34">
        <v>0.998</v>
      </c>
      <c r="E55" s="34">
        <f>E52*D55</f>
        <v>4.99</v>
      </c>
      <c r="F55" s="25"/>
      <c r="G55" s="25"/>
      <c r="H55" s="1120"/>
      <c r="I55" s="25">
        <f>E55*H55</f>
        <v>0</v>
      </c>
      <c r="J55" s="25"/>
      <c r="K55" s="25"/>
      <c r="L55" s="25">
        <f>G55+I55+K55</f>
        <v>0</v>
      </c>
      <c r="N55" s="85"/>
      <c r="O55" s="85"/>
      <c r="P55" s="67"/>
      <c r="Q55" s="85"/>
      <c r="R55" s="85"/>
      <c r="S55" s="67"/>
      <c r="T55" s="85"/>
      <c r="U55" s="85"/>
      <c r="V55" s="67"/>
      <c r="W55" s="76"/>
      <c r="X55" s="67"/>
      <c r="Y55" s="67"/>
    </row>
    <row r="56" spans="1:25" s="64" customFormat="1" ht="15" customHeight="1" x14ac:dyDescent="0.25">
      <c r="A56" s="14"/>
      <c r="B56" s="32" t="s">
        <v>52</v>
      </c>
      <c r="C56" s="19" t="s">
        <v>18</v>
      </c>
      <c r="D56" s="19">
        <v>0.14000000000000001</v>
      </c>
      <c r="E56" s="19">
        <f>E52*D56</f>
        <v>0.70000000000000007</v>
      </c>
      <c r="F56" s="18"/>
      <c r="G56" s="18"/>
      <c r="H56" s="1148"/>
      <c r="I56" s="18">
        <f>E56*H56</f>
        <v>0</v>
      </c>
      <c r="J56" s="18"/>
      <c r="K56" s="18"/>
      <c r="L56" s="18">
        <f>G56+I56+K56</f>
        <v>0</v>
      </c>
      <c r="N56" s="74"/>
      <c r="O56" s="74"/>
      <c r="P56" s="65"/>
      <c r="Q56" s="74"/>
      <c r="R56" s="74"/>
      <c r="S56" s="65"/>
      <c r="T56" s="74"/>
      <c r="U56" s="74"/>
      <c r="V56" s="65"/>
      <c r="W56" s="76"/>
      <c r="X56" s="65"/>
      <c r="Y56" s="65"/>
    </row>
    <row r="57" spans="1:25" s="64" customFormat="1" ht="15" customHeight="1" x14ac:dyDescent="0.25">
      <c r="A57" s="14"/>
      <c r="B57" s="32" t="s">
        <v>42</v>
      </c>
      <c r="C57" s="19" t="s">
        <v>37</v>
      </c>
      <c r="D57" s="19">
        <v>0.156</v>
      </c>
      <c r="E57" s="18">
        <f>E52*D57</f>
        <v>0.78</v>
      </c>
      <c r="F57" s="18"/>
      <c r="G57" s="18"/>
      <c r="H57" s="1148"/>
      <c r="I57" s="18">
        <f>E57*H57</f>
        <v>0</v>
      </c>
      <c r="J57" s="18"/>
      <c r="K57" s="18"/>
      <c r="L57" s="18">
        <f>G57+I57+K57</f>
        <v>0</v>
      </c>
      <c r="N57" s="74"/>
      <c r="O57" s="75"/>
      <c r="P57" s="65"/>
      <c r="Q57" s="74"/>
      <c r="R57" s="75"/>
      <c r="S57" s="65"/>
      <c r="T57" s="74"/>
      <c r="U57" s="75"/>
      <c r="V57" s="65"/>
      <c r="W57" s="76"/>
      <c r="X57" s="65"/>
      <c r="Y57" s="65"/>
    </row>
    <row r="58" spans="1:25" s="66" customFormat="1" x14ac:dyDescent="0.25">
      <c r="A58" s="28"/>
      <c r="B58" s="27" t="s">
        <v>385</v>
      </c>
      <c r="C58" s="752"/>
      <c r="D58" s="28"/>
      <c r="E58" s="28"/>
      <c r="F58" s="39"/>
      <c r="G58" s="753"/>
      <c r="H58" s="754"/>
      <c r="I58" s="755"/>
      <c r="J58" s="754"/>
      <c r="K58" s="755"/>
      <c r="L58" s="755"/>
      <c r="N58" s="756"/>
      <c r="O58" s="756"/>
      <c r="P58" s="67"/>
      <c r="Q58" s="756"/>
      <c r="R58" s="756"/>
      <c r="S58" s="67"/>
      <c r="T58" s="756"/>
      <c r="U58" s="756"/>
      <c r="V58" s="67"/>
      <c r="W58" s="757"/>
      <c r="X58" s="67"/>
      <c r="Y58" s="67"/>
    </row>
    <row r="59" spans="1:25" s="66" customFormat="1" ht="57" customHeight="1" x14ac:dyDescent="0.25">
      <c r="A59" s="27">
        <v>1</v>
      </c>
      <c r="B59" s="28" t="s">
        <v>386</v>
      </c>
      <c r="C59" s="31" t="s">
        <v>25</v>
      </c>
      <c r="D59" s="27"/>
      <c r="E59" s="27">
        <v>1</v>
      </c>
      <c r="F59" s="34"/>
      <c r="G59" s="88"/>
      <c r="H59" s="37"/>
      <c r="I59" s="25"/>
      <c r="J59" s="37"/>
      <c r="K59" s="25"/>
      <c r="L59" s="25"/>
      <c r="M59" s="97"/>
      <c r="N59" s="85"/>
      <c r="O59" s="85"/>
      <c r="P59" s="98"/>
      <c r="Q59" s="85"/>
      <c r="R59" s="85"/>
      <c r="S59" s="67"/>
      <c r="T59" s="85"/>
      <c r="U59" s="85"/>
      <c r="V59" s="67"/>
      <c r="W59" s="76"/>
      <c r="X59" s="67"/>
      <c r="Y59" s="67"/>
    </row>
    <row r="60" spans="1:25" s="66" customFormat="1" ht="15.75" customHeight="1" x14ac:dyDescent="0.25">
      <c r="A60" s="27"/>
      <c r="B60" s="39" t="s">
        <v>36</v>
      </c>
      <c r="C60" s="34" t="s">
        <v>37</v>
      </c>
      <c r="D60" s="34">
        <f>1.51*4</f>
        <v>6.04</v>
      </c>
      <c r="E60" s="34">
        <f>E59*D60</f>
        <v>6.04</v>
      </c>
      <c r="F60" s="1148"/>
      <c r="G60" s="19">
        <f>E60*F60</f>
        <v>0</v>
      </c>
      <c r="H60" s="40"/>
      <c r="I60" s="25"/>
      <c r="J60" s="37"/>
      <c r="K60" s="25"/>
      <c r="L60" s="25">
        <f>G60+I60+K60</f>
        <v>0</v>
      </c>
      <c r="M60" s="97"/>
      <c r="N60" s="85"/>
      <c r="O60" s="85"/>
      <c r="P60" s="98"/>
      <c r="Q60" s="85"/>
      <c r="R60" s="85"/>
      <c r="S60" s="67"/>
      <c r="T60" s="85"/>
      <c r="U60" s="85"/>
      <c r="V60" s="67"/>
      <c r="W60" s="76"/>
      <c r="X60" s="67"/>
      <c r="Y60" s="67"/>
    </row>
    <row r="61" spans="1:25" s="66" customFormat="1" ht="15" customHeight="1" x14ac:dyDescent="0.25">
      <c r="A61" s="27"/>
      <c r="B61" s="39" t="s">
        <v>40</v>
      </c>
      <c r="C61" s="34" t="s">
        <v>15</v>
      </c>
      <c r="D61" s="34">
        <v>0.13</v>
      </c>
      <c r="E61" s="34">
        <f>E59*D61</f>
        <v>0.13</v>
      </c>
      <c r="F61" s="34"/>
      <c r="G61" s="25"/>
      <c r="H61" s="37"/>
      <c r="I61" s="25"/>
      <c r="J61" s="1148"/>
      <c r="K61" s="25">
        <f>E61*J61</f>
        <v>0</v>
      </c>
      <c r="L61" s="25">
        <f>G61+I61+K61</f>
        <v>0</v>
      </c>
      <c r="M61" s="97"/>
      <c r="N61" s="85"/>
      <c r="O61" s="85"/>
      <c r="P61" s="98"/>
      <c r="Q61" s="85"/>
      <c r="R61" s="85"/>
      <c r="S61" s="67"/>
      <c r="T61" s="85"/>
      <c r="U61" s="85"/>
      <c r="V61" s="67"/>
      <c r="W61" s="76"/>
      <c r="X61" s="67"/>
      <c r="Y61" s="67"/>
    </row>
    <row r="62" spans="1:25" s="66" customFormat="1" ht="14.25" customHeight="1" x14ac:dyDescent="0.25">
      <c r="A62" s="27"/>
      <c r="B62" s="39" t="s">
        <v>41</v>
      </c>
      <c r="C62" s="34"/>
      <c r="D62" s="34"/>
      <c r="E62" s="34"/>
      <c r="F62" s="34"/>
      <c r="G62" s="25"/>
      <c r="H62" s="37"/>
      <c r="I62" s="25"/>
      <c r="J62" s="37"/>
      <c r="K62" s="25"/>
      <c r="L62" s="25"/>
      <c r="M62" s="97"/>
      <c r="N62" s="85"/>
      <c r="O62" s="85"/>
      <c r="P62" s="98"/>
      <c r="Q62" s="85"/>
      <c r="R62" s="85"/>
      <c r="S62" s="67"/>
      <c r="T62" s="85"/>
      <c r="U62" s="85"/>
      <c r="V62" s="67"/>
      <c r="W62" s="76"/>
      <c r="X62" s="67"/>
      <c r="Y62" s="67"/>
    </row>
    <row r="63" spans="1:25" s="66" customFormat="1" ht="15" customHeight="1" x14ac:dyDescent="0.25">
      <c r="A63" s="27"/>
      <c r="B63" s="39" t="s">
        <v>60</v>
      </c>
      <c r="C63" s="34" t="s">
        <v>21</v>
      </c>
      <c r="D63" s="34"/>
      <c r="E63" s="34">
        <v>1</v>
      </c>
      <c r="F63" s="34"/>
      <c r="G63" s="25"/>
      <c r="H63" s="1153"/>
      <c r="I63" s="25">
        <f>E63*H63</f>
        <v>0</v>
      </c>
      <c r="J63" s="37"/>
      <c r="K63" s="25"/>
      <c r="L63" s="25">
        <f>G63+I63+K63</f>
        <v>0</v>
      </c>
      <c r="M63" s="97"/>
      <c r="N63" s="85"/>
      <c r="O63" s="85"/>
      <c r="P63" s="98"/>
      <c r="Q63" s="85"/>
      <c r="R63" s="85"/>
      <c r="S63" s="67"/>
      <c r="T63" s="85"/>
      <c r="U63" s="85"/>
      <c r="V63" s="67"/>
      <c r="W63" s="76"/>
      <c r="X63" s="67"/>
      <c r="Y63" s="67"/>
    </row>
    <row r="64" spans="1:25" s="66" customFormat="1" ht="15" customHeight="1" x14ac:dyDescent="0.25">
      <c r="A64" s="27"/>
      <c r="B64" s="39" t="s">
        <v>61</v>
      </c>
      <c r="C64" s="34" t="s">
        <v>21</v>
      </c>
      <c r="D64" s="34"/>
      <c r="E64" s="34">
        <v>1</v>
      </c>
      <c r="F64" s="34"/>
      <c r="G64" s="25"/>
      <c r="H64" s="1153"/>
      <c r="I64" s="25">
        <f>E64*H64</f>
        <v>0</v>
      </c>
      <c r="J64" s="37"/>
      <c r="K64" s="25"/>
      <c r="L64" s="25">
        <f>G64+I64+K64</f>
        <v>0</v>
      </c>
      <c r="M64" s="97"/>
      <c r="N64" s="85"/>
      <c r="O64" s="85"/>
      <c r="P64" s="98"/>
      <c r="Q64" s="85"/>
      <c r="R64" s="85"/>
      <c r="S64" s="67"/>
      <c r="T64" s="85"/>
      <c r="U64" s="85"/>
      <c r="V64" s="67"/>
      <c r="W64" s="76"/>
      <c r="X64" s="67"/>
      <c r="Y64" s="67"/>
    </row>
    <row r="65" spans="1:25" s="66" customFormat="1" ht="15" customHeight="1" x14ac:dyDescent="0.25">
      <c r="A65" s="27"/>
      <c r="B65" s="39" t="s">
        <v>56</v>
      </c>
      <c r="C65" s="34" t="s">
        <v>21</v>
      </c>
      <c r="D65" s="34">
        <v>2</v>
      </c>
      <c r="E65" s="34">
        <f>E59*D65</f>
        <v>2</v>
      </c>
      <c r="F65" s="34"/>
      <c r="G65" s="25"/>
      <c r="H65" s="1153"/>
      <c r="I65" s="25">
        <f>E65*H65</f>
        <v>0</v>
      </c>
      <c r="J65" s="37"/>
      <c r="K65" s="25"/>
      <c r="L65" s="25">
        <f>G65+I65+K65</f>
        <v>0</v>
      </c>
      <c r="M65" s="97"/>
      <c r="N65" s="85"/>
      <c r="O65" s="85"/>
      <c r="P65" s="98"/>
      <c r="Q65" s="85"/>
      <c r="R65" s="85"/>
      <c r="S65" s="67"/>
      <c r="T65" s="85"/>
      <c r="U65" s="85"/>
      <c r="V65" s="67"/>
      <c r="W65" s="76"/>
      <c r="X65" s="67"/>
      <c r="Y65" s="67"/>
    </row>
    <row r="66" spans="1:25" s="66" customFormat="1" ht="15" customHeight="1" x14ac:dyDescent="0.25">
      <c r="A66" s="27"/>
      <c r="B66" s="39" t="s">
        <v>384</v>
      </c>
      <c r="C66" s="34" t="s">
        <v>18</v>
      </c>
      <c r="D66" s="34">
        <v>1.1000000000000001</v>
      </c>
      <c r="E66" s="34">
        <f>E59*D66</f>
        <v>1.1000000000000001</v>
      </c>
      <c r="F66" s="34"/>
      <c r="G66" s="25"/>
      <c r="H66" s="1153"/>
      <c r="I66" s="25">
        <f>E66*H66</f>
        <v>0</v>
      </c>
      <c r="J66" s="37"/>
      <c r="K66" s="25"/>
      <c r="L66" s="25">
        <f>G66+I66+K66</f>
        <v>0</v>
      </c>
      <c r="M66" s="97"/>
      <c r="N66" s="85"/>
      <c r="O66" s="85"/>
      <c r="P66" s="98"/>
      <c r="Q66" s="85"/>
      <c r="R66" s="85"/>
      <c r="S66" s="67"/>
      <c r="T66" s="85"/>
      <c r="U66" s="85"/>
      <c r="V66" s="67"/>
      <c r="W66" s="76"/>
      <c r="X66" s="67"/>
      <c r="Y66" s="67"/>
    </row>
    <row r="67" spans="1:25" s="66" customFormat="1" ht="15" customHeight="1" x14ac:dyDescent="0.25">
      <c r="A67" s="27"/>
      <c r="B67" s="39" t="s">
        <v>42</v>
      </c>
      <c r="C67" s="34" t="s">
        <v>15</v>
      </c>
      <c r="D67" s="34">
        <v>7.0000000000000007E-2</v>
      </c>
      <c r="E67" s="34">
        <f>E59*D67</f>
        <v>7.0000000000000007E-2</v>
      </c>
      <c r="F67" s="37"/>
      <c r="G67" s="25"/>
      <c r="H67" s="1148"/>
      <c r="I67" s="25">
        <f>E67*H67</f>
        <v>0</v>
      </c>
      <c r="J67" s="37"/>
      <c r="K67" s="25"/>
      <c r="L67" s="25">
        <f>G67+I67+K67</f>
        <v>0</v>
      </c>
      <c r="M67" s="97"/>
      <c r="N67" s="85"/>
      <c r="O67" s="85"/>
      <c r="P67" s="98"/>
      <c r="Q67" s="85"/>
      <c r="R67" s="85"/>
      <c r="S67" s="67"/>
      <c r="T67" s="85"/>
      <c r="U67" s="85"/>
      <c r="V67" s="67"/>
      <c r="W67" s="76"/>
      <c r="X67" s="67"/>
      <c r="Y67" s="67"/>
    </row>
    <row r="68" spans="1:25" s="234" customFormat="1" ht="27" customHeight="1" x14ac:dyDescent="0.25">
      <c r="A68" s="101">
        <v>2</v>
      </c>
      <c r="B68" s="33" t="s">
        <v>381</v>
      </c>
      <c r="C68" s="242" t="s">
        <v>25</v>
      </c>
      <c r="D68" s="229"/>
      <c r="E68" s="243">
        <v>1</v>
      </c>
      <c r="F68" s="229"/>
      <c r="G68" s="229"/>
      <c r="H68" s="233"/>
      <c r="I68" s="233"/>
      <c r="J68" s="229"/>
      <c r="K68" s="229"/>
      <c r="L68" s="259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</row>
    <row r="69" spans="1:25" s="64" customFormat="1" ht="15" customHeight="1" x14ac:dyDescent="0.25">
      <c r="A69" s="14"/>
      <c r="B69" s="32" t="s">
        <v>36</v>
      </c>
      <c r="C69" s="19" t="s">
        <v>37</v>
      </c>
      <c r="D69" s="34">
        <v>14.2</v>
      </c>
      <c r="E69" s="34">
        <f>E68*D69</f>
        <v>14.2</v>
      </c>
      <c r="F69" s="1148"/>
      <c r="G69" s="34">
        <f>E69*F69</f>
        <v>0</v>
      </c>
      <c r="H69" s="35"/>
      <c r="I69" s="18"/>
      <c r="J69" s="26"/>
      <c r="K69" s="18"/>
      <c r="L69" s="18">
        <f>G69+I69+K69</f>
        <v>0</v>
      </c>
      <c r="M69" s="84"/>
      <c r="N69" s="85"/>
      <c r="O69" s="85"/>
      <c r="P69" s="86"/>
      <c r="Q69" s="85"/>
      <c r="R69" s="85"/>
      <c r="S69" s="65"/>
      <c r="T69" s="85"/>
      <c r="U69" s="85"/>
      <c r="V69" s="65"/>
      <c r="W69" s="76"/>
      <c r="X69" s="65"/>
      <c r="Y69" s="65"/>
    </row>
    <row r="70" spans="1:25" s="64" customFormat="1" ht="15" customHeight="1" x14ac:dyDescent="0.25">
      <c r="A70" s="14"/>
      <c r="B70" s="32" t="s">
        <v>48</v>
      </c>
      <c r="C70" s="19" t="s">
        <v>15</v>
      </c>
      <c r="D70" s="19">
        <v>1.08</v>
      </c>
      <c r="E70" s="19">
        <f>E68*D70</f>
        <v>1.08</v>
      </c>
      <c r="F70" s="19"/>
      <c r="G70" s="18"/>
      <c r="H70" s="26"/>
      <c r="I70" s="18"/>
      <c r="J70" s="1148"/>
      <c r="K70" s="18">
        <f>E70*J70</f>
        <v>0</v>
      </c>
      <c r="L70" s="18">
        <f>G70+I70+K70</f>
        <v>0</v>
      </c>
      <c r="N70" s="74"/>
      <c r="O70" s="74"/>
      <c r="P70" s="65"/>
      <c r="Q70" s="74"/>
      <c r="R70" s="74"/>
      <c r="S70" s="65"/>
      <c r="T70" s="74"/>
      <c r="U70" s="74"/>
      <c r="V70" s="65"/>
      <c r="W70" s="76"/>
      <c r="X70" s="65"/>
      <c r="Y70" s="65"/>
    </row>
    <row r="71" spans="1:25" s="64" customFormat="1" ht="15.75" customHeight="1" x14ac:dyDescent="0.25">
      <c r="A71" s="14"/>
      <c r="B71" s="32" t="s">
        <v>41</v>
      </c>
      <c r="C71" s="19"/>
      <c r="D71" s="34"/>
      <c r="E71" s="34"/>
      <c r="F71" s="19"/>
      <c r="G71" s="18"/>
      <c r="H71" s="26"/>
      <c r="I71" s="18"/>
      <c r="J71" s="26"/>
      <c r="K71" s="18"/>
      <c r="L71" s="18"/>
      <c r="M71" s="84"/>
      <c r="N71" s="85"/>
      <c r="O71" s="85"/>
      <c r="P71" s="86"/>
      <c r="Q71" s="85"/>
      <c r="R71" s="85"/>
      <c r="S71" s="65"/>
      <c r="T71" s="85"/>
      <c r="U71" s="85"/>
      <c r="V71" s="65"/>
      <c r="W71" s="76"/>
      <c r="X71" s="65"/>
      <c r="Y71" s="65"/>
    </row>
    <row r="72" spans="1:25" s="66" customFormat="1" ht="30" customHeight="1" x14ac:dyDescent="0.25">
      <c r="A72" s="27"/>
      <c r="B72" s="22" t="s">
        <v>382</v>
      </c>
      <c r="C72" s="34" t="s">
        <v>103</v>
      </c>
      <c r="D72" s="34"/>
      <c r="E72" s="25">
        <v>1</v>
      </c>
      <c r="F72" s="34"/>
      <c r="G72" s="25"/>
      <c r="H72" s="1154"/>
      <c r="I72" s="25">
        <f>E72*H72</f>
        <v>0</v>
      </c>
      <c r="J72" s="37"/>
      <c r="K72" s="25"/>
      <c r="L72" s="25">
        <f>G72+I72+K72</f>
        <v>0</v>
      </c>
      <c r="M72" s="97"/>
      <c r="N72" s="85"/>
      <c r="O72" s="631"/>
      <c r="P72" s="98"/>
      <c r="Q72" s="85"/>
      <c r="R72" s="631"/>
      <c r="S72" s="67"/>
      <c r="T72" s="85"/>
      <c r="U72" s="631"/>
      <c r="V72" s="67"/>
      <c r="W72" s="76"/>
      <c r="X72" s="67"/>
      <c r="Y72" s="67"/>
    </row>
    <row r="73" spans="1:25" s="66" customFormat="1" ht="40.5" x14ac:dyDescent="0.25">
      <c r="A73" s="27"/>
      <c r="B73" s="22" t="s">
        <v>383</v>
      </c>
      <c r="C73" s="34" t="s">
        <v>53</v>
      </c>
      <c r="D73" s="34"/>
      <c r="E73" s="25">
        <v>1</v>
      </c>
      <c r="F73" s="34"/>
      <c r="G73" s="25"/>
      <c r="H73" s="1154"/>
      <c r="I73" s="25">
        <f>E73*H73</f>
        <v>0</v>
      </c>
      <c r="J73" s="37"/>
      <c r="K73" s="25"/>
      <c r="L73" s="25">
        <f>G73+I73+K73</f>
        <v>0</v>
      </c>
      <c r="M73" s="97"/>
      <c r="N73" s="85"/>
      <c r="O73" s="631"/>
      <c r="P73" s="98"/>
      <c r="Q73" s="85"/>
      <c r="R73" s="631"/>
      <c r="S73" s="67"/>
      <c r="T73" s="85"/>
      <c r="U73" s="631"/>
      <c r="V73" s="67"/>
      <c r="W73" s="76"/>
      <c r="X73" s="67"/>
      <c r="Y73" s="67"/>
    </row>
    <row r="74" spans="1:25" s="64" customFormat="1" ht="15" customHeight="1" x14ac:dyDescent="0.25">
      <c r="A74" s="14"/>
      <c r="B74" s="32" t="s">
        <v>42</v>
      </c>
      <c r="C74" s="19" t="s">
        <v>15</v>
      </c>
      <c r="D74" s="19">
        <v>0.42</v>
      </c>
      <c r="E74" s="19">
        <f>E68*D74</f>
        <v>0.42</v>
      </c>
      <c r="F74" s="19"/>
      <c r="G74" s="18"/>
      <c r="H74" s="1148"/>
      <c r="I74" s="18">
        <f>E74*H74</f>
        <v>0</v>
      </c>
      <c r="J74" s="26"/>
      <c r="K74" s="18"/>
      <c r="L74" s="18">
        <f>G74+I74+K74</f>
        <v>0</v>
      </c>
      <c r="N74" s="74"/>
      <c r="O74" s="74"/>
      <c r="P74" s="65"/>
      <c r="Q74" s="74"/>
      <c r="R74" s="74"/>
      <c r="S74" s="65"/>
      <c r="T74" s="74"/>
      <c r="U74" s="74"/>
      <c r="V74" s="65"/>
      <c r="W74" s="76"/>
      <c r="X74" s="65"/>
      <c r="Y74" s="65"/>
    </row>
    <row r="75" spans="1:25" s="103" customFormat="1" ht="12.75" x14ac:dyDescent="0.25">
      <c r="A75" s="43"/>
      <c r="B75" s="45" t="s">
        <v>7</v>
      </c>
      <c r="C75" s="46"/>
      <c r="D75" s="46"/>
      <c r="E75" s="47"/>
      <c r="F75" s="48"/>
      <c r="G75" s="48">
        <f>SUM(G11:G74)</f>
        <v>0</v>
      </c>
      <c r="H75" s="48"/>
      <c r="I75" s="48">
        <f>SUM(I11:I74)</f>
        <v>0</v>
      </c>
      <c r="J75" s="48"/>
      <c r="K75" s="48">
        <f>SUM(K11:K74)</f>
        <v>0</v>
      </c>
      <c r="L75" s="48">
        <f>SUM(L11:L74)</f>
        <v>0</v>
      </c>
      <c r="M75" s="102"/>
      <c r="N75" s="102"/>
      <c r="O75" s="102"/>
    </row>
    <row r="76" spans="1:25" s="104" customFormat="1" ht="12.75" x14ac:dyDescent="0.25">
      <c r="A76" s="196"/>
      <c r="B76" s="45" t="s">
        <v>67</v>
      </c>
      <c r="C76" s="1155"/>
      <c r="D76" s="50"/>
      <c r="E76" s="50"/>
      <c r="F76" s="51"/>
      <c r="G76" s="51"/>
      <c r="H76" s="51"/>
      <c r="I76" s="51"/>
      <c r="J76" s="51"/>
      <c r="K76" s="51"/>
      <c r="L76" s="51">
        <f xml:space="preserve"> I75*C76</f>
        <v>0</v>
      </c>
    </row>
    <row r="77" spans="1:25" s="94" customFormat="1" x14ac:dyDescent="0.25">
      <c r="A77" s="105"/>
      <c r="B77" s="106" t="s">
        <v>7</v>
      </c>
      <c r="C77" s="14"/>
      <c r="D77" s="14"/>
      <c r="E77" s="17"/>
      <c r="F77" s="92"/>
      <c r="G77" s="92"/>
      <c r="H77" s="107"/>
      <c r="I77" s="107"/>
      <c r="J77" s="17"/>
      <c r="K77" s="17"/>
      <c r="L77" s="17">
        <f>SUM(L75:L76)</f>
        <v>0</v>
      </c>
    </row>
    <row r="78" spans="1:25" s="94" customFormat="1" x14ac:dyDescent="0.25">
      <c r="A78" s="105"/>
      <c r="B78" s="108" t="s">
        <v>86</v>
      </c>
      <c r="C78" s="1155"/>
      <c r="D78" s="14"/>
      <c r="E78" s="17"/>
      <c r="F78" s="92"/>
      <c r="G78" s="92"/>
      <c r="H78" s="107"/>
      <c r="I78" s="107"/>
      <c r="J78" s="17"/>
      <c r="K78" s="17"/>
      <c r="L78" s="17">
        <f>L77*C78</f>
        <v>0</v>
      </c>
    </row>
    <row r="79" spans="1:25" s="94" customFormat="1" x14ac:dyDescent="0.25">
      <c r="A79" s="105"/>
      <c r="B79" s="108" t="s">
        <v>7</v>
      </c>
      <c r="C79" s="14"/>
      <c r="D79" s="14"/>
      <c r="E79" s="17"/>
      <c r="F79" s="92"/>
      <c r="G79" s="92"/>
      <c r="H79" s="107"/>
      <c r="I79" s="107"/>
      <c r="J79" s="17"/>
      <c r="K79" s="17"/>
      <c r="L79" s="17">
        <f>L77+L78</f>
        <v>0</v>
      </c>
    </row>
    <row r="80" spans="1:25" s="94" customFormat="1" x14ac:dyDescent="0.25">
      <c r="A80" s="105"/>
      <c r="B80" s="108" t="s">
        <v>87</v>
      </c>
      <c r="C80" s="1155"/>
      <c r="D80" s="14"/>
      <c r="E80" s="17"/>
      <c r="F80" s="92"/>
      <c r="G80" s="92"/>
      <c r="H80" s="107"/>
      <c r="I80" s="107"/>
      <c r="J80" s="17"/>
      <c r="K80" s="17"/>
      <c r="L80" s="17">
        <f>L79*C80</f>
        <v>0</v>
      </c>
    </row>
    <row r="81" spans="1:12" s="94" customFormat="1" x14ac:dyDescent="0.25">
      <c r="A81" s="105"/>
      <c r="B81" s="108" t="s">
        <v>7</v>
      </c>
      <c r="C81" s="14"/>
      <c r="D81" s="14"/>
      <c r="E81" s="17"/>
      <c r="F81" s="92"/>
      <c r="G81" s="92"/>
      <c r="H81" s="107"/>
      <c r="I81" s="107"/>
      <c r="J81" s="17"/>
      <c r="K81" s="17"/>
      <c r="L81" s="17">
        <f>L79+L80</f>
        <v>0</v>
      </c>
    </row>
    <row r="82" spans="1:12" s="234" customFormat="1" x14ac:dyDescent="0.25">
      <c r="A82" s="275"/>
      <c r="B82" s="236"/>
      <c r="C82" s="237"/>
      <c r="D82" s="237"/>
      <c r="E82" s="238"/>
      <c r="F82" s="239"/>
    </row>
    <row r="83" spans="1:12" s="234" customFormat="1" x14ac:dyDescent="0.25">
      <c r="A83" s="275"/>
      <c r="B83" s="236"/>
      <c r="C83" s="237"/>
      <c r="D83" s="237"/>
      <c r="E83" s="238"/>
      <c r="F83" s="239"/>
    </row>
    <row r="84" spans="1:12" s="234" customFormat="1" x14ac:dyDescent="0.25">
      <c r="A84" s="275"/>
      <c r="B84" s="236"/>
      <c r="C84" s="237"/>
      <c r="D84" s="237"/>
      <c r="E84" s="238"/>
      <c r="F84" s="239"/>
    </row>
    <row r="88" spans="1:12" x14ac:dyDescent="0.25">
      <c r="E88" s="276"/>
    </row>
  </sheetData>
  <autoFilter ref="A10:L81"/>
  <mergeCells count="15">
    <mergeCell ref="F8:G8"/>
    <mergeCell ref="H8:I8"/>
    <mergeCell ref="J8:K8"/>
    <mergeCell ref="L8:L9"/>
    <mergeCell ref="A7:B7"/>
    <mergeCell ref="A8:A9"/>
    <mergeCell ref="B8:B9"/>
    <mergeCell ref="C8:C9"/>
    <mergeCell ref="D8:E8"/>
    <mergeCell ref="A6:D6"/>
    <mergeCell ref="K1:L1"/>
    <mergeCell ref="A2:J2"/>
    <mergeCell ref="K2:L2"/>
    <mergeCell ref="A4:L4"/>
    <mergeCell ref="A5:L5"/>
  </mergeCells>
  <pageMargins left="0.7" right="0.7" top="0.75" bottom="0.75" header="0.3" footer="0.3"/>
  <pageSetup paperSize="9" scale="59" orientation="portrait" r:id="rId1"/>
  <rowBreaks count="1" manualBreakCount="1">
    <brk id="5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8"/>
  <sheetViews>
    <sheetView view="pageBreakPreview" topLeftCell="A178" zoomScale="110" zoomScaleNormal="100" zoomScaleSheetLayoutView="110" workbookViewId="0">
      <selection activeCell="F203" sqref="F203"/>
    </sheetView>
  </sheetViews>
  <sheetFormatPr defaultColWidth="9.140625" defaultRowHeight="13.5" x14ac:dyDescent="0.25"/>
  <cols>
    <col min="1" max="1" width="7" style="235" customWidth="1"/>
    <col min="2" max="2" width="53.5703125" style="97" customWidth="1"/>
    <col min="3" max="3" width="7.7109375" style="241" customWidth="1"/>
    <col min="4" max="4" width="6.7109375" style="241" customWidth="1"/>
    <col min="5" max="5" width="8.5703125" style="240" customWidth="1"/>
    <col min="6" max="6" width="7" style="240" customWidth="1"/>
    <col min="7" max="7" width="7.5703125" style="240" customWidth="1"/>
    <col min="8" max="8" width="8.140625" style="240" customWidth="1"/>
    <col min="9" max="9" width="9" style="240" customWidth="1"/>
    <col min="10" max="10" width="7" style="240" customWidth="1"/>
    <col min="11" max="11" width="7.85546875" style="240" customWidth="1"/>
    <col min="12" max="12" width="10.5703125" style="240" customWidth="1"/>
    <col min="13" max="13" width="8.140625" style="240" customWidth="1"/>
    <col min="14" max="18" width="9.140625" style="240"/>
    <col min="19" max="19" width="16" style="240" customWidth="1"/>
    <col min="20" max="16384" width="9.140625" style="240"/>
  </cols>
  <sheetData>
    <row r="1" spans="1:25" s="207" customFormat="1" ht="16.5" x14ac:dyDescent="0.25">
      <c r="A1" s="209"/>
      <c r="B1" s="210"/>
      <c r="C1" s="210"/>
      <c r="D1" s="210"/>
      <c r="E1" s="210"/>
      <c r="F1" s="707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</row>
    <row r="2" spans="1:25" s="207" customFormat="1" ht="16.5" x14ac:dyDescent="0.25">
      <c r="A2" s="1078" t="s">
        <v>90</v>
      </c>
      <c r="B2" s="1078"/>
      <c r="C2" s="1078"/>
      <c r="D2" s="1078"/>
      <c r="E2" s="1078"/>
      <c r="F2" s="1078"/>
      <c r="G2" s="1078"/>
      <c r="H2" s="1078"/>
      <c r="I2" s="1078"/>
      <c r="J2" s="1078"/>
      <c r="K2" s="1078"/>
      <c r="L2" s="107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</row>
    <row r="3" spans="1:25" s="207" customFormat="1" ht="16.5" x14ac:dyDescent="0.25">
      <c r="A3" s="1078" t="str">
        <f>[1]სანაკრებო!C13</f>
        <v>el.qselis da susti denebis mowyobis samuSaoebi</v>
      </c>
      <c r="B3" s="1078"/>
      <c r="C3" s="1078"/>
      <c r="D3" s="1078"/>
      <c r="E3" s="1078"/>
      <c r="F3" s="1078"/>
      <c r="G3" s="1078"/>
      <c r="H3" s="1078"/>
      <c r="I3" s="1078"/>
      <c r="J3" s="1078"/>
      <c r="K3" s="1078"/>
      <c r="L3" s="107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</row>
    <row r="4" spans="1:25" s="211" customFormat="1" ht="15.75" x14ac:dyDescent="0.25">
      <c r="A4" s="1096"/>
      <c r="B4" s="1096"/>
      <c r="C4" s="1096"/>
      <c r="D4" s="1096"/>
      <c r="E4" s="1096"/>
      <c r="F4" s="1096"/>
      <c r="G4" s="1096"/>
      <c r="H4" s="1097"/>
      <c r="I4" s="1097"/>
      <c r="J4" s="1097"/>
      <c r="K4" s="1097"/>
      <c r="L4" s="1097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</row>
    <row r="5" spans="1:25" s="202" customFormat="1" ht="29.25" customHeight="1" x14ac:dyDescent="0.25">
      <c r="A5" s="1082" t="s">
        <v>0</v>
      </c>
      <c r="B5" s="1084" t="s">
        <v>1</v>
      </c>
      <c r="C5" s="1084" t="s">
        <v>2</v>
      </c>
      <c r="D5" s="1086" t="s">
        <v>3</v>
      </c>
      <c r="E5" s="1087"/>
      <c r="F5" s="1088" t="s">
        <v>4</v>
      </c>
      <c r="G5" s="1089"/>
      <c r="H5" s="1088" t="s">
        <v>5</v>
      </c>
      <c r="I5" s="1089"/>
      <c r="J5" s="1088" t="s">
        <v>6</v>
      </c>
      <c r="K5" s="1089"/>
      <c r="L5" s="1080" t="s">
        <v>7</v>
      </c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</row>
    <row r="6" spans="1:25" s="202" customFormat="1" ht="23.25" customHeight="1" x14ac:dyDescent="0.25">
      <c r="A6" s="1083"/>
      <c r="B6" s="1085"/>
      <c r="C6" s="1085"/>
      <c r="D6" s="214" t="s">
        <v>8</v>
      </c>
      <c r="E6" s="214" t="s">
        <v>9</v>
      </c>
      <c r="F6" s="215" t="s">
        <v>8</v>
      </c>
      <c r="G6" s="215" t="s">
        <v>9</v>
      </c>
      <c r="H6" s="215" t="s">
        <v>8</v>
      </c>
      <c r="I6" s="215" t="s">
        <v>9</v>
      </c>
      <c r="J6" s="215" t="s">
        <v>8</v>
      </c>
      <c r="K6" s="215" t="s">
        <v>9</v>
      </c>
      <c r="L6" s="1081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</row>
    <row r="7" spans="1:25" s="201" customFormat="1" ht="17.25" customHeight="1" thickBot="1" x14ac:dyDescent="0.3">
      <c r="A7" s="216">
        <v>1</v>
      </c>
      <c r="B7" s="216">
        <v>3</v>
      </c>
      <c r="C7" s="216">
        <v>4</v>
      </c>
      <c r="D7" s="216">
        <v>5</v>
      </c>
      <c r="E7" s="216">
        <v>6</v>
      </c>
      <c r="F7" s="216">
        <v>7</v>
      </c>
      <c r="G7" s="216">
        <v>8</v>
      </c>
      <c r="H7" s="216">
        <v>9</v>
      </c>
      <c r="I7" s="216">
        <v>10</v>
      </c>
      <c r="J7" s="216">
        <v>11</v>
      </c>
      <c r="K7" s="216">
        <v>12</v>
      </c>
      <c r="L7" s="217">
        <v>13</v>
      </c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</row>
    <row r="8" spans="1:25" s="183" customFormat="1" ht="15.75" x14ac:dyDescent="0.25">
      <c r="A8" s="739"/>
      <c r="B8" s="740" t="s">
        <v>409</v>
      </c>
      <c r="C8" s="741"/>
      <c r="D8" s="741"/>
      <c r="E8" s="742"/>
      <c r="F8" s="741"/>
      <c r="G8" s="742"/>
      <c r="H8" s="743"/>
      <c r="I8" s="742"/>
      <c r="J8" s="743"/>
      <c r="K8" s="742"/>
      <c r="L8" s="744"/>
      <c r="M8" s="83"/>
    </row>
    <row r="9" spans="1:25" s="109" customFormat="1" ht="12.75" x14ac:dyDescent="0.25">
      <c r="A9" s="662">
        <v>1</v>
      </c>
      <c r="B9" s="663" t="s">
        <v>64</v>
      </c>
      <c r="C9" s="662" t="s">
        <v>21</v>
      </c>
      <c r="D9" s="662"/>
      <c r="E9" s="664">
        <f>E12+E15</f>
        <v>2</v>
      </c>
      <c r="F9" s="665"/>
      <c r="G9" s="665"/>
      <c r="H9" s="665"/>
      <c r="I9" s="665"/>
      <c r="J9" s="665"/>
      <c r="K9" s="665"/>
      <c r="L9" s="666"/>
      <c r="N9" s="110"/>
    </row>
    <row r="10" spans="1:25" s="111" customFormat="1" ht="12.75" x14ac:dyDescent="0.25">
      <c r="A10" s="667"/>
      <c r="B10" s="668" t="s">
        <v>11</v>
      </c>
      <c r="C10" s="667" t="s">
        <v>37</v>
      </c>
      <c r="D10" s="667">
        <v>3.37</v>
      </c>
      <c r="E10" s="667">
        <f>D10*E9</f>
        <v>6.74</v>
      </c>
      <c r="F10" s="1156"/>
      <c r="G10" s="666">
        <f>E10*F10</f>
        <v>0</v>
      </c>
      <c r="H10" s="666"/>
      <c r="I10" s="666"/>
      <c r="J10" s="666"/>
      <c r="K10" s="666"/>
      <c r="L10" s="666">
        <f t="shared" ref="L10:L23" si="0">G10+I10+K10</f>
        <v>0</v>
      </c>
      <c r="N10" s="81"/>
    </row>
    <row r="11" spans="1:25" s="111" customFormat="1" ht="12.75" x14ac:dyDescent="0.25">
      <c r="A11" s="667"/>
      <c r="B11" s="668" t="s">
        <v>14</v>
      </c>
      <c r="C11" s="667" t="s">
        <v>15</v>
      </c>
      <c r="D11" s="667">
        <v>9.5000000000000001E-2</v>
      </c>
      <c r="E11" s="667">
        <f>D11*E9</f>
        <v>0.19</v>
      </c>
      <c r="F11" s="666"/>
      <c r="G11" s="666"/>
      <c r="H11" s="666"/>
      <c r="I11" s="666"/>
      <c r="J11" s="1156"/>
      <c r="K11" s="666">
        <f>J11*E11</f>
        <v>0</v>
      </c>
      <c r="L11" s="666">
        <f t="shared" si="0"/>
        <v>0</v>
      </c>
      <c r="N11" s="81"/>
    </row>
    <row r="12" spans="1:25" s="69" customFormat="1" ht="12.75" x14ac:dyDescent="0.25">
      <c r="A12" s="43"/>
      <c r="B12" s="529" t="s">
        <v>428</v>
      </c>
      <c r="C12" s="43" t="s">
        <v>21</v>
      </c>
      <c r="D12" s="702"/>
      <c r="E12" s="47">
        <v>1</v>
      </c>
      <c r="F12" s="669"/>
      <c r="G12" s="669"/>
      <c r="H12" s="1160"/>
      <c r="I12" s="670">
        <f t="shared" ref="I12:I23" si="1">E12*H12</f>
        <v>0</v>
      </c>
      <c r="J12" s="669"/>
      <c r="K12" s="669"/>
      <c r="L12" s="368">
        <f t="shared" si="0"/>
        <v>0</v>
      </c>
    </row>
    <row r="13" spans="1:25" s="220" customFormat="1" ht="25.5" x14ac:dyDescent="0.2">
      <c r="A13" s="673"/>
      <c r="B13" s="671" t="s">
        <v>429</v>
      </c>
      <c r="C13" s="421" t="s">
        <v>21</v>
      </c>
      <c r="D13" s="421"/>
      <c r="E13" s="672">
        <v>1</v>
      </c>
      <c r="F13" s="421"/>
      <c r="G13" s="422"/>
      <c r="H13" s="1160"/>
      <c r="I13" s="670">
        <f>E13*H13</f>
        <v>0</v>
      </c>
      <c r="J13" s="672"/>
      <c r="K13" s="422"/>
      <c r="L13" s="422">
        <f>G13+I13+K13</f>
        <v>0</v>
      </c>
    </row>
    <row r="14" spans="1:25" s="220" customFormat="1" ht="15" customHeight="1" x14ac:dyDescent="0.2">
      <c r="A14" s="673"/>
      <c r="B14" s="671" t="s">
        <v>430</v>
      </c>
      <c r="C14" s="421" t="s">
        <v>21</v>
      </c>
      <c r="D14" s="421"/>
      <c r="E14" s="672">
        <v>1</v>
      </c>
      <c r="F14" s="421"/>
      <c r="G14" s="422"/>
      <c r="H14" s="1160"/>
      <c r="I14" s="670">
        <f>E14*H14</f>
        <v>0</v>
      </c>
      <c r="J14" s="672"/>
      <c r="K14" s="422"/>
      <c r="L14" s="422">
        <f>G14+I14+K14</f>
        <v>0</v>
      </c>
    </row>
    <row r="15" spans="1:25" s="69" customFormat="1" ht="12.75" x14ac:dyDescent="0.25">
      <c r="A15" s="43"/>
      <c r="B15" s="529" t="s">
        <v>410</v>
      </c>
      <c r="C15" s="43" t="s">
        <v>21</v>
      </c>
      <c r="D15" s="702"/>
      <c r="E15" s="47">
        <v>1</v>
      </c>
      <c r="F15" s="669"/>
      <c r="G15" s="669"/>
      <c r="H15" s="1161"/>
      <c r="I15" s="670">
        <f t="shared" si="1"/>
        <v>0</v>
      </c>
      <c r="J15" s="669"/>
      <c r="K15" s="669"/>
      <c r="L15" s="368">
        <f t="shared" si="0"/>
        <v>0</v>
      </c>
    </row>
    <row r="16" spans="1:25" s="220" customFormat="1" ht="15.75" customHeight="1" x14ac:dyDescent="0.2">
      <c r="A16" s="673"/>
      <c r="B16" s="671" t="s">
        <v>149</v>
      </c>
      <c r="C16" s="421" t="s">
        <v>21</v>
      </c>
      <c r="D16" s="421"/>
      <c r="E16" s="672">
        <v>1</v>
      </c>
      <c r="F16" s="421"/>
      <c r="G16" s="422"/>
      <c r="H16" s="1160"/>
      <c r="I16" s="670">
        <f t="shared" si="1"/>
        <v>0</v>
      </c>
      <c r="J16" s="672"/>
      <c r="K16" s="422"/>
      <c r="L16" s="422">
        <f t="shared" si="0"/>
        <v>0</v>
      </c>
    </row>
    <row r="17" spans="1:14" s="111" customFormat="1" ht="12.75" x14ac:dyDescent="0.25">
      <c r="A17" s="667"/>
      <c r="B17" s="668" t="s">
        <v>150</v>
      </c>
      <c r="C17" s="667" t="s">
        <v>21</v>
      </c>
      <c r="D17" s="667"/>
      <c r="E17" s="366">
        <v>1</v>
      </c>
      <c r="F17" s="666"/>
      <c r="G17" s="666"/>
      <c r="H17" s="1160"/>
      <c r="I17" s="368">
        <f>E17*H17</f>
        <v>0</v>
      </c>
      <c r="J17" s="666"/>
      <c r="K17" s="666"/>
      <c r="L17" s="666">
        <f>G17+I17+K17</f>
        <v>0</v>
      </c>
      <c r="N17" s="81"/>
    </row>
    <row r="18" spans="1:14" s="111" customFormat="1" ht="12.75" x14ac:dyDescent="0.25">
      <c r="A18" s="667"/>
      <c r="B18" s="668" t="s">
        <v>426</v>
      </c>
      <c r="C18" s="667" t="s">
        <v>21</v>
      </c>
      <c r="D18" s="667"/>
      <c r="E18" s="366">
        <v>1</v>
      </c>
      <c r="F18" s="666"/>
      <c r="G18" s="666"/>
      <c r="H18" s="1160"/>
      <c r="I18" s="368">
        <f>E18*H18</f>
        <v>0</v>
      </c>
      <c r="J18" s="666"/>
      <c r="K18" s="666"/>
      <c r="L18" s="666">
        <f>G18+I18+K18</f>
        <v>0</v>
      </c>
      <c r="N18" s="81"/>
    </row>
    <row r="19" spans="1:14" s="111" customFormat="1" ht="12.75" x14ac:dyDescent="0.25">
      <c r="A19" s="667"/>
      <c r="B19" s="668" t="s">
        <v>411</v>
      </c>
      <c r="C19" s="667" t="s">
        <v>21</v>
      </c>
      <c r="D19" s="667"/>
      <c r="E19" s="366">
        <v>1</v>
      </c>
      <c r="F19" s="666"/>
      <c r="G19" s="666"/>
      <c r="H19" s="1160"/>
      <c r="I19" s="368">
        <f>E19*H19</f>
        <v>0</v>
      </c>
      <c r="J19" s="666"/>
      <c r="K19" s="666"/>
      <c r="L19" s="666">
        <f>G19+I19+K19</f>
        <v>0</v>
      </c>
      <c r="N19" s="81"/>
    </row>
    <row r="20" spans="1:14" s="111" customFormat="1" ht="25.5" x14ac:dyDescent="0.25">
      <c r="A20" s="667"/>
      <c r="B20" s="668" t="s">
        <v>412</v>
      </c>
      <c r="C20" s="667" t="s">
        <v>21</v>
      </c>
      <c r="D20" s="667"/>
      <c r="E20" s="366">
        <v>1</v>
      </c>
      <c r="F20" s="666"/>
      <c r="G20" s="666"/>
      <c r="H20" s="1160"/>
      <c r="I20" s="368">
        <f>E20*H20</f>
        <v>0</v>
      </c>
      <c r="J20" s="666"/>
      <c r="K20" s="666"/>
      <c r="L20" s="666">
        <f>G20+I20+K20</f>
        <v>0</v>
      </c>
      <c r="N20" s="81"/>
    </row>
    <row r="21" spans="1:14" s="109" customFormat="1" ht="25.5" x14ac:dyDescent="0.25">
      <c r="A21" s="662"/>
      <c r="B21" s="668" t="s">
        <v>431</v>
      </c>
      <c r="C21" s="366" t="s">
        <v>21</v>
      </c>
      <c r="D21" s="667"/>
      <c r="E21" s="367">
        <v>1</v>
      </c>
      <c r="F21" s="666"/>
      <c r="G21" s="666"/>
      <c r="H21" s="1160"/>
      <c r="I21" s="368">
        <f t="shared" si="1"/>
        <v>0</v>
      </c>
      <c r="J21" s="666"/>
      <c r="K21" s="666"/>
      <c r="L21" s="666">
        <f t="shared" si="0"/>
        <v>0</v>
      </c>
      <c r="N21" s="110"/>
    </row>
    <row r="22" spans="1:14" s="111" customFormat="1" ht="25.5" x14ac:dyDescent="0.25">
      <c r="A22" s="667"/>
      <c r="B22" s="668" t="s">
        <v>432</v>
      </c>
      <c r="C22" s="667" t="s">
        <v>21</v>
      </c>
      <c r="D22" s="667"/>
      <c r="E22" s="366">
        <v>1</v>
      </c>
      <c r="F22" s="666"/>
      <c r="G22" s="666"/>
      <c r="H22" s="1160"/>
      <c r="I22" s="368">
        <f t="shared" si="1"/>
        <v>0</v>
      </c>
      <c r="J22" s="666"/>
      <c r="K22" s="666"/>
      <c r="L22" s="666">
        <f t="shared" si="0"/>
        <v>0</v>
      </c>
      <c r="N22" s="81"/>
    </row>
    <row r="23" spans="1:14" s="111" customFormat="1" ht="12.75" x14ac:dyDescent="0.25">
      <c r="A23" s="667"/>
      <c r="B23" s="668" t="s">
        <v>42</v>
      </c>
      <c r="C23" s="667" t="s">
        <v>15</v>
      </c>
      <c r="D23" s="667">
        <v>0.98499999999999999</v>
      </c>
      <c r="E23" s="667">
        <f>D23*E9</f>
        <v>1.97</v>
      </c>
      <c r="F23" s="666"/>
      <c r="G23" s="666"/>
      <c r="H23" s="1156"/>
      <c r="I23" s="368">
        <f t="shared" si="1"/>
        <v>0</v>
      </c>
      <c r="J23" s="666"/>
      <c r="K23" s="666"/>
      <c r="L23" s="666">
        <f t="shared" si="0"/>
        <v>0</v>
      </c>
      <c r="N23" s="81"/>
    </row>
    <row r="24" spans="1:14" s="220" customFormat="1" ht="12.75" x14ac:dyDescent="0.2">
      <c r="A24" s="673">
        <v>2</v>
      </c>
      <c r="B24" s="674" t="s">
        <v>413</v>
      </c>
      <c r="C24" s="420" t="s">
        <v>34</v>
      </c>
      <c r="D24" s="675"/>
      <c r="E24" s="676">
        <v>4.5</v>
      </c>
      <c r="F24" s="677"/>
      <c r="G24" s="677"/>
      <c r="H24" s="677"/>
      <c r="I24" s="677"/>
      <c r="J24" s="677"/>
      <c r="K24" s="677"/>
      <c r="L24" s="677"/>
    </row>
    <row r="25" spans="1:14" s="220" customFormat="1" ht="12.75" x14ac:dyDescent="0.2">
      <c r="A25" s="673"/>
      <c r="B25" s="671" t="s">
        <v>11</v>
      </c>
      <c r="C25" s="421" t="s">
        <v>37</v>
      </c>
      <c r="D25" s="675">
        <v>0.26</v>
      </c>
      <c r="E25" s="678">
        <f>D25*E24</f>
        <v>1.17</v>
      </c>
      <c r="F25" s="1156"/>
      <c r="G25" s="666">
        <f>E25*F25</f>
        <v>0</v>
      </c>
      <c r="H25" s="679"/>
      <c r="I25" s="679"/>
      <c r="J25" s="679"/>
      <c r="K25" s="679"/>
      <c r="L25" s="679">
        <f>G25+I25+K25</f>
        <v>0</v>
      </c>
    </row>
    <row r="26" spans="1:14" s="220" customFormat="1" ht="12.75" x14ac:dyDescent="0.2">
      <c r="A26" s="673"/>
      <c r="B26" s="671" t="s">
        <v>14</v>
      </c>
      <c r="C26" s="421" t="s">
        <v>15</v>
      </c>
      <c r="D26" s="675">
        <v>1.7000000000000001E-2</v>
      </c>
      <c r="E26" s="678">
        <f>D26*E24</f>
        <v>7.6500000000000012E-2</v>
      </c>
      <c r="F26" s="679"/>
      <c r="G26" s="679"/>
      <c r="H26" s="679"/>
      <c r="I26" s="679"/>
      <c r="J26" s="1156"/>
      <c r="K26" s="679">
        <f>E26*J26</f>
        <v>0</v>
      </c>
      <c r="L26" s="679">
        <f>G26+I26+K26</f>
        <v>0</v>
      </c>
    </row>
    <row r="27" spans="1:14" s="220" customFormat="1" ht="12.75" x14ac:dyDescent="0.2">
      <c r="A27" s="673"/>
      <c r="B27" s="671" t="s">
        <v>152</v>
      </c>
      <c r="C27" s="421" t="s">
        <v>34</v>
      </c>
      <c r="D27" s="675">
        <v>1</v>
      </c>
      <c r="E27" s="678">
        <v>4.5</v>
      </c>
      <c r="F27" s="679"/>
      <c r="G27" s="679"/>
      <c r="H27" s="1162"/>
      <c r="I27" s="679">
        <f>E27*H27</f>
        <v>0</v>
      </c>
      <c r="J27" s="679"/>
      <c r="K27" s="679"/>
      <c r="L27" s="679">
        <f>G27+I27+K27</f>
        <v>0</v>
      </c>
    </row>
    <row r="28" spans="1:14" s="220" customFormat="1" ht="12.75" x14ac:dyDescent="0.2">
      <c r="A28" s="673"/>
      <c r="B28" s="671" t="s">
        <v>42</v>
      </c>
      <c r="C28" s="421" t="s">
        <v>15</v>
      </c>
      <c r="D28" s="675">
        <v>0.42199999999999999</v>
      </c>
      <c r="E28" s="678">
        <f>D28*E24</f>
        <v>1.899</v>
      </c>
      <c r="F28" s="679"/>
      <c r="G28" s="679"/>
      <c r="H28" s="1156"/>
      <c r="I28" s="679">
        <f>E28*H28</f>
        <v>0</v>
      </c>
      <c r="J28" s="679"/>
      <c r="K28" s="679"/>
      <c r="L28" s="679">
        <f>G28+I28+K28</f>
        <v>0</v>
      </c>
    </row>
    <row r="29" spans="1:14" s="220" customFormat="1" ht="12.75" x14ac:dyDescent="0.2">
      <c r="A29" s="673">
        <v>3</v>
      </c>
      <c r="B29" s="674" t="s">
        <v>414</v>
      </c>
      <c r="C29" s="420" t="s">
        <v>34</v>
      </c>
      <c r="D29" s="675"/>
      <c r="E29" s="676">
        <v>6</v>
      </c>
      <c r="F29" s="677"/>
      <c r="G29" s="677"/>
      <c r="H29" s="677"/>
      <c r="I29" s="677"/>
      <c r="J29" s="677"/>
      <c r="K29" s="677"/>
      <c r="L29" s="677"/>
    </row>
    <row r="30" spans="1:14" s="220" customFormat="1" ht="12.75" x14ac:dyDescent="0.2">
      <c r="A30" s="673"/>
      <c r="B30" s="671" t="s">
        <v>11</v>
      </c>
      <c r="C30" s="421" t="s">
        <v>37</v>
      </c>
      <c r="D30" s="675">
        <v>0.24</v>
      </c>
      <c r="E30" s="678">
        <f>D30*E29</f>
        <v>1.44</v>
      </c>
      <c r="F30" s="1156"/>
      <c r="G30" s="666">
        <f>E30*F30</f>
        <v>0</v>
      </c>
      <c r="H30" s="679"/>
      <c r="I30" s="679"/>
      <c r="J30" s="679"/>
      <c r="K30" s="679"/>
      <c r="L30" s="679">
        <f>G30+I30+K30</f>
        <v>0</v>
      </c>
    </row>
    <row r="31" spans="1:14" s="220" customFormat="1" ht="12.75" x14ac:dyDescent="0.2">
      <c r="A31" s="673"/>
      <c r="B31" s="671" t="s">
        <v>14</v>
      </c>
      <c r="C31" s="421" t="s">
        <v>15</v>
      </c>
      <c r="D31" s="675">
        <v>1.7999999999999999E-2</v>
      </c>
      <c r="E31" s="678">
        <f>D31*E29</f>
        <v>0.10799999999999998</v>
      </c>
      <c r="F31" s="679"/>
      <c r="G31" s="679"/>
      <c r="H31" s="679"/>
      <c r="I31" s="679"/>
      <c r="J31" s="1156"/>
      <c r="K31" s="679">
        <f>E31*J31</f>
        <v>0</v>
      </c>
      <c r="L31" s="679">
        <f>G31+I31+K31</f>
        <v>0</v>
      </c>
    </row>
    <row r="32" spans="1:14" s="220" customFormat="1" ht="12.75" x14ac:dyDescent="0.2">
      <c r="A32" s="673"/>
      <c r="B32" s="671" t="s">
        <v>427</v>
      </c>
      <c r="C32" s="421" t="s">
        <v>34</v>
      </c>
      <c r="D32" s="675">
        <v>1</v>
      </c>
      <c r="E32" s="678">
        <v>6</v>
      </c>
      <c r="F32" s="679"/>
      <c r="G32" s="679"/>
      <c r="H32" s="1162"/>
      <c r="I32" s="679">
        <f>E32*H32</f>
        <v>0</v>
      </c>
      <c r="J32" s="679"/>
      <c r="K32" s="679"/>
      <c r="L32" s="679">
        <f>G32+I32+K32</f>
        <v>0</v>
      </c>
    </row>
    <row r="33" spans="1:73" s="220" customFormat="1" ht="12.75" x14ac:dyDescent="0.2">
      <c r="A33" s="673"/>
      <c r="B33" s="671" t="s">
        <v>153</v>
      </c>
      <c r="C33" s="421" t="s">
        <v>21</v>
      </c>
      <c r="D33" s="675">
        <v>1</v>
      </c>
      <c r="E33" s="678">
        <v>3</v>
      </c>
      <c r="F33" s="679"/>
      <c r="G33" s="679"/>
      <c r="H33" s="1162"/>
      <c r="I33" s="679">
        <f>E33*H33</f>
        <v>0</v>
      </c>
      <c r="J33" s="679"/>
      <c r="K33" s="679"/>
      <c r="L33" s="679">
        <f>G33+I33+K33</f>
        <v>0</v>
      </c>
    </row>
    <row r="34" spans="1:73" s="220" customFormat="1" ht="12.75" x14ac:dyDescent="0.2">
      <c r="A34" s="673"/>
      <c r="B34" s="671" t="s">
        <v>42</v>
      </c>
      <c r="C34" s="421" t="s">
        <v>15</v>
      </c>
      <c r="D34" s="675">
        <v>0.49</v>
      </c>
      <c r="E34" s="678">
        <f>D34*E29</f>
        <v>2.94</v>
      </c>
      <c r="F34" s="679"/>
      <c r="G34" s="679"/>
      <c r="H34" s="1156"/>
      <c r="I34" s="679">
        <f>E34*H34</f>
        <v>0</v>
      </c>
      <c r="J34" s="679"/>
      <c r="K34" s="679"/>
      <c r="L34" s="679">
        <f>G34+I34+K34</f>
        <v>0</v>
      </c>
    </row>
    <row r="35" spans="1:73" s="109" customFormat="1" ht="12.75" x14ac:dyDescent="0.25">
      <c r="A35" s="662">
        <v>4</v>
      </c>
      <c r="B35" s="663" t="s">
        <v>154</v>
      </c>
      <c r="C35" s="662" t="s">
        <v>43</v>
      </c>
      <c r="D35" s="662"/>
      <c r="E35" s="680">
        <f>(E38)/1.03</f>
        <v>67.961165048543691</v>
      </c>
      <c r="F35" s="665"/>
      <c r="G35" s="666"/>
      <c r="H35" s="666"/>
      <c r="I35" s="666"/>
      <c r="J35" s="666"/>
      <c r="K35" s="666"/>
      <c r="L35" s="666"/>
      <c r="M35" s="80"/>
      <c r="N35" s="80"/>
      <c r="O35" s="80"/>
      <c r="P35" s="80"/>
    </row>
    <row r="36" spans="1:73" s="111" customFormat="1" ht="12.75" x14ac:dyDescent="0.25">
      <c r="A36" s="667"/>
      <c r="B36" s="668" t="s">
        <v>36</v>
      </c>
      <c r="C36" s="667" t="s">
        <v>37</v>
      </c>
      <c r="D36" s="667">
        <v>0.05</v>
      </c>
      <c r="E36" s="667">
        <f>E35*D36</f>
        <v>3.3980582524271847</v>
      </c>
      <c r="F36" s="1156"/>
      <c r="G36" s="666">
        <f>E36*F36</f>
        <v>0</v>
      </c>
      <c r="H36" s="666"/>
      <c r="I36" s="666"/>
      <c r="J36" s="666"/>
      <c r="K36" s="666"/>
      <c r="L36" s="666">
        <f>K36+I36+G36</f>
        <v>0</v>
      </c>
      <c r="M36" s="80"/>
      <c r="N36" s="80"/>
      <c r="O36" s="80"/>
      <c r="P36" s="80"/>
    </row>
    <row r="37" spans="1:73" s="111" customFormat="1" ht="12.75" x14ac:dyDescent="0.25">
      <c r="A37" s="667"/>
      <c r="B37" s="668" t="s">
        <v>40</v>
      </c>
      <c r="C37" s="667" t="s">
        <v>15</v>
      </c>
      <c r="D37" s="667">
        <v>2.8500000000000001E-2</v>
      </c>
      <c r="E37" s="667">
        <f>E35*D37</f>
        <v>1.9368932038834952</v>
      </c>
      <c r="F37" s="666"/>
      <c r="G37" s="666"/>
      <c r="H37" s="666"/>
      <c r="I37" s="666"/>
      <c r="J37" s="1156"/>
      <c r="K37" s="666">
        <f>J37*E37</f>
        <v>0</v>
      </c>
      <c r="L37" s="666">
        <f>K37+I37+G37</f>
        <v>0</v>
      </c>
      <c r="M37" s="80"/>
      <c r="N37" s="80"/>
      <c r="O37" s="80"/>
      <c r="P37" s="80"/>
    </row>
    <row r="38" spans="1:73" s="80" customFormat="1" ht="25.5" x14ac:dyDescent="0.25">
      <c r="A38" s="366"/>
      <c r="B38" s="352" t="s">
        <v>433</v>
      </c>
      <c r="C38" s="366" t="s">
        <v>43</v>
      </c>
      <c r="D38" s="366">
        <v>1.03</v>
      </c>
      <c r="E38" s="366">
        <v>70</v>
      </c>
      <c r="F38" s="367"/>
      <c r="G38" s="368"/>
      <c r="H38" s="1163"/>
      <c r="I38" s="368">
        <f>E38*H38</f>
        <v>0</v>
      </c>
      <c r="J38" s="367"/>
      <c r="K38" s="368"/>
      <c r="L38" s="368">
        <f>G38+I38+K38</f>
        <v>0</v>
      </c>
      <c r="M38" s="118"/>
      <c r="N38" s="85"/>
      <c r="O38" s="85"/>
      <c r="P38" s="118"/>
      <c r="Q38" s="85"/>
      <c r="R38" s="85"/>
      <c r="S38" s="119"/>
      <c r="T38" s="85"/>
      <c r="U38" s="85"/>
      <c r="V38" s="119"/>
      <c r="W38" s="76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</row>
    <row r="39" spans="1:73" s="111" customFormat="1" ht="12.75" x14ac:dyDescent="0.25">
      <c r="A39" s="667"/>
      <c r="B39" s="668" t="s">
        <v>42</v>
      </c>
      <c r="C39" s="667" t="s">
        <v>15</v>
      </c>
      <c r="D39" s="667">
        <v>2.7000000000000001E-3</v>
      </c>
      <c r="E39" s="667">
        <f>D39*E35</f>
        <v>0.18349514563106797</v>
      </c>
      <c r="F39" s="666"/>
      <c r="G39" s="666"/>
      <c r="H39" s="1156"/>
      <c r="I39" s="368">
        <f>E39*H39</f>
        <v>0</v>
      </c>
      <c r="J39" s="666"/>
      <c r="K39" s="666"/>
      <c r="L39" s="666">
        <f>K39+I39+G39</f>
        <v>0</v>
      </c>
      <c r="M39" s="80"/>
      <c r="N39" s="80"/>
      <c r="O39" s="80"/>
      <c r="P39" s="80"/>
    </row>
    <row r="40" spans="1:73" s="109" customFormat="1" ht="12.75" x14ac:dyDescent="0.25">
      <c r="A40" s="662">
        <v>5</v>
      </c>
      <c r="B40" s="663" t="s">
        <v>154</v>
      </c>
      <c r="C40" s="662" t="s">
        <v>43</v>
      </c>
      <c r="D40" s="662"/>
      <c r="E40" s="680">
        <f>(E44+E43)/1.02</f>
        <v>985.29411764705878</v>
      </c>
      <c r="F40" s="665"/>
      <c r="G40" s="666"/>
      <c r="H40" s="666"/>
      <c r="I40" s="666"/>
      <c r="J40" s="666"/>
      <c r="K40" s="666"/>
      <c r="L40" s="666"/>
      <c r="M40" s="80"/>
      <c r="N40" s="80"/>
      <c r="O40" s="80"/>
      <c r="P40" s="80"/>
    </row>
    <row r="41" spans="1:73" s="111" customFormat="1" ht="12.75" x14ac:dyDescent="0.25">
      <c r="A41" s="667"/>
      <c r="B41" s="668" t="s">
        <v>36</v>
      </c>
      <c r="C41" s="667" t="s">
        <v>37</v>
      </c>
      <c r="D41" s="667">
        <v>7.0000000000000007E-2</v>
      </c>
      <c r="E41" s="667">
        <f>E40*D41</f>
        <v>68.970588235294116</v>
      </c>
      <c r="F41" s="1156"/>
      <c r="G41" s="666">
        <f>E41*F41</f>
        <v>0</v>
      </c>
      <c r="H41" s="666"/>
      <c r="I41" s="666"/>
      <c r="J41" s="666"/>
      <c r="K41" s="666"/>
      <c r="L41" s="666">
        <f>K41+I41+G41</f>
        <v>0</v>
      </c>
      <c r="M41" s="80"/>
      <c r="N41" s="80"/>
      <c r="O41" s="80"/>
      <c r="P41" s="80"/>
    </row>
    <row r="42" spans="1:73" s="111" customFormat="1" ht="12.75" x14ac:dyDescent="0.25">
      <c r="A42" s="667"/>
      <c r="B42" s="668" t="s">
        <v>40</v>
      </c>
      <c r="C42" s="667" t="s">
        <v>15</v>
      </c>
      <c r="D42" s="667">
        <v>4.8399999999999999E-2</v>
      </c>
      <c r="E42" s="667">
        <f>E40*D42</f>
        <v>47.688235294117646</v>
      </c>
      <c r="F42" s="666"/>
      <c r="G42" s="666"/>
      <c r="H42" s="666"/>
      <c r="I42" s="666"/>
      <c r="J42" s="1156"/>
      <c r="K42" s="666">
        <f>J42*E42</f>
        <v>0</v>
      </c>
      <c r="L42" s="666">
        <f>K42+I42+G42</f>
        <v>0</v>
      </c>
      <c r="M42" s="80"/>
      <c r="N42" s="80"/>
      <c r="O42" s="80"/>
      <c r="P42" s="80"/>
    </row>
    <row r="43" spans="1:73" s="184" customFormat="1" ht="25.5" x14ac:dyDescent="0.25">
      <c r="A43" s="366"/>
      <c r="B43" s="352" t="s">
        <v>434</v>
      </c>
      <c r="C43" s="366" t="s">
        <v>43</v>
      </c>
      <c r="D43" s="366">
        <v>1.02</v>
      </c>
      <c r="E43" s="366">
        <v>380</v>
      </c>
      <c r="F43" s="368"/>
      <c r="G43" s="368"/>
      <c r="H43" s="1160"/>
      <c r="I43" s="368">
        <f>E43*H43</f>
        <v>0</v>
      </c>
      <c r="J43" s="368"/>
      <c r="K43" s="368"/>
      <c r="L43" s="368">
        <f>K43+I43+G43</f>
        <v>0</v>
      </c>
      <c r="M43" s="80"/>
      <c r="N43" s="80"/>
      <c r="O43" s="80"/>
      <c r="P43" s="80"/>
    </row>
    <row r="44" spans="1:73" s="184" customFormat="1" ht="25.5" x14ac:dyDescent="0.25">
      <c r="A44" s="366"/>
      <c r="B44" s="352" t="s">
        <v>435</v>
      </c>
      <c r="C44" s="366" t="s">
        <v>43</v>
      </c>
      <c r="D44" s="366">
        <v>1.02</v>
      </c>
      <c r="E44" s="366">
        <v>625</v>
      </c>
      <c r="F44" s="368"/>
      <c r="G44" s="368"/>
      <c r="H44" s="1160"/>
      <c r="I44" s="368">
        <f>E44*H44</f>
        <v>0</v>
      </c>
      <c r="J44" s="368"/>
      <c r="K44" s="368"/>
      <c r="L44" s="368">
        <f>K44+I44+G44</f>
        <v>0</v>
      </c>
      <c r="M44" s="80"/>
      <c r="N44" s="80"/>
      <c r="O44" s="80"/>
      <c r="P44" s="80"/>
    </row>
    <row r="45" spans="1:73" s="111" customFormat="1" ht="12.75" x14ac:dyDescent="0.25">
      <c r="A45" s="667"/>
      <c r="B45" s="668" t="s">
        <v>42</v>
      </c>
      <c r="C45" s="667" t="s">
        <v>15</v>
      </c>
      <c r="D45" s="667">
        <v>3.5000000000000001E-3</v>
      </c>
      <c r="E45" s="667">
        <f>D45*E40</f>
        <v>3.4485294117647056</v>
      </c>
      <c r="F45" s="666"/>
      <c r="G45" s="666"/>
      <c r="H45" s="1156"/>
      <c r="I45" s="368">
        <f>E45*H45</f>
        <v>0</v>
      </c>
      <c r="J45" s="666"/>
      <c r="K45" s="666"/>
      <c r="L45" s="666">
        <f>K45+I45+G45</f>
        <v>0</v>
      </c>
      <c r="M45" s="80"/>
      <c r="N45" s="80"/>
      <c r="O45" s="80"/>
      <c r="P45" s="80"/>
    </row>
    <row r="46" spans="1:73" s="109" customFormat="1" ht="12.75" x14ac:dyDescent="0.25">
      <c r="A46" s="662">
        <v>6</v>
      </c>
      <c r="B46" s="663" t="s">
        <v>369</v>
      </c>
      <c r="C46" s="662" t="s">
        <v>43</v>
      </c>
      <c r="D46" s="662"/>
      <c r="E46" s="680">
        <f>E49/1.02</f>
        <v>137.25490196078431</v>
      </c>
      <c r="F46" s="665"/>
      <c r="G46" s="666"/>
      <c r="H46" s="666"/>
      <c r="I46" s="666"/>
      <c r="J46" s="666"/>
      <c r="K46" s="666"/>
      <c r="L46" s="666"/>
      <c r="M46" s="80"/>
      <c r="N46" s="80"/>
      <c r="O46" s="80"/>
      <c r="P46" s="80"/>
    </row>
    <row r="47" spans="1:73" s="111" customFormat="1" ht="12.75" x14ac:dyDescent="0.25">
      <c r="A47" s="667"/>
      <c r="B47" s="668" t="s">
        <v>36</v>
      </c>
      <c r="C47" s="667" t="s">
        <v>37</v>
      </c>
      <c r="D47" s="667">
        <v>0.1</v>
      </c>
      <c r="E47" s="667">
        <f>E46*D47</f>
        <v>13.725490196078432</v>
      </c>
      <c r="F47" s="1156"/>
      <c r="G47" s="666">
        <f>E47*F47</f>
        <v>0</v>
      </c>
      <c r="H47" s="666"/>
      <c r="I47" s="666"/>
      <c r="J47" s="666"/>
      <c r="K47" s="666"/>
      <c r="L47" s="666">
        <f t="shared" ref="L47:L55" si="2">K47+I47+G47</f>
        <v>0</v>
      </c>
      <c r="M47" s="80"/>
      <c r="N47" s="80"/>
      <c r="O47" s="80"/>
      <c r="P47" s="80"/>
    </row>
    <row r="48" spans="1:73" s="111" customFormat="1" ht="12.75" x14ac:dyDescent="0.25">
      <c r="A48" s="667"/>
      <c r="B48" s="668" t="s">
        <v>40</v>
      </c>
      <c r="C48" s="667" t="s">
        <v>15</v>
      </c>
      <c r="D48" s="667">
        <v>6.3E-2</v>
      </c>
      <c r="E48" s="667">
        <f>E46*D48</f>
        <v>8.6470588235294112</v>
      </c>
      <c r="F48" s="666"/>
      <c r="G48" s="666"/>
      <c r="H48" s="666"/>
      <c r="I48" s="666"/>
      <c r="J48" s="1156"/>
      <c r="K48" s="666">
        <f>J48*E48</f>
        <v>0</v>
      </c>
      <c r="L48" s="666">
        <f t="shared" si="2"/>
        <v>0</v>
      </c>
      <c r="M48" s="80"/>
      <c r="N48" s="80"/>
      <c r="O48" s="80"/>
      <c r="P48" s="80"/>
    </row>
    <row r="49" spans="1:16" s="184" customFormat="1" ht="12.75" x14ac:dyDescent="0.25">
      <c r="A49" s="366"/>
      <c r="B49" s="352" t="s">
        <v>436</v>
      </c>
      <c r="C49" s="366" t="s">
        <v>43</v>
      </c>
      <c r="D49" s="366">
        <v>1.02</v>
      </c>
      <c r="E49" s="366">
        <v>140</v>
      </c>
      <c r="F49" s="368"/>
      <c r="G49" s="368"/>
      <c r="H49" s="1160"/>
      <c r="I49" s="368">
        <f>E49*H49</f>
        <v>0</v>
      </c>
      <c r="J49" s="368"/>
      <c r="K49" s="368"/>
      <c r="L49" s="368">
        <f t="shared" si="2"/>
        <v>0</v>
      </c>
      <c r="M49" s="80"/>
      <c r="N49" s="80"/>
      <c r="O49" s="80"/>
      <c r="P49" s="80"/>
    </row>
    <row r="50" spans="1:16" s="111" customFormat="1" ht="12.75" x14ac:dyDescent="0.25">
      <c r="A50" s="667"/>
      <c r="B50" s="668" t="s">
        <v>42</v>
      </c>
      <c r="C50" s="667" t="s">
        <v>15</v>
      </c>
      <c r="D50" s="667">
        <v>4.8999999999999998E-3</v>
      </c>
      <c r="E50" s="667">
        <f>D50*E46</f>
        <v>0.67254901960784308</v>
      </c>
      <c r="F50" s="666"/>
      <c r="G50" s="666"/>
      <c r="H50" s="1156"/>
      <c r="I50" s="368">
        <f>E50*H50</f>
        <v>0</v>
      </c>
      <c r="J50" s="666"/>
      <c r="K50" s="666"/>
      <c r="L50" s="666">
        <f t="shared" si="2"/>
        <v>0</v>
      </c>
      <c r="M50" s="80"/>
      <c r="N50" s="80"/>
      <c r="O50" s="80"/>
      <c r="P50" s="80"/>
    </row>
    <row r="51" spans="1:16" s="182" customFormat="1" ht="12.75" x14ac:dyDescent="0.25">
      <c r="A51" s="662">
        <v>7</v>
      </c>
      <c r="B51" s="663" t="s">
        <v>155</v>
      </c>
      <c r="C51" s="662" t="s">
        <v>23</v>
      </c>
      <c r="D51" s="662"/>
      <c r="E51" s="682">
        <f>E44+E38-30+E43-100</f>
        <v>945</v>
      </c>
      <c r="F51" s="665"/>
      <c r="G51" s="666"/>
      <c r="H51" s="666"/>
      <c r="I51" s="666"/>
      <c r="J51" s="666"/>
      <c r="K51" s="666"/>
      <c r="L51" s="666"/>
      <c r="M51" s="80"/>
      <c r="N51" s="80"/>
      <c r="O51" s="80"/>
      <c r="P51" s="80"/>
    </row>
    <row r="52" spans="1:16" s="185" customFormat="1" ht="12.75" x14ac:dyDescent="0.25">
      <c r="A52" s="667"/>
      <c r="B52" s="681" t="s">
        <v>107</v>
      </c>
      <c r="C52" s="667" t="s">
        <v>37</v>
      </c>
      <c r="D52" s="667">
        <v>0.26</v>
      </c>
      <c r="E52" s="667">
        <f>E51*D52</f>
        <v>245.70000000000002</v>
      </c>
      <c r="F52" s="1156"/>
      <c r="G52" s="666">
        <f>E52*F52</f>
        <v>0</v>
      </c>
      <c r="H52" s="666"/>
      <c r="I52" s="666"/>
      <c r="J52" s="666"/>
      <c r="K52" s="666"/>
      <c r="L52" s="666">
        <f t="shared" si="2"/>
        <v>0</v>
      </c>
      <c r="M52" s="80"/>
      <c r="N52" s="80"/>
      <c r="O52" s="80"/>
      <c r="P52" s="80"/>
    </row>
    <row r="53" spans="1:16" s="185" customFormat="1" ht="12.75" x14ac:dyDescent="0.25">
      <c r="A53" s="667"/>
      <c r="B53" s="681" t="s">
        <v>108</v>
      </c>
      <c r="C53" s="667" t="s">
        <v>15</v>
      </c>
      <c r="D53" s="667">
        <v>8.2000000000000003E-2</v>
      </c>
      <c r="E53" s="667">
        <f>E51*D53</f>
        <v>77.490000000000009</v>
      </c>
      <c r="F53" s="666"/>
      <c r="G53" s="666"/>
      <c r="H53" s="1156"/>
      <c r="I53" s="666">
        <f>E53*H53</f>
        <v>0</v>
      </c>
      <c r="J53" s="666"/>
      <c r="K53" s="666"/>
      <c r="L53" s="666">
        <f t="shared" si="2"/>
        <v>0</v>
      </c>
      <c r="M53" s="80"/>
      <c r="N53" s="80"/>
      <c r="O53" s="80"/>
      <c r="P53" s="80"/>
    </row>
    <row r="54" spans="1:16" s="185" customFormat="1" ht="12.75" x14ac:dyDescent="0.25">
      <c r="A54" s="667"/>
      <c r="B54" s="681" t="s">
        <v>14</v>
      </c>
      <c r="C54" s="667" t="s">
        <v>15</v>
      </c>
      <c r="D54" s="667">
        <v>0.122</v>
      </c>
      <c r="E54" s="667">
        <f>E51*D54</f>
        <v>115.28999999999999</v>
      </c>
      <c r="F54" s="666"/>
      <c r="G54" s="666"/>
      <c r="H54" s="666"/>
      <c r="I54" s="666"/>
      <c r="J54" s="1156"/>
      <c r="K54" s="666">
        <f>J54*E54</f>
        <v>0</v>
      </c>
      <c r="L54" s="666">
        <f t="shared" si="2"/>
        <v>0</v>
      </c>
      <c r="M54" s="80"/>
      <c r="N54" s="80"/>
      <c r="O54" s="80"/>
      <c r="P54" s="80"/>
    </row>
    <row r="55" spans="1:16" s="80" customFormat="1" ht="12.75" x14ac:dyDescent="0.25">
      <c r="A55" s="366"/>
      <c r="B55" s="671" t="s">
        <v>415</v>
      </c>
      <c r="C55" s="366" t="s">
        <v>43</v>
      </c>
      <c r="D55" s="366">
        <v>1.03</v>
      </c>
      <c r="E55" s="559">
        <f>E51*D55</f>
        <v>973.35</v>
      </c>
      <c r="F55" s="368"/>
      <c r="G55" s="368"/>
      <c r="H55" s="1160"/>
      <c r="I55" s="666">
        <f>E55*H55</f>
        <v>0</v>
      </c>
      <c r="J55" s="368"/>
      <c r="K55" s="368"/>
      <c r="L55" s="368">
        <f t="shared" si="2"/>
        <v>0</v>
      </c>
    </row>
    <row r="56" spans="1:16" s="182" customFormat="1" ht="15.75" customHeight="1" x14ac:dyDescent="0.25">
      <c r="A56" s="662">
        <v>8</v>
      </c>
      <c r="B56" s="663" t="s">
        <v>416</v>
      </c>
      <c r="C56" s="662" t="s">
        <v>23</v>
      </c>
      <c r="D56" s="662"/>
      <c r="E56" s="682">
        <f>E49</f>
        <v>140</v>
      </c>
      <c r="F56" s="665"/>
      <c r="G56" s="666"/>
      <c r="H56" s="666"/>
      <c r="I56" s="666"/>
      <c r="J56" s="666"/>
      <c r="K56" s="666"/>
      <c r="L56" s="666"/>
      <c r="M56" s="80"/>
      <c r="N56" s="80"/>
      <c r="O56" s="80"/>
      <c r="P56" s="80"/>
    </row>
    <row r="57" spans="1:16" s="185" customFormat="1" ht="12.75" x14ac:dyDescent="0.25">
      <c r="A57" s="667"/>
      <c r="B57" s="681" t="s">
        <v>107</v>
      </c>
      <c r="C57" s="667" t="s">
        <v>37</v>
      </c>
      <c r="D57" s="667">
        <v>0.26</v>
      </c>
      <c r="E57" s="667">
        <f>E56*D57</f>
        <v>36.4</v>
      </c>
      <c r="F57" s="1156"/>
      <c r="G57" s="666">
        <f>E57*F57</f>
        <v>0</v>
      </c>
      <c r="H57" s="666"/>
      <c r="I57" s="666"/>
      <c r="J57" s="666"/>
      <c r="K57" s="666"/>
      <c r="L57" s="666">
        <f t="shared" ref="L57:L60" si="3">K57+I57+G57</f>
        <v>0</v>
      </c>
      <c r="M57" s="80"/>
      <c r="N57" s="80"/>
      <c r="O57" s="80"/>
      <c r="P57" s="80"/>
    </row>
    <row r="58" spans="1:16" s="185" customFormat="1" ht="12.75" x14ac:dyDescent="0.25">
      <c r="A58" s="667"/>
      <c r="B58" s="681" t="s">
        <v>108</v>
      </c>
      <c r="C58" s="667" t="s">
        <v>15</v>
      </c>
      <c r="D58" s="667">
        <v>8.2000000000000003E-2</v>
      </c>
      <c r="E58" s="667">
        <f>E56*D58</f>
        <v>11.48</v>
      </c>
      <c r="F58" s="666"/>
      <c r="G58" s="666"/>
      <c r="H58" s="1156"/>
      <c r="I58" s="666">
        <f>E58*H58</f>
        <v>0</v>
      </c>
      <c r="J58" s="666"/>
      <c r="K58" s="666"/>
      <c r="L58" s="666">
        <f t="shared" si="3"/>
        <v>0</v>
      </c>
      <c r="M58" s="80"/>
      <c r="N58" s="80"/>
      <c r="O58" s="80"/>
      <c r="P58" s="80"/>
    </row>
    <row r="59" spans="1:16" s="185" customFormat="1" ht="12.75" x14ac:dyDescent="0.25">
      <c r="A59" s="667"/>
      <c r="B59" s="681" t="s">
        <v>14</v>
      </c>
      <c r="C59" s="667" t="s">
        <v>15</v>
      </c>
      <c r="D59" s="667">
        <v>0.122</v>
      </c>
      <c r="E59" s="667">
        <f>E56*D59</f>
        <v>17.079999999999998</v>
      </c>
      <c r="F59" s="666"/>
      <c r="G59" s="666"/>
      <c r="H59" s="666"/>
      <c r="I59" s="666"/>
      <c r="J59" s="1156"/>
      <c r="K59" s="666">
        <f>J59*E59</f>
        <v>0</v>
      </c>
      <c r="L59" s="666">
        <f t="shared" si="3"/>
        <v>0</v>
      </c>
      <c r="M59" s="80"/>
      <c r="N59" s="80"/>
      <c r="O59" s="80"/>
      <c r="P59" s="80"/>
    </row>
    <row r="60" spans="1:16" s="80" customFormat="1" ht="12.75" x14ac:dyDescent="0.25">
      <c r="A60" s="366"/>
      <c r="B60" s="671" t="s">
        <v>415</v>
      </c>
      <c r="C60" s="366" t="s">
        <v>43</v>
      </c>
      <c r="D60" s="366">
        <v>1.03</v>
      </c>
      <c r="E60" s="559">
        <f>E56*D60</f>
        <v>144.20000000000002</v>
      </c>
      <c r="F60" s="368"/>
      <c r="G60" s="368"/>
      <c r="H60" s="1160"/>
      <c r="I60" s="666">
        <f>E60*H60</f>
        <v>0</v>
      </c>
      <c r="J60" s="368"/>
      <c r="K60" s="368"/>
      <c r="L60" s="368">
        <f t="shared" si="3"/>
        <v>0</v>
      </c>
    </row>
    <row r="61" spans="1:16" s="182" customFormat="1" ht="12.75" x14ac:dyDescent="0.25">
      <c r="A61" s="662">
        <v>9</v>
      </c>
      <c r="B61" s="529" t="s">
        <v>417</v>
      </c>
      <c r="C61" s="662" t="s">
        <v>21</v>
      </c>
      <c r="D61" s="662"/>
      <c r="E61" s="682">
        <v>24</v>
      </c>
      <c r="F61" s="662"/>
      <c r="G61" s="665"/>
      <c r="H61" s="680"/>
      <c r="I61" s="665"/>
      <c r="J61" s="680"/>
      <c r="K61" s="665"/>
      <c r="L61" s="665"/>
      <c r="M61" s="80"/>
      <c r="N61" s="80"/>
      <c r="O61" s="80"/>
      <c r="P61" s="80"/>
    </row>
    <row r="62" spans="1:16" s="112" customFormat="1" ht="12.75" x14ac:dyDescent="0.25">
      <c r="A62" s="667"/>
      <c r="B62" s="668" t="s">
        <v>36</v>
      </c>
      <c r="C62" s="667" t="s">
        <v>37</v>
      </c>
      <c r="D62" s="667">
        <v>2.5499999999999998</v>
      </c>
      <c r="E62" s="667">
        <f>E61*D62</f>
        <v>61.199999999999996</v>
      </c>
      <c r="F62" s="1156"/>
      <c r="G62" s="666">
        <f>E62*F62</f>
        <v>0</v>
      </c>
      <c r="H62" s="666"/>
      <c r="I62" s="666"/>
      <c r="J62" s="666"/>
      <c r="K62" s="666"/>
      <c r="L62" s="666">
        <f>K62+I62+G62</f>
        <v>0</v>
      </c>
      <c r="M62" s="80"/>
      <c r="N62" s="80"/>
      <c r="O62" s="80"/>
      <c r="P62" s="80"/>
    </row>
    <row r="63" spans="1:16" s="112" customFormat="1" ht="12.75" x14ac:dyDescent="0.25">
      <c r="A63" s="667"/>
      <c r="B63" s="668" t="s">
        <v>40</v>
      </c>
      <c r="C63" s="667" t="s">
        <v>15</v>
      </c>
      <c r="D63" s="667">
        <v>0.86</v>
      </c>
      <c r="E63" s="667">
        <f>E61*D63</f>
        <v>20.64</v>
      </c>
      <c r="F63" s="667"/>
      <c r="G63" s="666"/>
      <c r="H63" s="666"/>
      <c r="I63" s="666"/>
      <c r="J63" s="1156"/>
      <c r="K63" s="666">
        <f>J63*E63</f>
        <v>0</v>
      </c>
      <c r="L63" s="666">
        <f>K63+I63+G63</f>
        <v>0</v>
      </c>
      <c r="M63" s="80"/>
      <c r="N63" s="80"/>
      <c r="O63" s="80"/>
      <c r="P63" s="80"/>
    </row>
    <row r="64" spans="1:16" s="183" customFormat="1" ht="12.75" x14ac:dyDescent="0.25">
      <c r="A64" s="366"/>
      <c r="B64" s="352" t="s">
        <v>437</v>
      </c>
      <c r="C64" s="366" t="s">
        <v>21</v>
      </c>
      <c r="D64" s="366">
        <v>1</v>
      </c>
      <c r="E64" s="366">
        <f>E61*D64</f>
        <v>24</v>
      </c>
      <c r="F64" s="368"/>
      <c r="G64" s="368"/>
      <c r="H64" s="1160"/>
      <c r="I64" s="368">
        <f>E64*H64</f>
        <v>0</v>
      </c>
      <c r="J64" s="368"/>
      <c r="K64" s="368"/>
      <c r="L64" s="368">
        <f>K64+I64+G64</f>
        <v>0</v>
      </c>
      <c r="M64" s="80"/>
      <c r="N64" s="80"/>
      <c r="O64" s="80"/>
      <c r="P64" s="80"/>
    </row>
    <row r="65" spans="1:73" s="112" customFormat="1" ht="12.75" x14ac:dyDescent="0.25">
      <c r="A65" s="667"/>
      <c r="B65" s="322" t="s">
        <v>42</v>
      </c>
      <c r="C65" s="667" t="s">
        <v>15</v>
      </c>
      <c r="D65" s="366">
        <v>2.1</v>
      </c>
      <c r="E65" s="667">
        <f>E61*D65</f>
        <v>50.400000000000006</v>
      </c>
      <c r="F65" s="666"/>
      <c r="G65" s="666"/>
      <c r="H65" s="1156"/>
      <c r="I65" s="368">
        <f>E65*H65</f>
        <v>0</v>
      </c>
      <c r="J65" s="666"/>
      <c r="K65" s="666"/>
      <c r="L65" s="666">
        <f>K65+I65+G65</f>
        <v>0</v>
      </c>
      <c r="M65" s="80"/>
      <c r="N65" s="80"/>
      <c r="O65" s="80"/>
      <c r="P65" s="80"/>
    </row>
    <row r="66" spans="1:73" s="95" customFormat="1" ht="12.75" x14ac:dyDescent="0.25">
      <c r="A66" s="46">
        <v>10</v>
      </c>
      <c r="B66" s="174" t="s">
        <v>419</v>
      </c>
      <c r="C66" s="46" t="s">
        <v>21</v>
      </c>
      <c r="D66" s="46"/>
      <c r="E66" s="683">
        <v>15</v>
      </c>
      <c r="F66" s="46"/>
      <c r="G66" s="242"/>
      <c r="H66" s="557"/>
      <c r="I66" s="242"/>
      <c r="J66" s="557"/>
      <c r="K66" s="242"/>
      <c r="L66" s="242"/>
      <c r="N66" s="82"/>
    </row>
    <row r="67" spans="1:73" s="112" customFormat="1" ht="12.75" x14ac:dyDescent="0.25">
      <c r="A67" s="667"/>
      <c r="B67" s="681" t="s">
        <v>36</v>
      </c>
      <c r="C67" s="667" t="s">
        <v>37</v>
      </c>
      <c r="D67" s="667">
        <v>1.54</v>
      </c>
      <c r="E67" s="667">
        <f>E66*D67</f>
        <v>23.1</v>
      </c>
      <c r="F67" s="1156"/>
      <c r="G67" s="684">
        <f>E67*F67</f>
        <v>0</v>
      </c>
      <c r="H67" s="666"/>
      <c r="I67" s="666"/>
      <c r="J67" s="666"/>
      <c r="K67" s="666"/>
      <c r="L67" s="666">
        <f>G67+I67+K67</f>
        <v>0</v>
      </c>
      <c r="N67" s="113"/>
    </row>
    <row r="68" spans="1:73" s="112" customFormat="1" ht="12.75" x14ac:dyDescent="0.25">
      <c r="A68" s="667"/>
      <c r="B68" s="681" t="s">
        <v>44</v>
      </c>
      <c r="C68" s="667" t="s">
        <v>15</v>
      </c>
      <c r="D68" s="667">
        <v>0.28999999999999998</v>
      </c>
      <c r="E68" s="667">
        <f>E66*D68</f>
        <v>4.3499999999999996</v>
      </c>
      <c r="F68" s="667"/>
      <c r="G68" s="666"/>
      <c r="H68" s="666"/>
      <c r="I68" s="666"/>
      <c r="J68" s="1156"/>
      <c r="K68" s="666">
        <f>E68*J68</f>
        <v>0</v>
      </c>
      <c r="L68" s="666">
        <f>G68+I68+K68</f>
        <v>0</v>
      </c>
      <c r="N68" s="113"/>
    </row>
    <row r="69" spans="1:73" s="112" customFormat="1" ht="12.75" x14ac:dyDescent="0.25">
      <c r="A69" s="667"/>
      <c r="B69" s="668" t="s">
        <v>418</v>
      </c>
      <c r="C69" s="667" t="s">
        <v>21</v>
      </c>
      <c r="D69" s="667">
        <v>1</v>
      </c>
      <c r="E69" s="667">
        <f>E66*D69</f>
        <v>15</v>
      </c>
      <c r="F69" s="666"/>
      <c r="G69" s="666"/>
      <c r="H69" s="1156"/>
      <c r="I69" s="666">
        <f>E69*H69</f>
        <v>0</v>
      </c>
      <c r="J69" s="666"/>
      <c r="K69" s="666"/>
      <c r="L69" s="666">
        <f>G69+I69+K69</f>
        <v>0</v>
      </c>
      <c r="N69" s="113"/>
    </row>
    <row r="70" spans="1:73" s="112" customFormat="1" ht="12.75" x14ac:dyDescent="0.25">
      <c r="A70" s="667"/>
      <c r="B70" s="681" t="s">
        <v>42</v>
      </c>
      <c r="C70" s="667" t="s">
        <v>15</v>
      </c>
      <c r="D70" s="667">
        <v>0.57999999999999996</v>
      </c>
      <c r="E70" s="667">
        <f>E66*D70</f>
        <v>8.6999999999999993</v>
      </c>
      <c r="F70" s="666"/>
      <c r="G70" s="666"/>
      <c r="H70" s="1156"/>
      <c r="I70" s="666">
        <f>E70*H70</f>
        <v>0</v>
      </c>
      <c r="J70" s="666"/>
      <c r="K70" s="666"/>
      <c r="L70" s="666">
        <f>G70+I70+K70</f>
        <v>0</v>
      </c>
      <c r="N70" s="113"/>
    </row>
    <row r="71" spans="1:73" s="95" customFormat="1" ht="25.5" x14ac:dyDescent="0.25">
      <c r="A71" s="46">
        <v>11</v>
      </c>
      <c r="B71" s="529" t="s">
        <v>161</v>
      </c>
      <c r="C71" s="46" t="s">
        <v>21</v>
      </c>
      <c r="D71" s="46"/>
      <c r="E71" s="46">
        <v>12</v>
      </c>
      <c r="F71" s="46"/>
      <c r="G71" s="242"/>
      <c r="H71" s="557"/>
      <c r="I71" s="242"/>
      <c r="J71" s="557"/>
      <c r="K71" s="242"/>
      <c r="L71" s="242"/>
      <c r="M71" s="82"/>
      <c r="N71" s="136"/>
      <c r="O71" s="136"/>
      <c r="P71" s="137"/>
      <c r="Q71" s="136"/>
      <c r="R71" s="136"/>
      <c r="S71" s="138"/>
      <c r="T71" s="136"/>
      <c r="U71" s="136"/>
      <c r="V71" s="138"/>
      <c r="W71" s="139"/>
      <c r="X71" s="138"/>
      <c r="Y71" s="138"/>
    </row>
    <row r="72" spans="1:73" s="77" customFormat="1" x14ac:dyDescent="0.2">
      <c r="A72" s="667"/>
      <c r="B72" s="681" t="s">
        <v>36</v>
      </c>
      <c r="C72" s="667" t="s">
        <v>21</v>
      </c>
      <c r="D72" s="667">
        <v>1.35</v>
      </c>
      <c r="E72" s="366">
        <f>E71*D72</f>
        <v>16.200000000000003</v>
      </c>
      <c r="F72" s="1156"/>
      <c r="G72" s="666">
        <f>E72*F72</f>
        <v>0</v>
      </c>
      <c r="H72" s="685"/>
      <c r="I72" s="666"/>
      <c r="J72" s="686"/>
      <c r="K72" s="666"/>
      <c r="L72" s="666">
        <f>G72+I72+K72</f>
        <v>0</v>
      </c>
      <c r="M72" s="115"/>
      <c r="N72" s="74"/>
      <c r="O72" s="85"/>
      <c r="P72" s="115"/>
      <c r="Q72" s="74"/>
      <c r="R72" s="85"/>
      <c r="S72" s="79"/>
      <c r="T72" s="74"/>
      <c r="U72" s="85"/>
      <c r="V72" s="79"/>
      <c r="W72" s="76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</row>
    <row r="73" spans="1:73" s="117" customFormat="1" ht="13.5" customHeight="1" x14ac:dyDescent="0.2">
      <c r="A73" s="667"/>
      <c r="B73" s="681" t="s">
        <v>48</v>
      </c>
      <c r="C73" s="667" t="s">
        <v>15</v>
      </c>
      <c r="D73" s="667">
        <f>3.1/100</f>
        <v>3.1E-2</v>
      </c>
      <c r="E73" s="366">
        <f>E71*D73</f>
        <v>0.372</v>
      </c>
      <c r="F73" s="667"/>
      <c r="G73" s="666"/>
      <c r="H73" s="686"/>
      <c r="I73" s="666"/>
      <c r="J73" s="1156"/>
      <c r="K73" s="666">
        <f>E73*J73</f>
        <v>0</v>
      </c>
      <c r="L73" s="666">
        <f>G73+I73+K73</f>
        <v>0</v>
      </c>
      <c r="M73" s="114"/>
      <c r="N73" s="74"/>
      <c r="O73" s="85"/>
      <c r="P73" s="115"/>
      <c r="Q73" s="74"/>
      <c r="R73" s="85"/>
      <c r="S73" s="116"/>
      <c r="T73" s="74"/>
      <c r="U73" s="85"/>
      <c r="V73" s="116"/>
      <c r="W73" s="76"/>
      <c r="X73" s="116"/>
      <c r="Y73" s="116"/>
    </row>
    <row r="74" spans="1:73" s="80" customFormat="1" x14ac:dyDescent="0.25">
      <c r="A74" s="366"/>
      <c r="B74" s="352" t="s">
        <v>438</v>
      </c>
      <c r="C74" s="366" t="s">
        <v>21</v>
      </c>
      <c r="D74" s="176">
        <v>1</v>
      </c>
      <c r="E74" s="366">
        <f>E71*D74</f>
        <v>12</v>
      </c>
      <c r="F74" s="367"/>
      <c r="G74" s="368"/>
      <c r="H74" s="1163"/>
      <c r="I74" s="368">
        <f>E74*H74</f>
        <v>0</v>
      </c>
      <c r="J74" s="367"/>
      <c r="K74" s="368"/>
      <c r="L74" s="368">
        <f>G74+I74+K74</f>
        <v>0</v>
      </c>
      <c r="M74" s="118"/>
      <c r="N74" s="98"/>
      <c r="O74" s="85"/>
      <c r="P74" s="118"/>
      <c r="Q74" s="98"/>
      <c r="R74" s="85"/>
      <c r="S74" s="119"/>
      <c r="T74" s="98"/>
      <c r="U74" s="85"/>
      <c r="V74" s="119"/>
      <c r="W74" s="76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</row>
    <row r="75" spans="1:73" s="77" customFormat="1" x14ac:dyDescent="0.2">
      <c r="A75" s="667"/>
      <c r="B75" s="681" t="s">
        <v>42</v>
      </c>
      <c r="C75" s="667" t="s">
        <v>15</v>
      </c>
      <c r="D75" s="667">
        <v>0.29099999999999998</v>
      </c>
      <c r="E75" s="687">
        <f>E71*D75</f>
        <v>3.492</v>
      </c>
      <c r="F75" s="686"/>
      <c r="G75" s="666"/>
      <c r="H75" s="1156"/>
      <c r="I75" s="666">
        <f>E75*H75</f>
        <v>0</v>
      </c>
      <c r="J75" s="686"/>
      <c r="K75" s="666"/>
      <c r="L75" s="666">
        <f>G75+I75+K75</f>
        <v>0</v>
      </c>
      <c r="M75" s="115"/>
      <c r="N75" s="74"/>
      <c r="O75" s="120"/>
      <c r="P75" s="115"/>
      <c r="Q75" s="74"/>
      <c r="R75" s="120"/>
      <c r="S75" s="79"/>
      <c r="T75" s="74"/>
      <c r="U75" s="120"/>
      <c r="V75" s="79"/>
      <c r="W75" s="76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</row>
    <row r="76" spans="1:73" s="95" customFormat="1" x14ac:dyDescent="0.25">
      <c r="A76" s="46">
        <v>12</v>
      </c>
      <c r="B76" s="529" t="s">
        <v>50</v>
      </c>
      <c r="C76" s="46" t="s">
        <v>21</v>
      </c>
      <c r="D76" s="46"/>
      <c r="E76" s="46">
        <v>10</v>
      </c>
      <c r="F76" s="46"/>
      <c r="G76" s="242"/>
      <c r="H76" s="557"/>
      <c r="I76" s="242"/>
      <c r="J76" s="557"/>
      <c r="K76" s="242"/>
      <c r="L76" s="242"/>
      <c r="M76" s="82"/>
      <c r="N76" s="136"/>
      <c r="O76" s="136"/>
      <c r="P76" s="137"/>
      <c r="Q76" s="136"/>
      <c r="R76" s="136"/>
      <c r="S76" s="138"/>
      <c r="T76" s="136"/>
      <c r="U76" s="136"/>
      <c r="V76" s="138"/>
      <c r="W76" s="139"/>
      <c r="X76" s="138"/>
      <c r="Y76" s="138"/>
    </row>
    <row r="77" spans="1:73" s="77" customFormat="1" x14ac:dyDescent="0.2">
      <c r="A77" s="667"/>
      <c r="B77" s="681" t="s">
        <v>36</v>
      </c>
      <c r="C77" s="667" t="s">
        <v>21</v>
      </c>
      <c r="D77" s="667">
        <v>1.35</v>
      </c>
      <c r="E77" s="366">
        <f>E76*D77</f>
        <v>13.5</v>
      </c>
      <c r="F77" s="1156"/>
      <c r="G77" s="666">
        <f>E77*F77</f>
        <v>0</v>
      </c>
      <c r="H77" s="685"/>
      <c r="I77" s="666"/>
      <c r="J77" s="686"/>
      <c r="K77" s="666"/>
      <c r="L77" s="666">
        <f>G77+I77+K77</f>
        <v>0</v>
      </c>
      <c r="M77" s="115"/>
      <c r="N77" s="74"/>
      <c r="O77" s="85"/>
      <c r="P77" s="115"/>
      <c r="Q77" s="74"/>
      <c r="R77" s="85"/>
      <c r="S77" s="79"/>
      <c r="T77" s="74"/>
      <c r="U77" s="85"/>
      <c r="V77" s="79"/>
      <c r="W77" s="76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</row>
    <row r="78" spans="1:73" s="117" customFormat="1" ht="13.5" customHeight="1" x14ac:dyDescent="0.2">
      <c r="A78" s="667"/>
      <c r="B78" s="681" t="s">
        <v>48</v>
      </c>
      <c r="C78" s="667" t="s">
        <v>15</v>
      </c>
      <c r="D78" s="667">
        <f>3.1/100</f>
        <v>3.1E-2</v>
      </c>
      <c r="E78" s="366">
        <f>E76*D78</f>
        <v>0.31</v>
      </c>
      <c r="F78" s="667"/>
      <c r="G78" s="666"/>
      <c r="H78" s="686"/>
      <c r="I78" s="666"/>
      <c r="J78" s="1156"/>
      <c r="K78" s="666">
        <f>E78*J78</f>
        <v>0</v>
      </c>
      <c r="L78" s="666">
        <f>G78+I78+K78</f>
        <v>0</v>
      </c>
      <c r="M78" s="114"/>
      <c r="N78" s="74"/>
      <c r="O78" s="85"/>
      <c r="P78" s="115"/>
      <c r="Q78" s="74"/>
      <c r="R78" s="85"/>
      <c r="S78" s="116"/>
      <c r="T78" s="74"/>
      <c r="U78" s="85"/>
      <c r="V78" s="116"/>
      <c r="W78" s="76"/>
      <c r="X78" s="116"/>
      <c r="Y78" s="116"/>
    </row>
    <row r="79" spans="1:73" s="80" customFormat="1" x14ac:dyDescent="0.25">
      <c r="A79" s="366"/>
      <c r="B79" s="352" t="s">
        <v>420</v>
      </c>
      <c r="C79" s="366" t="s">
        <v>21</v>
      </c>
      <c r="D79" s="176">
        <v>1</v>
      </c>
      <c r="E79" s="366">
        <f>E76*D79</f>
        <v>10</v>
      </c>
      <c r="F79" s="367"/>
      <c r="G79" s="368"/>
      <c r="H79" s="1163"/>
      <c r="I79" s="368">
        <f>E79*H79</f>
        <v>0</v>
      </c>
      <c r="J79" s="367"/>
      <c r="K79" s="368"/>
      <c r="L79" s="368">
        <f>G79+I79+K79</f>
        <v>0</v>
      </c>
      <c r="M79" s="118"/>
      <c r="N79" s="98"/>
      <c r="O79" s="85"/>
      <c r="P79" s="118"/>
      <c r="Q79" s="98"/>
      <c r="R79" s="85"/>
      <c r="S79" s="119"/>
      <c r="T79" s="98"/>
      <c r="U79" s="85"/>
      <c r="V79" s="119"/>
      <c r="W79" s="76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</row>
    <row r="80" spans="1:73" s="77" customFormat="1" x14ac:dyDescent="0.2">
      <c r="A80" s="667"/>
      <c r="B80" s="681" t="s">
        <v>42</v>
      </c>
      <c r="C80" s="667" t="s">
        <v>15</v>
      </c>
      <c r="D80" s="667">
        <v>0.29099999999999998</v>
      </c>
      <c r="E80" s="687">
        <f>E76*D80</f>
        <v>2.9099999999999997</v>
      </c>
      <c r="F80" s="686"/>
      <c r="G80" s="666"/>
      <c r="H80" s="1156"/>
      <c r="I80" s="666">
        <f>E80*H80</f>
        <v>0</v>
      </c>
      <c r="J80" s="686"/>
      <c r="K80" s="666"/>
      <c r="L80" s="666">
        <f>G80+I80+K80</f>
        <v>0</v>
      </c>
      <c r="M80" s="115"/>
      <c r="N80" s="74"/>
      <c r="O80" s="120"/>
      <c r="P80" s="115"/>
      <c r="Q80" s="74"/>
      <c r="R80" s="120"/>
      <c r="S80" s="79"/>
      <c r="T80" s="74"/>
      <c r="U80" s="120"/>
      <c r="V80" s="79"/>
      <c r="W80" s="76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</row>
    <row r="81" spans="1:73" s="145" customFormat="1" ht="25.5" x14ac:dyDescent="0.25">
      <c r="A81" s="662">
        <v>13</v>
      </c>
      <c r="B81" s="317" t="s">
        <v>421</v>
      </c>
      <c r="C81" s="662" t="s">
        <v>21</v>
      </c>
      <c r="D81" s="662"/>
      <c r="E81" s="680">
        <v>3</v>
      </c>
      <c r="F81" s="680"/>
      <c r="G81" s="665"/>
      <c r="H81" s="662"/>
      <c r="I81" s="665"/>
      <c r="J81" s="680"/>
      <c r="K81" s="665"/>
      <c r="L81" s="665"/>
      <c r="M81" s="142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  <c r="BM81" s="144"/>
      <c r="BN81" s="144"/>
      <c r="BO81" s="144"/>
      <c r="BP81" s="144"/>
      <c r="BQ81" s="144"/>
      <c r="BR81" s="144"/>
    </row>
    <row r="82" spans="1:73" s="77" customFormat="1" ht="17.25" customHeight="1" x14ac:dyDescent="0.2">
      <c r="A82" s="667"/>
      <c r="B82" s="681" t="s">
        <v>36</v>
      </c>
      <c r="C82" s="667" t="s">
        <v>37</v>
      </c>
      <c r="D82" s="667">
        <v>2.2799999999999998</v>
      </c>
      <c r="E82" s="366">
        <f>E81*D82</f>
        <v>6.84</v>
      </c>
      <c r="F82" s="1156"/>
      <c r="G82" s="666">
        <f>E82*F82</f>
        <v>0</v>
      </c>
      <c r="H82" s="685"/>
      <c r="I82" s="666"/>
      <c r="J82" s="686"/>
      <c r="K82" s="666"/>
      <c r="L82" s="666">
        <f>G82+I82+K82</f>
        <v>0</v>
      </c>
      <c r="M82" s="115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</row>
    <row r="83" spans="1:73" s="77" customFormat="1" ht="12.75" x14ac:dyDescent="0.2">
      <c r="A83" s="667"/>
      <c r="B83" s="681" t="s">
        <v>48</v>
      </c>
      <c r="C83" s="667" t="s">
        <v>15</v>
      </c>
      <c r="D83" s="667">
        <v>0.2</v>
      </c>
      <c r="E83" s="366">
        <f>E81*D83</f>
        <v>0.60000000000000009</v>
      </c>
      <c r="F83" s="686"/>
      <c r="G83" s="666"/>
      <c r="H83" s="667"/>
      <c r="I83" s="666"/>
      <c r="J83" s="1156"/>
      <c r="K83" s="666">
        <f>E83*J83</f>
        <v>0</v>
      </c>
      <c r="L83" s="666">
        <f>G83+I83+K83</f>
        <v>0</v>
      </c>
      <c r="M83" s="115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</row>
    <row r="84" spans="1:73" s="80" customFormat="1" ht="25.5" customHeight="1" x14ac:dyDescent="0.25">
      <c r="A84" s="366"/>
      <c r="B84" s="322" t="s">
        <v>421</v>
      </c>
      <c r="C84" s="366" t="s">
        <v>21</v>
      </c>
      <c r="D84" s="366">
        <v>1</v>
      </c>
      <c r="E84" s="366">
        <f>E81*D84</f>
        <v>3</v>
      </c>
      <c r="F84" s="367"/>
      <c r="G84" s="368"/>
      <c r="H84" s="1160"/>
      <c r="I84" s="368">
        <f>E84*H84</f>
        <v>0</v>
      </c>
      <c r="J84" s="367"/>
      <c r="K84" s="368"/>
      <c r="L84" s="368">
        <f>G84+I84+K84</f>
        <v>0</v>
      </c>
      <c r="M84" s="660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</row>
    <row r="85" spans="1:73" s="77" customFormat="1" ht="12.75" x14ac:dyDescent="0.2">
      <c r="A85" s="667"/>
      <c r="B85" s="681" t="s">
        <v>42</v>
      </c>
      <c r="C85" s="667" t="s">
        <v>15</v>
      </c>
      <c r="D85" s="667">
        <v>0.55000000000000004</v>
      </c>
      <c r="E85" s="687">
        <f>E81*D85</f>
        <v>1.6500000000000001</v>
      </c>
      <c r="F85" s="686"/>
      <c r="G85" s="666"/>
      <c r="H85" s="1156"/>
      <c r="I85" s="666">
        <f>E85*H85</f>
        <v>0</v>
      </c>
      <c r="J85" s="686"/>
      <c r="K85" s="666"/>
      <c r="L85" s="666">
        <f>G85+I85+K85</f>
        <v>0</v>
      </c>
      <c r="M85" s="115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</row>
    <row r="86" spans="1:73" s="145" customFormat="1" ht="25.5" x14ac:dyDescent="0.25">
      <c r="A86" s="662">
        <v>14</v>
      </c>
      <c r="B86" s="317" t="s">
        <v>422</v>
      </c>
      <c r="C86" s="662" t="s">
        <v>21</v>
      </c>
      <c r="D86" s="662"/>
      <c r="E86" s="680">
        <v>2</v>
      </c>
      <c r="F86" s="680"/>
      <c r="G86" s="665"/>
      <c r="H86" s="662"/>
      <c r="I86" s="665"/>
      <c r="J86" s="680"/>
      <c r="K86" s="665"/>
      <c r="L86" s="665"/>
      <c r="M86" s="142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  <c r="BM86" s="144"/>
      <c r="BN86" s="144"/>
      <c r="BO86" s="144"/>
      <c r="BP86" s="144"/>
      <c r="BQ86" s="144"/>
      <c r="BR86" s="144"/>
    </row>
    <row r="87" spans="1:73" s="77" customFormat="1" ht="17.25" customHeight="1" x14ac:dyDescent="0.2">
      <c r="A87" s="667"/>
      <c r="B87" s="681" t="s">
        <v>36</v>
      </c>
      <c r="C87" s="667" t="s">
        <v>37</v>
      </c>
      <c r="D87" s="667">
        <v>2.2799999999999998</v>
      </c>
      <c r="E87" s="366">
        <f>E86*D87</f>
        <v>4.5599999999999996</v>
      </c>
      <c r="F87" s="1156"/>
      <c r="G87" s="666">
        <f>E87*F87</f>
        <v>0</v>
      </c>
      <c r="H87" s="685"/>
      <c r="I87" s="666"/>
      <c r="J87" s="686"/>
      <c r="K87" s="666"/>
      <c r="L87" s="666">
        <f>G87+I87+K87</f>
        <v>0</v>
      </c>
      <c r="M87" s="115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</row>
    <row r="88" spans="1:73" s="77" customFormat="1" ht="12.75" x14ac:dyDescent="0.2">
      <c r="A88" s="667"/>
      <c r="B88" s="681" t="s">
        <v>48</v>
      </c>
      <c r="C88" s="667" t="s">
        <v>15</v>
      </c>
      <c r="D88" s="667">
        <v>0.2</v>
      </c>
      <c r="E88" s="366">
        <f>E86*D88</f>
        <v>0.4</v>
      </c>
      <c r="F88" s="686"/>
      <c r="G88" s="666"/>
      <c r="H88" s="667"/>
      <c r="I88" s="666"/>
      <c r="J88" s="1156"/>
      <c r="K88" s="666">
        <f>E88*J88</f>
        <v>0</v>
      </c>
      <c r="L88" s="666">
        <f>G88+I88+K88</f>
        <v>0</v>
      </c>
      <c r="M88" s="115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</row>
    <row r="89" spans="1:73" s="80" customFormat="1" ht="25.5" customHeight="1" x14ac:dyDescent="0.25">
      <c r="A89" s="366"/>
      <c r="B89" s="322" t="s">
        <v>422</v>
      </c>
      <c r="C89" s="366" t="s">
        <v>21</v>
      </c>
      <c r="D89" s="366">
        <v>1</v>
      </c>
      <c r="E89" s="366">
        <f>E86*D89</f>
        <v>2</v>
      </c>
      <c r="F89" s="367"/>
      <c r="G89" s="368"/>
      <c r="H89" s="1160"/>
      <c r="I89" s="368">
        <f>E89*H89</f>
        <v>0</v>
      </c>
      <c r="J89" s="367"/>
      <c r="K89" s="368"/>
      <c r="L89" s="368">
        <f>G89+I89+K89</f>
        <v>0</v>
      </c>
      <c r="M89" s="660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19"/>
      <c r="BQ89" s="119"/>
      <c r="BR89" s="119"/>
    </row>
    <row r="90" spans="1:73" s="77" customFormat="1" ht="12.75" x14ac:dyDescent="0.2">
      <c r="A90" s="667"/>
      <c r="B90" s="681" t="s">
        <v>42</v>
      </c>
      <c r="C90" s="667" t="s">
        <v>15</v>
      </c>
      <c r="D90" s="667">
        <v>0.55000000000000004</v>
      </c>
      <c r="E90" s="687">
        <f>E86*D90</f>
        <v>1.1000000000000001</v>
      </c>
      <c r="F90" s="686"/>
      <c r="G90" s="666"/>
      <c r="H90" s="1156"/>
      <c r="I90" s="666">
        <f>E90*H90</f>
        <v>0</v>
      </c>
      <c r="J90" s="686"/>
      <c r="K90" s="666"/>
      <c r="L90" s="666">
        <f>G90+I90+K90</f>
        <v>0</v>
      </c>
      <c r="M90" s="115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</row>
    <row r="91" spans="1:73" s="145" customFormat="1" ht="16.5" customHeight="1" x14ac:dyDescent="0.2">
      <c r="A91" s="662">
        <v>15</v>
      </c>
      <c r="B91" s="663" t="s">
        <v>51</v>
      </c>
      <c r="C91" s="662" t="s">
        <v>21</v>
      </c>
      <c r="D91" s="662"/>
      <c r="E91" s="682">
        <v>4</v>
      </c>
      <c r="F91" s="680"/>
      <c r="G91" s="665"/>
      <c r="H91" s="662"/>
      <c r="I91" s="665"/>
      <c r="J91" s="680"/>
      <c r="K91" s="665"/>
      <c r="L91" s="665"/>
      <c r="M91" s="142"/>
      <c r="N91" s="140"/>
      <c r="O91" s="143"/>
      <c r="P91" s="142"/>
      <c r="Q91" s="140"/>
      <c r="R91" s="143"/>
      <c r="S91" s="144"/>
      <c r="T91" s="140"/>
      <c r="U91" s="143"/>
      <c r="V91" s="144"/>
      <c r="W91" s="139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4"/>
      <c r="BR91" s="144"/>
      <c r="BS91" s="144"/>
      <c r="BT91" s="144"/>
      <c r="BU91" s="144"/>
    </row>
    <row r="92" spans="1:73" s="77" customFormat="1" ht="15.75" customHeight="1" x14ac:dyDescent="0.2">
      <c r="A92" s="667"/>
      <c r="B92" s="681" t="s">
        <v>46</v>
      </c>
      <c r="C92" s="667" t="s">
        <v>37</v>
      </c>
      <c r="D92" s="667">
        <v>0.68</v>
      </c>
      <c r="E92" s="366">
        <f>E91*D92</f>
        <v>2.72</v>
      </c>
      <c r="F92" s="1156"/>
      <c r="G92" s="666">
        <f>E92*F92</f>
        <v>0</v>
      </c>
      <c r="H92" s="685"/>
      <c r="I92" s="666"/>
      <c r="J92" s="686"/>
      <c r="K92" s="666"/>
      <c r="L92" s="666">
        <f>G92+I92+K92</f>
        <v>0</v>
      </c>
      <c r="M92" s="115"/>
      <c r="N92" s="74"/>
      <c r="O92" s="85"/>
      <c r="P92" s="115"/>
      <c r="Q92" s="74"/>
      <c r="R92" s="85"/>
      <c r="S92" s="79"/>
      <c r="T92" s="74"/>
      <c r="U92" s="85"/>
      <c r="V92" s="79"/>
      <c r="W92" s="76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</row>
    <row r="93" spans="1:73" s="77" customFormat="1" x14ac:dyDescent="0.2">
      <c r="A93" s="667"/>
      <c r="B93" s="681" t="s">
        <v>40</v>
      </c>
      <c r="C93" s="667" t="s">
        <v>15</v>
      </c>
      <c r="D93" s="667">
        <v>1.0999999999999999E-2</v>
      </c>
      <c r="E93" s="667">
        <f>E91*D93</f>
        <v>4.3999999999999997E-2</v>
      </c>
      <c r="F93" s="686"/>
      <c r="G93" s="666"/>
      <c r="H93" s="686"/>
      <c r="I93" s="666"/>
      <c r="J93" s="1156"/>
      <c r="K93" s="666">
        <f>E93*J93</f>
        <v>0</v>
      </c>
      <c r="L93" s="666">
        <f>G93+I93+K93</f>
        <v>0</v>
      </c>
      <c r="M93" s="115"/>
      <c r="N93" s="74"/>
      <c r="O93" s="74"/>
      <c r="P93" s="115"/>
      <c r="Q93" s="74"/>
      <c r="R93" s="74"/>
      <c r="S93" s="79"/>
      <c r="T93" s="74"/>
      <c r="U93" s="74"/>
      <c r="V93" s="79"/>
      <c r="W93" s="76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79"/>
    </row>
    <row r="94" spans="1:73" s="77" customFormat="1" ht="14.25" customHeight="1" x14ac:dyDescent="0.2">
      <c r="A94" s="667"/>
      <c r="B94" s="352" t="s">
        <v>47</v>
      </c>
      <c r="C94" s="667" t="s">
        <v>21</v>
      </c>
      <c r="D94" s="667"/>
      <c r="E94" s="688">
        <f>E91</f>
        <v>4</v>
      </c>
      <c r="F94" s="686"/>
      <c r="G94" s="666"/>
      <c r="H94" s="1164"/>
      <c r="I94" s="666">
        <f>E94*H94</f>
        <v>0</v>
      </c>
      <c r="J94" s="686"/>
      <c r="K94" s="666"/>
      <c r="L94" s="666">
        <f>G94+I94+K94</f>
        <v>0</v>
      </c>
      <c r="M94" s="115"/>
      <c r="N94" s="74"/>
      <c r="O94" s="85"/>
      <c r="P94" s="115"/>
      <c r="Q94" s="74"/>
      <c r="R94" s="85"/>
      <c r="S94" s="79"/>
      <c r="T94" s="74"/>
      <c r="U94" s="85"/>
      <c r="V94" s="79"/>
      <c r="W94" s="76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</row>
    <row r="95" spans="1:73" s="77" customFormat="1" x14ac:dyDescent="0.2">
      <c r="A95" s="667"/>
      <c r="B95" s="681" t="s">
        <v>42</v>
      </c>
      <c r="C95" s="667" t="s">
        <v>15</v>
      </c>
      <c r="D95" s="667">
        <v>0.10299999999999999</v>
      </c>
      <c r="E95" s="689">
        <f>E91*D95</f>
        <v>0.41199999999999998</v>
      </c>
      <c r="F95" s="686"/>
      <c r="G95" s="666"/>
      <c r="H95" s="1156"/>
      <c r="I95" s="666">
        <f>E95*H95</f>
        <v>0</v>
      </c>
      <c r="J95" s="686"/>
      <c r="K95" s="666"/>
      <c r="L95" s="666">
        <f>G95+I95+K95</f>
        <v>0</v>
      </c>
      <c r="M95" s="115"/>
      <c r="N95" s="74"/>
      <c r="O95" s="120"/>
      <c r="P95" s="115"/>
      <c r="Q95" s="74"/>
      <c r="R95" s="120"/>
      <c r="S95" s="79"/>
      <c r="T95" s="74"/>
      <c r="U95" s="120"/>
      <c r="V95" s="79"/>
      <c r="W95" s="76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</row>
    <row r="96" spans="1:73" s="277" customFormat="1" ht="27" customHeight="1" x14ac:dyDescent="0.25">
      <c r="A96" s="46">
        <v>16</v>
      </c>
      <c r="B96" s="529" t="s">
        <v>423</v>
      </c>
      <c r="C96" s="46" t="s">
        <v>151</v>
      </c>
      <c r="D96" s="46"/>
      <c r="E96" s="557">
        <v>1</v>
      </c>
      <c r="F96" s="366"/>
      <c r="G96" s="368"/>
      <c r="H96" s="1165"/>
      <c r="I96" s="690">
        <f>H96*E96</f>
        <v>0</v>
      </c>
      <c r="J96" s="367"/>
      <c r="K96" s="368"/>
      <c r="L96" s="368">
        <f>G96+I96+K96</f>
        <v>0</v>
      </c>
      <c r="M96" s="181"/>
    </row>
    <row r="97" spans="1:73" s="145" customFormat="1" ht="15.75" customHeight="1" x14ac:dyDescent="0.2">
      <c r="A97" s="662">
        <v>17</v>
      </c>
      <c r="B97" s="529" t="s">
        <v>156</v>
      </c>
      <c r="C97" s="662" t="s">
        <v>21</v>
      </c>
      <c r="D97" s="662"/>
      <c r="E97" s="680">
        <v>15</v>
      </c>
      <c r="F97" s="680"/>
      <c r="G97" s="665"/>
      <c r="H97" s="662"/>
      <c r="I97" s="665"/>
      <c r="J97" s="680"/>
      <c r="K97" s="665"/>
      <c r="L97" s="665"/>
      <c r="M97" s="142"/>
      <c r="N97" s="140"/>
      <c r="O97" s="141"/>
      <c r="P97" s="142"/>
      <c r="Q97" s="140"/>
      <c r="R97" s="141"/>
      <c r="S97" s="144"/>
      <c r="T97" s="140"/>
      <c r="U97" s="141"/>
      <c r="V97" s="144"/>
      <c r="W97" s="139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4"/>
      <c r="BR97" s="144"/>
      <c r="BS97" s="144"/>
      <c r="BT97" s="144"/>
      <c r="BU97" s="144"/>
    </row>
    <row r="98" spans="1:73" s="77" customFormat="1" x14ac:dyDescent="0.2">
      <c r="A98" s="667"/>
      <c r="B98" s="681" t="s">
        <v>36</v>
      </c>
      <c r="C98" s="667" t="s">
        <v>37</v>
      </c>
      <c r="D98" s="667">
        <v>0.34</v>
      </c>
      <c r="E98" s="366">
        <f>E97*D98</f>
        <v>5.1000000000000005</v>
      </c>
      <c r="F98" s="1156"/>
      <c r="G98" s="666">
        <f>E98*F98</f>
        <v>0</v>
      </c>
      <c r="H98" s="685"/>
      <c r="I98" s="666"/>
      <c r="J98" s="686"/>
      <c r="K98" s="666"/>
      <c r="L98" s="666">
        <f>G98+I98+K98</f>
        <v>0</v>
      </c>
      <c r="M98" s="115"/>
      <c r="N98" s="74"/>
      <c r="O98" s="85"/>
      <c r="P98" s="115"/>
      <c r="Q98" s="74"/>
      <c r="R98" s="85"/>
      <c r="S98" s="79"/>
      <c r="T98" s="74"/>
      <c r="U98" s="85"/>
      <c r="V98" s="79"/>
      <c r="W98" s="76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79"/>
      <c r="BU98" s="79"/>
    </row>
    <row r="99" spans="1:73" s="77" customFormat="1" x14ac:dyDescent="0.2">
      <c r="A99" s="667"/>
      <c r="B99" s="681" t="s">
        <v>40</v>
      </c>
      <c r="C99" s="667" t="s">
        <v>15</v>
      </c>
      <c r="D99" s="667">
        <v>1.1299999999999999E-2</v>
      </c>
      <c r="E99" s="667">
        <f>E97*D99</f>
        <v>0.16949999999999998</v>
      </c>
      <c r="F99" s="686"/>
      <c r="G99" s="666"/>
      <c r="H99" s="686"/>
      <c r="I99" s="666"/>
      <c r="J99" s="1156"/>
      <c r="K99" s="666">
        <f>E99*J99</f>
        <v>0</v>
      </c>
      <c r="L99" s="666">
        <f>G99+I99+K99</f>
        <v>0</v>
      </c>
      <c r="M99" s="115"/>
      <c r="N99" s="74"/>
      <c r="O99" s="74"/>
      <c r="P99" s="115"/>
      <c r="Q99" s="74"/>
      <c r="R99" s="74"/>
      <c r="S99" s="79"/>
      <c r="T99" s="74"/>
      <c r="U99" s="74"/>
      <c r="V99" s="79"/>
      <c r="W99" s="76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  <c r="BU99" s="79"/>
    </row>
    <row r="100" spans="1:73" s="80" customFormat="1" x14ac:dyDescent="0.25">
      <c r="A100" s="366"/>
      <c r="B100" s="352" t="s">
        <v>63</v>
      </c>
      <c r="C100" s="366" t="s">
        <v>21</v>
      </c>
      <c r="D100" s="366">
        <v>1</v>
      </c>
      <c r="E100" s="366">
        <f>E97*D100</f>
        <v>15</v>
      </c>
      <c r="F100" s="367"/>
      <c r="G100" s="368"/>
      <c r="H100" s="1166"/>
      <c r="I100" s="368">
        <f>E100*H100</f>
        <v>0</v>
      </c>
      <c r="J100" s="367"/>
      <c r="K100" s="368"/>
      <c r="L100" s="368">
        <f>G100+I100+K100</f>
        <v>0</v>
      </c>
      <c r="M100" s="118"/>
      <c r="N100" s="85"/>
      <c r="O100" s="85"/>
      <c r="P100" s="118"/>
      <c r="Q100" s="85"/>
      <c r="R100" s="85"/>
      <c r="S100" s="119"/>
      <c r="T100" s="85"/>
      <c r="U100" s="85"/>
      <c r="V100" s="119"/>
      <c r="W100" s="76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  <c r="BI100" s="119"/>
      <c r="BJ100" s="119"/>
      <c r="BK100" s="119"/>
      <c r="BL100" s="119"/>
      <c r="BM100" s="119"/>
      <c r="BN100" s="119"/>
      <c r="BO100" s="119"/>
      <c r="BP100" s="119"/>
      <c r="BQ100" s="119"/>
      <c r="BR100" s="119"/>
      <c r="BS100" s="119"/>
      <c r="BT100" s="119"/>
      <c r="BU100" s="119"/>
    </row>
    <row r="101" spans="1:73" s="77" customFormat="1" x14ac:dyDescent="0.2">
      <c r="A101" s="667"/>
      <c r="B101" s="681" t="s">
        <v>42</v>
      </c>
      <c r="C101" s="667" t="s">
        <v>15</v>
      </c>
      <c r="D101" s="667">
        <v>9.3700000000000006E-2</v>
      </c>
      <c r="E101" s="687">
        <f>E97*D101</f>
        <v>1.4055</v>
      </c>
      <c r="F101" s="686"/>
      <c r="G101" s="666"/>
      <c r="H101" s="1156"/>
      <c r="I101" s="666">
        <f>E101*H101</f>
        <v>0</v>
      </c>
      <c r="J101" s="686"/>
      <c r="K101" s="666"/>
      <c r="L101" s="666">
        <f>G101+I101+K101</f>
        <v>0</v>
      </c>
      <c r="M101" s="115"/>
      <c r="N101" s="74"/>
      <c r="O101" s="120"/>
      <c r="P101" s="115"/>
      <c r="Q101" s="74"/>
      <c r="R101" s="120"/>
      <c r="S101" s="79"/>
      <c r="T101" s="74"/>
      <c r="U101" s="120"/>
      <c r="V101" s="79"/>
      <c r="W101" s="76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</row>
    <row r="102" spans="1:73" s="237" customFormat="1" ht="18" customHeight="1" x14ac:dyDescent="0.25">
      <c r="A102" s="101">
        <v>18</v>
      </c>
      <c r="B102" s="529" t="s">
        <v>158</v>
      </c>
      <c r="C102" s="242" t="s">
        <v>25</v>
      </c>
      <c r="D102" s="691"/>
      <c r="E102" s="260">
        <v>1</v>
      </c>
      <c r="F102" s="260"/>
      <c r="G102" s="260"/>
      <c r="H102" s="260"/>
      <c r="I102" s="260"/>
      <c r="J102" s="260"/>
      <c r="K102" s="260"/>
      <c r="L102" s="244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</row>
    <row r="103" spans="1:73" s="64" customFormat="1" ht="15" customHeight="1" x14ac:dyDescent="0.25">
      <c r="A103" s="662"/>
      <c r="B103" s="681" t="s">
        <v>36</v>
      </c>
      <c r="C103" s="667" t="s">
        <v>37</v>
      </c>
      <c r="D103" s="366">
        <v>8.2200000000000006</v>
      </c>
      <c r="E103" s="366">
        <f>E102*D103</f>
        <v>8.2200000000000006</v>
      </c>
      <c r="F103" s="1156"/>
      <c r="G103" s="666">
        <f>E103*F103</f>
        <v>0</v>
      </c>
      <c r="H103" s="342"/>
      <c r="I103" s="666"/>
      <c r="J103" s="666"/>
      <c r="K103" s="666"/>
      <c r="L103" s="666">
        <f>G103+I103+K103</f>
        <v>0</v>
      </c>
      <c r="M103" s="84"/>
      <c r="N103" s="85"/>
      <c r="O103" s="85"/>
      <c r="P103" s="86"/>
      <c r="Q103" s="85"/>
      <c r="R103" s="85"/>
      <c r="S103" s="65"/>
      <c r="T103" s="85"/>
      <c r="U103" s="85"/>
      <c r="V103" s="65"/>
      <c r="W103" s="76"/>
      <c r="X103" s="65"/>
      <c r="Y103" s="65"/>
    </row>
    <row r="104" spans="1:73" s="64" customFormat="1" ht="15" customHeight="1" x14ac:dyDescent="0.25">
      <c r="A104" s="662"/>
      <c r="B104" s="681" t="s">
        <v>48</v>
      </c>
      <c r="C104" s="667" t="s">
        <v>15</v>
      </c>
      <c r="D104" s="667">
        <v>0.31</v>
      </c>
      <c r="E104" s="667">
        <f>E102*D104</f>
        <v>0.31</v>
      </c>
      <c r="F104" s="666"/>
      <c r="G104" s="666"/>
      <c r="H104" s="666"/>
      <c r="I104" s="666"/>
      <c r="J104" s="1156"/>
      <c r="K104" s="666">
        <f>E104*J104</f>
        <v>0</v>
      </c>
      <c r="L104" s="666">
        <f>G104+I104+K104</f>
        <v>0</v>
      </c>
      <c r="N104" s="74"/>
      <c r="O104" s="74"/>
      <c r="P104" s="65"/>
      <c r="Q104" s="74"/>
      <c r="R104" s="74"/>
      <c r="S104" s="65"/>
      <c r="T104" s="74"/>
      <c r="U104" s="74"/>
      <c r="V104" s="65"/>
      <c r="W104" s="76"/>
      <c r="X104" s="65"/>
      <c r="Y104" s="65"/>
    </row>
    <row r="105" spans="1:73" s="64" customFormat="1" ht="15.75" customHeight="1" x14ac:dyDescent="0.25">
      <c r="A105" s="662"/>
      <c r="B105" s="352" t="s">
        <v>158</v>
      </c>
      <c r="C105" s="667" t="s">
        <v>53</v>
      </c>
      <c r="D105" s="667">
        <v>1</v>
      </c>
      <c r="E105" s="666">
        <f>E102*D105</f>
        <v>1</v>
      </c>
      <c r="F105" s="666"/>
      <c r="G105" s="666"/>
      <c r="H105" s="1147"/>
      <c r="I105" s="666">
        <f>E105*H105</f>
        <v>0</v>
      </c>
      <c r="J105" s="666"/>
      <c r="K105" s="666"/>
      <c r="L105" s="666">
        <f>G105+I105+K105</f>
        <v>0</v>
      </c>
      <c r="M105" s="84"/>
      <c r="N105" s="74"/>
      <c r="O105" s="75"/>
      <c r="P105" s="86"/>
      <c r="Q105" s="74"/>
      <c r="R105" s="75"/>
      <c r="S105" s="65"/>
      <c r="T105" s="74"/>
      <c r="U105" s="75"/>
      <c r="V105" s="65"/>
      <c r="W105" s="76"/>
      <c r="X105" s="65"/>
      <c r="Y105" s="65"/>
    </row>
    <row r="106" spans="1:73" s="64" customFormat="1" ht="15" customHeight="1" x14ac:dyDescent="0.25">
      <c r="A106" s="662"/>
      <c r="B106" s="681" t="s">
        <v>42</v>
      </c>
      <c r="C106" s="667" t="s">
        <v>37</v>
      </c>
      <c r="D106" s="687">
        <v>0.2</v>
      </c>
      <c r="E106" s="666">
        <f>E102*D106</f>
        <v>0.2</v>
      </c>
      <c r="F106" s="666"/>
      <c r="G106" s="666"/>
      <c r="H106" s="1156"/>
      <c r="I106" s="666">
        <f>E106*H106</f>
        <v>0</v>
      </c>
      <c r="J106" s="666"/>
      <c r="K106" s="666"/>
      <c r="L106" s="666">
        <f>G106+I106+K106</f>
        <v>0</v>
      </c>
      <c r="N106" s="74"/>
      <c r="O106" s="75"/>
      <c r="P106" s="65"/>
      <c r="Q106" s="74"/>
      <c r="R106" s="75"/>
      <c r="S106" s="65"/>
      <c r="T106" s="74"/>
      <c r="U106" s="75"/>
      <c r="V106" s="65"/>
      <c r="W106" s="76"/>
      <c r="X106" s="65"/>
      <c r="Y106" s="65"/>
    </row>
    <row r="107" spans="1:73" s="237" customFormat="1" ht="18" customHeight="1" x14ac:dyDescent="0.25">
      <c r="A107" s="101">
        <v>18</v>
      </c>
      <c r="B107" s="529" t="s">
        <v>439</v>
      </c>
      <c r="C107" s="242" t="s">
        <v>25</v>
      </c>
      <c r="D107" s="691"/>
      <c r="E107" s="260">
        <v>1</v>
      </c>
      <c r="F107" s="260"/>
      <c r="G107" s="260"/>
      <c r="H107" s="260"/>
      <c r="I107" s="260"/>
      <c r="J107" s="260"/>
      <c r="K107" s="260"/>
      <c r="L107" s="244"/>
      <c r="N107" s="245"/>
      <c r="O107" s="245"/>
      <c r="P107" s="245"/>
      <c r="Q107" s="245"/>
      <c r="R107" s="245"/>
      <c r="S107" s="245"/>
      <c r="T107" s="245"/>
      <c r="U107" s="245"/>
      <c r="V107" s="245"/>
      <c r="W107" s="245"/>
      <c r="X107" s="245"/>
      <c r="Y107" s="245"/>
    </row>
    <row r="108" spans="1:73" s="64" customFormat="1" ht="15" customHeight="1" x14ac:dyDescent="0.25">
      <c r="A108" s="662"/>
      <c r="B108" s="681" t="s">
        <v>36</v>
      </c>
      <c r="C108" s="667" t="s">
        <v>37</v>
      </c>
      <c r="D108" s="366">
        <v>8.2200000000000006</v>
      </c>
      <c r="E108" s="366">
        <f>E107*D108</f>
        <v>8.2200000000000006</v>
      </c>
      <c r="F108" s="1156"/>
      <c r="G108" s="666">
        <f>E108*F108</f>
        <v>0</v>
      </c>
      <c r="H108" s="342"/>
      <c r="I108" s="666"/>
      <c r="J108" s="666"/>
      <c r="K108" s="666"/>
      <c r="L108" s="666">
        <f>G108+I108+K108</f>
        <v>0</v>
      </c>
      <c r="M108" s="84"/>
      <c r="N108" s="85"/>
      <c r="O108" s="85"/>
      <c r="P108" s="86"/>
      <c r="Q108" s="85"/>
      <c r="R108" s="85"/>
      <c r="S108" s="65"/>
      <c r="T108" s="85"/>
      <c r="U108" s="85"/>
      <c r="V108" s="65"/>
      <c r="W108" s="76"/>
      <c r="X108" s="65"/>
      <c r="Y108" s="65"/>
    </row>
    <row r="109" spans="1:73" s="64" customFormat="1" ht="15" customHeight="1" x14ac:dyDescent="0.25">
      <c r="A109" s="662"/>
      <c r="B109" s="681" t="s">
        <v>48</v>
      </c>
      <c r="C109" s="667" t="s">
        <v>15</v>
      </c>
      <c r="D109" s="667">
        <v>0.31</v>
      </c>
      <c r="E109" s="667">
        <f>E107*D109</f>
        <v>0.31</v>
      </c>
      <c r="F109" s="666"/>
      <c r="G109" s="666"/>
      <c r="H109" s="666"/>
      <c r="I109" s="666"/>
      <c r="J109" s="1156"/>
      <c r="K109" s="666">
        <f>E109*J109</f>
        <v>0</v>
      </c>
      <c r="L109" s="666">
        <f>G109+I109+K109</f>
        <v>0</v>
      </c>
      <c r="N109" s="74"/>
      <c r="O109" s="74"/>
      <c r="P109" s="65"/>
      <c r="Q109" s="74"/>
      <c r="R109" s="74"/>
      <c r="S109" s="65"/>
      <c r="T109" s="74"/>
      <c r="U109" s="74"/>
      <c r="V109" s="65"/>
      <c r="W109" s="76"/>
      <c r="X109" s="65"/>
      <c r="Y109" s="65"/>
    </row>
    <row r="110" spans="1:73" s="66" customFormat="1" ht="22.5" customHeight="1" x14ac:dyDescent="0.25">
      <c r="A110" s="46"/>
      <c r="B110" s="352" t="s">
        <v>440</v>
      </c>
      <c r="C110" s="366" t="s">
        <v>53</v>
      </c>
      <c r="D110" s="366">
        <v>1</v>
      </c>
      <c r="E110" s="368">
        <f>E107*D110</f>
        <v>1</v>
      </c>
      <c r="F110" s="368"/>
      <c r="G110" s="368"/>
      <c r="H110" s="1147"/>
      <c r="I110" s="368">
        <f>E110*H110</f>
        <v>0</v>
      </c>
      <c r="J110" s="368"/>
      <c r="K110" s="368"/>
      <c r="L110" s="368">
        <f>G110+I110+K110</f>
        <v>0</v>
      </c>
      <c r="M110" s="97"/>
      <c r="N110" s="85"/>
      <c r="O110" s="631"/>
      <c r="P110" s="98"/>
      <c r="Q110" s="85"/>
      <c r="R110" s="631"/>
      <c r="S110" s="67"/>
      <c r="T110" s="85"/>
      <c r="U110" s="631"/>
      <c r="V110" s="67"/>
      <c r="W110" s="76"/>
      <c r="X110" s="67"/>
      <c r="Y110" s="67"/>
    </row>
    <row r="111" spans="1:73" s="64" customFormat="1" ht="15" customHeight="1" x14ac:dyDescent="0.25">
      <c r="A111" s="662"/>
      <c r="B111" s="681" t="s">
        <v>42</v>
      </c>
      <c r="C111" s="667" t="s">
        <v>37</v>
      </c>
      <c r="D111" s="687">
        <v>0.2</v>
      </c>
      <c r="E111" s="666">
        <f>E107*D111</f>
        <v>0.2</v>
      </c>
      <c r="F111" s="666"/>
      <c r="G111" s="666"/>
      <c r="H111" s="1156"/>
      <c r="I111" s="666">
        <f>E111*H111</f>
        <v>0</v>
      </c>
      <c r="J111" s="666"/>
      <c r="K111" s="666"/>
      <c r="L111" s="666">
        <f>G111+I111+K111</f>
        <v>0</v>
      </c>
      <c r="N111" s="74"/>
      <c r="O111" s="75"/>
      <c r="P111" s="65"/>
      <c r="Q111" s="74"/>
      <c r="R111" s="75"/>
      <c r="S111" s="65"/>
      <c r="T111" s="74"/>
      <c r="U111" s="75"/>
      <c r="V111" s="65"/>
      <c r="W111" s="76"/>
      <c r="X111" s="65"/>
      <c r="Y111" s="65"/>
    </row>
    <row r="112" spans="1:73" s="745" customFormat="1" ht="12.75" x14ac:dyDescent="0.25">
      <c r="A112" s="173">
        <v>19</v>
      </c>
      <c r="B112" s="174" t="s">
        <v>402</v>
      </c>
      <c r="C112" s="173" t="s">
        <v>151</v>
      </c>
      <c r="D112" s="703"/>
      <c r="E112" s="173">
        <v>1</v>
      </c>
      <c r="F112" s="175"/>
      <c r="G112" s="175"/>
      <c r="H112" s="175"/>
      <c r="I112" s="175"/>
      <c r="J112" s="175"/>
      <c r="K112" s="175"/>
      <c r="L112" s="175">
        <f>SUM(L113:L116)</f>
        <v>0</v>
      </c>
    </row>
    <row r="113" spans="1:73" s="745" customFormat="1" ht="12.75" x14ac:dyDescent="0.25">
      <c r="A113" s="176"/>
      <c r="B113" s="704" t="s">
        <v>214</v>
      </c>
      <c r="C113" s="176" t="s">
        <v>28</v>
      </c>
      <c r="D113" s="176">
        <v>16.3</v>
      </c>
      <c r="E113" s="176">
        <f>E112*D113</f>
        <v>16.3</v>
      </c>
      <c r="F113" s="1120"/>
      <c r="G113" s="63">
        <f>E113*F113</f>
        <v>0</v>
      </c>
      <c r="H113" s="63"/>
      <c r="I113" s="63"/>
      <c r="J113" s="63"/>
      <c r="K113" s="63"/>
      <c r="L113" s="63">
        <f>G113</f>
        <v>0</v>
      </c>
    </row>
    <row r="114" spans="1:73" s="745" customFormat="1" ht="12.75" x14ac:dyDescent="0.25">
      <c r="A114" s="176"/>
      <c r="B114" s="704" t="s">
        <v>14</v>
      </c>
      <c r="C114" s="176" t="s">
        <v>15</v>
      </c>
      <c r="D114" s="176">
        <v>1.05</v>
      </c>
      <c r="E114" s="176">
        <f>E112*D114</f>
        <v>1.05</v>
      </c>
      <c r="F114" s="63"/>
      <c r="G114" s="63"/>
      <c r="H114" s="63"/>
      <c r="I114" s="63"/>
      <c r="J114" s="1156"/>
      <c r="K114" s="63">
        <f>J114*E114</f>
        <v>0</v>
      </c>
      <c r="L114" s="63">
        <f>K114</f>
        <v>0</v>
      </c>
    </row>
    <row r="115" spans="1:73" s="745" customFormat="1" ht="12.75" x14ac:dyDescent="0.25">
      <c r="A115" s="176"/>
      <c r="B115" s="322" t="s">
        <v>424</v>
      </c>
      <c r="C115" s="176" t="s">
        <v>151</v>
      </c>
      <c r="D115" s="176">
        <v>1</v>
      </c>
      <c r="E115" s="176">
        <f>E112*D115</f>
        <v>1</v>
      </c>
      <c r="F115" s="63"/>
      <c r="G115" s="63"/>
      <c r="H115" s="1120"/>
      <c r="I115" s="63">
        <f>E115*H115</f>
        <v>0</v>
      </c>
      <c r="J115" s="63"/>
      <c r="K115" s="63"/>
      <c r="L115" s="63">
        <f>I115</f>
        <v>0</v>
      </c>
    </row>
    <row r="116" spans="1:73" s="745" customFormat="1" ht="12.75" x14ac:dyDescent="0.25">
      <c r="A116" s="176"/>
      <c r="B116" s="704" t="s">
        <v>146</v>
      </c>
      <c r="C116" s="176" t="s">
        <v>15</v>
      </c>
      <c r="D116" s="176">
        <v>5.12</v>
      </c>
      <c r="E116" s="176">
        <f>E112*D116</f>
        <v>5.12</v>
      </c>
      <c r="F116" s="63"/>
      <c r="G116" s="63"/>
      <c r="H116" s="1156"/>
      <c r="I116" s="63">
        <f>E116*H116</f>
        <v>0</v>
      </c>
      <c r="J116" s="63"/>
      <c r="K116" s="63"/>
      <c r="L116" s="63">
        <f>I116</f>
        <v>0</v>
      </c>
    </row>
    <row r="117" spans="1:73" s="103" customFormat="1" ht="12.75" x14ac:dyDescent="0.25">
      <c r="A117" s="43"/>
      <c r="B117" s="170" t="s">
        <v>7</v>
      </c>
      <c r="C117" s="46"/>
      <c r="D117" s="46"/>
      <c r="E117" s="47"/>
      <c r="F117" s="48"/>
      <c r="G117" s="48">
        <f>SUM(G9:G116)</f>
        <v>0</v>
      </c>
      <c r="H117" s="48"/>
      <c r="I117" s="48">
        <f>SUM(I9:I116)</f>
        <v>0</v>
      </c>
      <c r="J117" s="48"/>
      <c r="K117" s="48">
        <f>SUM(K9:K116)</f>
        <v>0</v>
      </c>
      <c r="L117" s="48">
        <f>SUM(L9:L116)</f>
        <v>0</v>
      </c>
      <c r="M117" s="102"/>
      <c r="N117" s="102"/>
      <c r="O117" s="102"/>
    </row>
    <row r="118" spans="1:73" s="160" customFormat="1" ht="14.25" customHeight="1" x14ac:dyDescent="0.2">
      <c r="A118" s="692"/>
      <c r="B118" s="693" t="s">
        <v>126</v>
      </c>
      <c r="C118" s="692"/>
      <c r="D118" s="692"/>
      <c r="E118" s="694"/>
      <c r="F118" s="692"/>
      <c r="G118" s="695"/>
      <c r="H118" s="695"/>
      <c r="I118" s="695">
        <f>I115+I105+I100+I89+I84</f>
        <v>0</v>
      </c>
      <c r="J118" s="695"/>
      <c r="K118" s="695"/>
      <c r="L118" s="695"/>
      <c r="M118" s="159"/>
      <c r="N118" s="227"/>
    </row>
    <row r="119" spans="1:73" s="104" customFormat="1" ht="12.75" x14ac:dyDescent="0.25">
      <c r="A119" s="49"/>
      <c r="B119" s="170" t="s">
        <v>67</v>
      </c>
      <c r="C119" s="1155"/>
      <c r="D119" s="50"/>
      <c r="E119" s="50"/>
      <c r="F119" s="51"/>
      <c r="G119" s="51"/>
      <c r="H119" s="51"/>
      <c r="I119" s="51"/>
      <c r="J119" s="51"/>
      <c r="K119" s="51">
        <f>I117*C119</f>
        <v>0</v>
      </c>
      <c r="L119" s="51">
        <f>K119</f>
        <v>0</v>
      </c>
    </row>
    <row r="120" spans="1:73" s="121" customFormat="1" ht="12.75" x14ac:dyDescent="0.25">
      <c r="A120" s="52"/>
      <c r="B120" s="170" t="s">
        <v>7</v>
      </c>
      <c r="C120" s="53"/>
      <c r="D120" s="54"/>
      <c r="E120" s="55"/>
      <c r="F120" s="56"/>
      <c r="G120" s="56"/>
      <c r="H120" s="56"/>
      <c r="I120" s="56"/>
      <c r="J120" s="56"/>
      <c r="K120" s="56"/>
      <c r="L120" s="56">
        <f>L117+L119</f>
        <v>0</v>
      </c>
    </row>
    <row r="121" spans="1:73" s="123" customFormat="1" ht="12.75" x14ac:dyDescent="0.25">
      <c r="A121" s="49"/>
      <c r="B121" s="170" t="s">
        <v>68</v>
      </c>
      <c r="C121" s="1155"/>
      <c r="D121" s="50"/>
      <c r="E121" s="50"/>
      <c r="F121" s="51"/>
      <c r="G121" s="51">
        <f>G117*C121</f>
        <v>0</v>
      </c>
      <c r="H121" s="51"/>
      <c r="I121" s="51"/>
      <c r="J121" s="51"/>
      <c r="K121" s="51"/>
      <c r="L121" s="51">
        <f>G121</f>
        <v>0</v>
      </c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22"/>
      <c r="BD121" s="122"/>
      <c r="BE121" s="122"/>
      <c r="BF121" s="122"/>
      <c r="BG121" s="122"/>
      <c r="BH121" s="122"/>
      <c r="BI121" s="122"/>
      <c r="BJ121" s="122"/>
      <c r="BK121" s="122"/>
      <c r="BL121" s="122"/>
      <c r="BM121" s="122"/>
      <c r="BN121" s="122"/>
      <c r="BO121" s="122"/>
      <c r="BP121" s="122"/>
      <c r="BQ121" s="122"/>
      <c r="BR121" s="122"/>
      <c r="BS121" s="122"/>
      <c r="BT121" s="122"/>
      <c r="BU121" s="122"/>
    </row>
    <row r="122" spans="1:73" s="124" customFormat="1" ht="12.75" x14ac:dyDescent="0.25">
      <c r="A122" s="52"/>
      <c r="B122" s="170" t="s">
        <v>7</v>
      </c>
      <c r="C122" s="53"/>
      <c r="D122" s="54"/>
      <c r="E122" s="55"/>
      <c r="F122" s="56"/>
      <c r="G122" s="56"/>
      <c r="H122" s="56"/>
      <c r="I122" s="56"/>
      <c r="J122" s="56"/>
      <c r="K122" s="56"/>
      <c r="L122" s="51">
        <f>L121+L120</f>
        <v>0</v>
      </c>
    </row>
    <row r="123" spans="1:73" s="125" customFormat="1" ht="12.75" x14ac:dyDescent="0.25">
      <c r="A123" s="52"/>
      <c r="B123" s="170" t="s">
        <v>69</v>
      </c>
      <c r="C123" s="1174"/>
      <c r="D123" s="54"/>
      <c r="E123" s="54"/>
      <c r="F123" s="56"/>
      <c r="G123" s="56"/>
      <c r="H123" s="56"/>
      <c r="I123" s="56"/>
      <c r="J123" s="56"/>
      <c r="K123" s="56"/>
      <c r="L123" s="51">
        <f>(L122-I118)*C123</f>
        <v>0</v>
      </c>
    </row>
    <row r="124" spans="1:73" s="126" customFormat="1" ht="12.75" x14ac:dyDescent="0.25">
      <c r="A124" s="699"/>
      <c r="B124" s="170" t="s">
        <v>7</v>
      </c>
      <c r="C124" s="699"/>
      <c r="D124" s="699"/>
      <c r="E124" s="699"/>
      <c r="F124" s="700"/>
      <c r="G124" s="700"/>
      <c r="H124" s="700"/>
      <c r="I124" s="700"/>
      <c r="J124" s="700"/>
      <c r="K124" s="700"/>
      <c r="L124" s="701">
        <f>L122+L123</f>
        <v>0</v>
      </c>
    </row>
    <row r="125" spans="1:73" s="183" customFormat="1" ht="15.75" x14ac:dyDescent="0.25">
      <c r="A125" s="746"/>
      <c r="B125" s="747" t="s">
        <v>425</v>
      </c>
      <c r="C125" s="748"/>
      <c r="D125" s="748"/>
      <c r="E125" s="749"/>
      <c r="F125" s="748"/>
      <c r="G125" s="749"/>
      <c r="H125" s="750"/>
      <c r="I125" s="749"/>
      <c r="J125" s="750"/>
      <c r="K125" s="749"/>
      <c r="L125" s="751"/>
      <c r="M125" s="83"/>
    </row>
    <row r="126" spans="1:73" s="188" customFormat="1" ht="14.25" x14ac:dyDescent="0.25">
      <c r="A126" s="168">
        <v>1</v>
      </c>
      <c r="B126" s="698" t="s">
        <v>157</v>
      </c>
      <c r="C126" s="168" t="s">
        <v>21</v>
      </c>
      <c r="D126" s="168"/>
      <c r="E126" s="169">
        <v>1</v>
      </c>
      <c r="F126" s="169"/>
      <c r="G126" s="134"/>
      <c r="H126" s="168"/>
      <c r="I126" s="134"/>
      <c r="J126" s="169"/>
      <c r="K126" s="134"/>
      <c r="L126" s="134"/>
      <c r="N126" s="221"/>
    </row>
    <row r="127" spans="1:73" s="153" customFormat="1" x14ac:dyDescent="0.2">
      <c r="A127" s="146"/>
      <c r="B127" s="152" t="s">
        <v>46</v>
      </c>
      <c r="C127" s="146" t="s">
        <v>21</v>
      </c>
      <c r="D127" s="146">
        <v>1</v>
      </c>
      <c r="E127" s="147">
        <f>E126*D127</f>
        <v>1</v>
      </c>
      <c r="F127" s="1157"/>
      <c r="G127" s="147">
        <f>E127*F127</f>
        <v>0</v>
      </c>
      <c r="H127" s="632"/>
      <c r="I127" s="147"/>
      <c r="J127" s="632"/>
      <c r="K127" s="147"/>
      <c r="L127" s="147">
        <f>G127+I127+K127</f>
        <v>0</v>
      </c>
      <c r="M127" s="150"/>
      <c r="N127" s="222"/>
    </row>
    <row r="128" spans="1:73" s="153" customFormat="1" x14ac:dyDescent="0.2">
      <c r="A128" s="146"/>
      <c r="B128" s="152" t="s">
        <v>41</v>
      </c>
      <c r="C128" s="146"/>
      <c r="D128" s="146"/>
      <c r="E128" s="147"/>
      <c r="F128" s="632"/>
      <c r="G128" s="147"/>
      <c r="H128" s="146"/>
      <c r="I128" s="147"/>
      <c r="J128" s="632"/>
      <c r="K128" s="147"/>
      <c r="L128" s="147"/>
      <c r="M128" s="150"/>
      <c r="N128" s="222"/>
    </row>
    <row r="129" spans="1:14" s="151" customFormat="1" x14ac:dyDescent="0.2">
      <c r="A129" s="146"/>
      <c r="B129" s="285" t="s">
        <v>370</v>
      </c>
      <c r="C129" s="146" t="s">
        <v>21</v>
      </c>
      <c r="D129" s="146">
        <v>1</v>
      </c>
      <c r="E129" s="148">
        <f>E126*D129</f>
        <v>1</v>
      </c>
      <c r="F129" s="149"/>
      <c r="G129" s="147"/>
      <c r="H129" s="1167"/>
      <c r="I129" s="147">
        <f>E129*H129</f>
        <v>0</v>
      </c>
      <c r="J129" s="632"/>
      <c r="K129" s="147"/>
      <c r="L129" s="147">
        <f>G129+I129+K129</f>
        <v>0</v>
      </c>
      <c r="M129" s="150"/>
      <c r="N129" s="223"/>
    </row>
    <row r="130" spans="1:14" s="188" customFormat="1" ht="14.25" x14ac:dyDescent="0.25">
      <c r="A130" s="168">
        <v>2</v>
      </c>
      <c r="B130" s="698" t="s">
        <v>407</v>
      </c>
      <c r="C130" s="168" t="s">
        <v>151</v>
      </c>
      <c r="D130" s="168"/>
      <c r="E130" s="169">
        <v>1</v>
      </c>
      <c r="F130" s="169"/>
      <c r="G130" s="134"/>
      <c r="H130" s="168"/>
      <c r="I130" s="134"/>
      <c r="J130" s="169"/>
      <c r="K130" s="134"/>
      <c r="L130" s="134"/>
      <c r="N130" s="221"/>
    </row>
    <row r="131" spans="1:14" s="153" customFormat="1" x14ac:dyDescent="0.2">
      <c r="A131" s="146"/>
      <c r="B131" s="152" t="s">
        <v>46</v>
      </c>
      <c r="C131" s="146" t="s">
        <v>21</v>
      </c>
      <c r="D131" s="146">
        <v>1</v>
      </c>
      <c r="E131" s="147">
        <f>E130*D131</f>
        <v>1</v>
      </c>
      <c r="F131" s="1157"/>
      <c r="G131" s="147">
        <f>E131*F131</f>
        <v>0</v>
      </c>
      <c r="H131" s="632"/>
      <c r="I131" s="147"/>
      <c r="J131" s="632"/>
      <c r="K131" s="147"/>
      <c r="L131" s="147">
        <f>G131+I131+K131</f>
        <v>0</v>
      </c>
      <c r="M131" s="150"/>
      <c r="N131" s="222"/>
    </row>
    <row r="132" spans="1:14" s="153" customFormat="1" x14ac:dyDescent="0.2">
      <c r="A132" s="146"/>
      <c r="B132" s="152" t="s">
        <v>41</v>
      </c>
      <c r="C132" s="146"/>
      <c r="D132" s="146"/>
      <c r="E132" s="147"/>
      <c r="F132" s="632"/>
      <c r="G132" s="147"/>
      <c r="H132" s="146"/>
      <c r="I132" s="147"/>
      <c r="J132" s="632"/>
      <c r="K132" s="147"/>
      <c r="L132" s="147"/>
      <c r="M132" s="150"/>
      <c r="N132" s="222"/>
    </row>
    <row r="133" spans="1:14" s="249" customFormat="1" ht="40.5" x14ac:dyDescent="0.25">
      <c r="A133" s="279"/>
      <c r="B133" s="285" t="s">
        <v>408</v>
      </c>
      <c r="C133" s="279" t="s">
        <v>151</v>
      </c>
      <c r="D133" s="279">
        <v>1</v>
      </c>
      <c r="E133" s="659">
        <f>E130*D133</f>
        <v>1</v>
      </c>
      <c r="F133" s="246"/>
      <c r="G133" s="129"/>
      <c r="H133" s="1168"/>
      <c r="I133" s="129">
        <f>E133*H133</f>
        <v>0</v>
      </c>
      <c r="J133" s="161"/>
      <c r="K133" s="129"/>
      <c r="L133" s="129">
        <f>G133+I133+K133</f>
        <v>0</v>
      </c>
      <c r="M133" s="247"/>
      <c r="N133" s="248"/>
    </row>
    <row r="134" spans="1:14" s="191" customFormat="1" x14ac:dyDescent="0.25">
      <c r="A134" s="155">
        <v>3</v>
      </c>
      <c r="B134" s="189" t="s">
        <v>124</v>
      </c>
      <c r="C134" s="155" t="s">
        <v>21</v>
      </c>
      <c r="D134" s="155"/>
      <c r="E134" s="155">
        <v>4</v>
      </c>
      <c r="F134" s="155"/>
      <c r="G134" s="154"/>
      <c r="H134" s="167"/>
      <c r="I134" s="154"/>
      <c r="J134" s="167"/>
      <c r="K134" s="154"/>
      <c r="L134" s="154"/>
      <c r="M134" s="190"/>
      <c r="N134" s="224"/>
    </row>
    <row r="135" spans="1:14" s="153" customFormat="1" x14ac:dyDescent="0.2">
      <c r="A135" s="146"/>
      <c r="B135" s="152" t="s">
        <v>36</v>
      </c>
      <c r="C135" s="146" t="s">
        <v>37</v>
      </c>
      <c r="D135" s="146">
        <v>2</v>
      </c>
      <c r="E135" s="147">
        <f>E134*D135</f>
        <v>8</v>
      </c>
      <c r="F135" s="1148"/>
      <c r="G135" s="147">
        <f>E135*F135</f>
        <v>0</v>
      </c>
      <c r="H135" s="149"/>
      <c r="I135" s="147"/>
      <c r="J135" s="632"/>
      <c r="K135" s="147"/>
      <c r="L135" s="147">
        <f>G135+I135+K135</f>
        <v>0</v>
      </c>
      <c r="M135" s="150"/>
      <c r="N135" s="222"/>
    </row>
    <row r="136" spans="1:14" s="151" customFormat="1" x14ac:dyDescent="0.2">
      <c r="A136" s="146"/>
      <c r="B136" s="157" t="s">
        <v>405</v>
      </c>
      <c r="C136" s="146" t="s">
        <v>21</v>
      </c>
      <c r="D136" s="146">
        <v>1</v>
      </c>
      <c r="E136" s="147">
        <f>E134*D136</f>
        <v>4</v>
      </c>
      <c r="F136" s="146"/>
      <c r="G136" s="147"/>
      <c r="H136" s="1169"/>
      <c r="I136" s="147">
        <f>E136*H136</f>
        <v>0</v>
      </c>
      <c r="J136" s="632"/>
      <c r="K136" s="147"/>
      <c r="L136" s="147">
        <f>G136+I136+K136</f>
        <v>0</v>
      </c>
      <c r="M136" s="150"/>
      <c r="N136" s="223"/>
    </row>
    <row r="137" spans="1:14" s="151" customFormat="1" x14ac:dyDescent="0.2">
      <c r="A137" s="146"/>
      <c r="B137" s="152" t="s">
        <v>42</v>
      </c>
      <c r="C137" s="146" t="s">
        <v>15</v>
      </c>
      <c r="D137" s="146">
        <v>0.28000000000000003</v>
      </c>
      <c r="E137" s="147">
        <f>E134*D137</f>
        <v>1.1200000000000001</v>
      </c>
      <c r="F137" s="146"/>
      <c r="G137" s="147"/>
      <c r="H137" s="1148"/>
      <c r="I137" s="147">
        <f>E137*H137</f>
        <v>0</v>
      </c>
      <c r="J137" s="632"/>
      <c r="K137" s="147"/>
      <c r="L137" s="147">
        <f>G137+I137+K137</f>
        <v>0</v>
      </c>
      <c r="M137" s="150"/>
      <c r="N137" s="223"/>
    </row>
    <row r="138" spans="1:14" s="191" customFormat="1" x14ac:dyDescent="0.25">
      <c r="A138" s="155">
        <v>4</v>
      </c>
      <c r="B138" s="189" t="s">
        <v>125</v>
      </c>
      <c r="C138" s="155" t="s">
        <v>21</v>
      </c>
      <c r="D138" s="167"/>
      <c r="E138" s="167">
        <v>1</v>
      </c>
      <c r="F138" s="155"/>
      <c r="G138" s="154"/>
      <c r="H138" s="167"/>
      <c r="I138" s="154"/>
      <c r="J138" s="167"/>
      <c r="K138" s="154"/>
      <c r="L138" s="154"/>
      <c r="M138" s="190"/>
      <c r="N138" s="224"/>
    </row>
    <row r="139" spans="1:14" s="153" customFormat="1" x14ac:dyDescent="0.2">
      <c r="A139" s="146"/>
      <c r="B139" s="152" t="s">
        <v>36</v>
      </c>
      <c r="C139" s="146" t="s">
        <v>37</v>
      </c>
      <c r="D139" s="146">
        <v>2</v>
      </c>
      <c r="E139" s="147">
        <f>E138*D139</f>
        <v>2</v>
      </c>
      <c r="F139" s="1148"/>
      <c r="G139" s="147">
        <f>E139*F139</f>
        <v>0</v>
      </c>
      <c r="H139" s="149"/>
      <c r="I139" s="147"/>
      <c r="J139" s="632"/>
      <c r="K139" s="147"/>
      <c r="L139" s="147">
        <f>G139+I139+K139</f>
        <v>0</v>
      </c>
      <c r="M139" s="150"/>
      <c r="N139" s="222"/>
    </row>
    <row r="140" spans="1:14" s="151" customFormat="1" x14ac:dyDescent="0.2">
      <c r="A140" s="146"/>
      <c r="B140" s="157" t="s">
        <v>125</v>
      </c>
      <c r="C140" s="146" t="s">
        <v>21</v>
      </c>
      <c r="D140" s="146">
        <v>1</v>
      </c>
      <c r="E140" s="147">
        <f>E138*D140</f>
        <v>1</v>
      </c>
      <c r="F140" s="149"/>
      <c r="G140" s="147"/>
      <c r="H140" s="1167"/>
      <c r="I140" s="147">
        <f>E140*H140</f>
        <v>0</v>
      </c>
      <c r="J140" s="632"/>
      <c r="K140" s="147"/>
      <c r="L140" s="147">
        <f>G140+I140+K140</f>
        <v>0</v>
      </c>
      <c r="M140" s="150"/>
      <c r="N140" s="223"/>
    </row>
    <row r="141" spans="1:14" s="151" customFormat="1" x14ac:dyDescent="0.2">
      <c r="A141" s="146"/>
      <c r="B141" s="152" t="s">
        <v>42</v>
      </c>
      <c r="C141" s="146" t="s">
        <v>15</v>
      </c>
      <c r="D141" s="146">
        <v>0.14000000000000001</v>
      </c>
      <c r="E141" s="147">
        <f>E138*D141</f>
        <v>0.14000000000000001</v>
      </c>
      <c r="F141" s="146"/>
      <c r="G141" s="147"/>
      <c r="H141" s="1148"/>
      <c r="I141" s="147">
        <f>E141*H141</f>
        <v>0</v>
      </c>
      <c r="J141" s="632"/>
      <c r="K141" s="147"/>
      <c r="L141" s="147">
        <f>G141+I141+K141</f>
        <v>0</v>
      </c>
      <c r="M141" s="150"/>
      <c r="N141" s="223"/>
    </row>
    <row r="142" spans="1:14" s="191" customFormat="1" x14ac:dyDescent="0.25">
      <c r="A142" s="155">
        <v>5</v>
      </c>
      <c r="B142" s="189" t="s">
        <v>406</v>
      </c>
      <c r="C142" s="155" t="s">
        <v>21</v>
      </c>
      <c r="D142" s="155"/>
      <c r="E142" s="155">
        <v>2</v>
      </c>
      <c r="F142" s="155"/>
      <c r="G142" s="154"/>
      <c r="H142" s="167"/>
      <c r="I142" s="154"/>
      <c r="J142" s="167"/>
      <c r="K142" s="154"/>
      <c r="L142" s="154"/>
      <c r="M142" s="190"/>
      <c r="N142" s="224"/>
    </row>
    <row r="143" spans="1:14" s="153" customFormat="1" x14ac:dyDescent="0.2">
      <c r="A143" s="146"/>
      <c r="B143" s="152" t="s">
        <v>36</v>
      </c>
      <c r="C143" s="146" t="s">
        <v>37</v>
      </c>
      <c r="D143" s="146">
        <v>3</v>
      </c>
      <c r="E143" s="147">
        <f>E142*D143</f>
        <v>6</v>
      </c>
      <c r="F143" s="1148"/>
      <c r="G143" s="147">
        <f>E143*F143</f>
        <v>0</v>
      </c>
      <c r="H143" s="149"/>
      <c r="I143" s="147"/>
      <c r="J143" s="632"/>
      <c r="K143" s="147"/>
      <c r="L143" s="147">
        <f>G143+I143+K143</f>
        <v>0</v>
      </c>
      <c r="M143" s="150"/>
      <c r="N143" s="222"/>
    </row>
    <row r="144" spans="1:14" s="151" customFormat="1" x14ac:dyDescent="0.2">
      <c r="A144" s="146"/>
      <c r="B144" s="157" t="s">
        <v>406</v>
      </c>
      <c r="C144" s="146" t="s">
        <v>21</v>
      </c>
      <c r="D144" s="146">
        <v>1</v>
      </c>
      <c r="E144" s="147">
        <f>E142*D144</f>
        <v>2</v>
      </c>
      <c r="F144" s="146"/>
      <c r="G144" s="147"/>
      <c r="H144" s="1169"/>
      <c r="I144" s="147">
        <f>E144*H144</f>
        <v>0</v>
      </c>
      <c r="J144" s="632"/>
      <c r="K144" s="147"/>
      <c r="L144" s="147">
        <f>G144+I144+K144</f>
        <v>0</v>
      </c>
      <c r="M144" s="150"/>
      <c r="N144" s="223"/>
    </row>
    <row r="145" spans="1:15" s="151" customFormat="1" x14ac:dyDescent="0.2">
      <c r="A145" s="146"/>
      <c r="B145" s="152" t="s">
        <v>42</v>
      </c>
      <c r="C145" s="146" t="s">
        <v>15</v>
      </c>
      <c r="D145" s="146">
        <v>0.14000000000000001</v>
      </c>
      <c r="E145" s="147">
        <f>E142*D145</f>
        <v>0.28000000000000003</v>
      </c>
      <c r="F145" s="146"/>
      <c r="G145" s="147"/>
      <c r="H145" s="1148"/>
      <c r="I145" s="147">
        <f>E145*H145</f>
        <v>0</v>
      </c>
      <c r="J145" s="632"/>
      <c r="K145" s="147"/>
      <c r="L145" s="147">
        <f>G145+I145+K145</f>
        <v>0</v>
      </c>
      <c r="M145" s="150"/>
      <c r="N145" s="223"/>
    </row>
    <row r="146" spans="1:15" s="193" customFormat="1" x14ac:dyDescent="0.2">
      <c r="A146" s="155">
        <v>6</v>
      </c>
      <c r="B146" s="189" t="s">
        <v>371</v>
      </c>
      <c r="C146" s="155" t="s">
        <v>43</v>
      </c>
      <c r="D146" s="155"/>
      <c r="E146" s="167">
        <v>45</v>
      </c>
      <c r="F146" s="155"/>
      <c r="G146" s="154"/>
      <c r="H146" s="167"/>
      <c r="I146" s="154"/>
      <c r="J146" s="167"/>
      <c r="K146" s="154"/>
      <c r="L146" s="154"/>
      <c r="M146" s="192"/>
      <c r="N146" s="225"/>
    </row>
    <row r="147" spans="1:15" s="153" customFormat="1" x14ac:dyDescent="0.2">
      <c r="A147" s="146"/>
      <c r="B147" s="152" t="s">
        <v>36</v>
      </c>
      <c r="C147" s="146" t="s">
        <v>37</v>
      </c>
      <c r="D147" s="146">
        <v>0.22</v>
      </c>
      <c r="E147" s="147">
        <f>E146*D147</f>
        <v>9.9</v>
      </c>
      <c r="F147" s="1148"/>
      <c r="G147" s="147">
        <f>E147*F147</f>
        <v>0</v>
      </c>
      <c r="H147" s="149"/>
      <c r="I147" s="147"/>
      <c r="J147" s="632"/>
      <c r="K147" s="147"/>
      <c r="L147" s="147">
        <f>G147+I147+K147</f>
        <v>0</v>
      </c>
      <c r="M147" s="150"/>
      <c r="N147" s="222"/>
    </row>
    <row r="148" spans="1:15" s="164" customFormat="1" x14ac:dyDescent="0.2">
      <c r="A148" s="146"/>
      <c r="B148" s="152" t="s">
        <v>40</v>
      </c>
      <c r="C148" s="146" t="s">
        <v>15</v>
      </c>
      <c r="D148" s="146">
        <v>3.8199999999999998E-2</v>
      </c>
      <c r="E148" s="147">
        <f>E146*D148</f>
        <v>1.7189999999999999</v>
      </c>
      <c r="F148" s="146"/>
      <c r="G148" s="147"/>
      <c r="H148" s="632"/>
      <c r="I148" s="147"/>
      <c r="J148" s="1148"/>
      <c r="K148" s="147">
        <f>E148*J148</f>
        <v>0</v>
      </c>
      <c r="L148" s="147">
        <f>G148+I148+K148</f>
        <v>0</v>
      </c>
      <c r="M148" s="150"/>
      <c r="N148" s="226"/>
    </row>
    <row r="149" spans="1:15" s="151" customFormat="1" ht="15" customHeight="1" x14ac:dyDescent="0.2">
      <c r="A149" s="146"/>
      <c r="B149" s="157" t="s">
        <v>404</v>
      </c>
      <c r="C149" s="146" t="s">
        <v>43</v>
      </c>
      <c r="D149" s="146">
        <v>1</v>
      </c>
      <c r="E149" s="149">
        <f>E146*D149</f>
        <v>45</v>
      </c>
      <c r="F149" s="147"/>
      <c r="G149" s="147"/>
      <c r="H149" s="1170"/>
      <c r="I149" s="147">
        <f>E149*H149</f>
        <v>0</v>
      </c>
      <c r="J149" s="632"/>
      <c r="K149" s="147"/>
      <c r="L149" s="147">
        <f>G149+I149+K149</f>
        <v>0</v>
      </c>
      <c r="M149" s="150"/>
      <c r="N149" s="223"/>
    </row>
    <row r="150" spans="1:15" s="151" customFormat="1" x14ac:dyDescent="0.2">
      <c r="A150" s="146"/>
      <c r="B150" s="152" t="s">
        <v>42</v>
      </c>
      <c r="C150" s="146" t="s">
        <v>15</v>
      </c>
      <c r="D150" s="146">
        <v>6.5799999999999997E-2</v>
      </c>
      <c r="E150" s="147">
        <f>E146*D150</f>
        <v>2.9609999999999999</v>
      </c>
      <c r="F150" s="632"/>
      <c r="G150" s="147"/>
      <c r="H150" s="1148"/>
      <c r="I150" s="147">
        <f>E150*H150</f>
        <v>0</v>
      </c>
      <c r="J150" s="632"/>
      <c r="K150" s="147"/>
      <c r="L150" s="147">
        <f>G150+I150+K150</f>
        <v>0</v>
      </c>
      <c r="M150" s="150"/>
      <c r="N150" s="223"/>
    </row>
    <row r="151" spans="1:15" s="183" customFormat="1" ht="15.75" x14ac:dyDescent="0.25">
      <c r="A151" s="746"/>
      <c r="B151" s="747" t="s">
        <v>372</v>
      </c>
      <c r="C151" s="748"/>
      <c r="D151" s="748"/>
      <c r="E151" s="749"/>
      <c r="F151" s="748"/>
      <c r="G151" s="749"/>
      <c r="H151" s="750"/>
      <c r="I151" s="749"/>
      <c r="J151" s="750"/>
      <c r="K151" s="749"/>
      <c r="L151" s="751"/>
      <c r="M151" s="83"/>
    </row>
    <row r="152" spans="1:15" s="183" customFormat="1" ht="27" x14ac:dyDescent="0.25">
      <c r="A152" s="34">
        <v>1</v>
      </c>
      <c r="B152" s="33" t="s">
        <v>392</v>
      </c>
      <c r="C152" s="27" t="s">
        <v>21</v>
      </c>
      <c r="D152" s="27"/>
      <c r="E152" s="31">
        <v>1</v>
      </c>
      <c r="F152" s="34"/>
      <c r="G152" s="25"/>
      <c r="H152" s="37"/>
      <c r="I152" s="25"/>
      <c r="J152" s="37"/>
      <c r="K152" s="25"/>
      <c r="L152" s="25"/>
      <c r="M152" s="83"/>
    </row>
    <row r="153" spans="1:15" s="183" customFormat="1" x14ac:dyDescent="0.25">
      <c r="A153" s="34"/>
      <c r="B153" s="32" t="s">
        <v>46</v>
      </c>
      <c r="C153" s="19">
        <v>1</v>
      </c>
      <c r="D153" s="38">
        <v>1</v>
      </c>
      <c r="E153" s="34">
        <f>E152*D153</f>
        <v>1</v>
      </c>
      <c r="F153" s="1158"/>
      <c r="G153" s="18">
        <f>E153*F153</f>
        <v>0</v>
      </c>
      <c r="H153" s="633"/>
      <c r="I153" s="633"/>
      <c r="J153" s="26"/>
      <c r="K153" s="18"/>
      <c r="L153" s="18">
        <f t="shared" ref="L153:L187" si="4">G153+I153+K153</f>
        <v>0</v>
      </c>
      <c r="M153" s="83"/>
    </row>
    <row r="154" spans="1:15" s="183" customFormat="1" x14ac:dyDescent="0.25">
      <c r="A154" s="34"/>
      <c r="B154" s="32" t="s">
        <v>41</v>
      </c>
      <c r="C154" s="19"/>
      <c r="D154" s="19"/>
      <c r="E154" s="34"/>
      <c r="F154" s="19"/>
      <c r="G154" s="18"/>
      <c r="H154" s="26"/>
      <c r="I154" s="18"/>
      <c r="J154" s="26"/>
      <c r="K154" s="18"/>
      <c r="L154" s="18">
        <f t="shared" si="4"/>
        <v>0</v>
      </c>
      <c r="M154" s="83"/>
    </row>
    <row r="155" spans="1:15" s="183" customFormat="1" ht="30" customHeight="1" x14ac:dyDescent="0.25">
      <c r="A155" s="34"/>
      <c r="B155" s="20" t="s">
        <v>441</v>
      </c>
      <c r="C155" s="19" t="s">
        <v>21</v>
      </c>
      <c r="D155" s="19">
        <v>1</v>
      </c>
      <c r="E155" s="19">
        <f>E152*D155</f>
        <v>1</v>
      </c>
      <c r="F155" s="633"/>
      <c r="G155" s="633"/>
      <c r="H155" s="1148"/>
      <c r="I155" s="18">
        <f>E155*H155</f>
        <v>0</v>
      </c>
      <c r="J155" s="26"/>
      <c r="K155" s="18"/>
      <c r="L155" s="18">
        <f t="shared" si="4"/>
        <v>0</v>
      </c>
      <c r="M155" s="83"/>
    </row>
    <row r="156" spans="1:15" s="652" customFormat="1" ht="26.25" x14ac:dyDescent="0.25">
      <c r="A156" s="27">
        <v>2</v>
      </c>
      <c r="B156" s="33" t="s">
        <v>442</v>
      </c>
      <c r="C156" s="634" t="s">
        <v>39</v>
      </c>
      <c r="D156" s="27"/>
      <c r="E156" s="31">
        <v>1</v>
      </c>
      <c r="F156" s="31"/>
      <c r="G156" s="30"/>
      <c r="H156" s="27"/>
      <c r="I156" s="30"/>
      <c r="J156" s="31"/>
      <c r="K156" s="30"/>
      <c r="L156" s="30"/>
      <c r="M156" s="181"/>
      <c r="N156" s="651"/>
    </row>
    <row r="157" spans="1:15" s="637" customFormat="1" ht="14.25" customHeight="1" x14ac:dyDescent="0.2">
      <c r="A157" s="19"/>
      <c r="B157" s="32" t="s">
        <v>36</v>
      </c>
      <c r="C157" s="36" t="s">
        <v>39</v>
      </c>
      <c r="D157" s="19">
        <v>1</v>
      </c>
      <c r="E157" s="34">
        <f>E156*D157</f>
        <v>1</v>
      </c>
      <c r="F157" s="1158"/>
      <c r="G157" s="18">
        <f>E157*F157</f>
        <v>0</v>
      </c>
      <c r="H157" s="635"/>
      <c r="I157" s="635"/>
      <c r="J157" s="26"/>
      <c r="K157" s="18"/>
      <c r="L157" s="18">
        <f t="shared" si="4"/>
        <v>0</v>
      </c>
      <c r="M157" s="114"/>
      <c r="N157" s="636"/>
    </row>
    <row r="158" spans="1:15" s="77" customFormat="1" x14ac:dyDescent="0.2">
      <c r="A158" s="19"/>
      <c r="B158" s="32" t="s">
        <v>41</v>
      </c>
      <c r="C158" s="19"/>
      <c r="D158" s="19"/>
      <c r="E158" s="34"/>
      <c r="F158" s="26"/>
      <c r="G158" s="18"/>
      <c r="H158" s="19"/>
      <c r="I158" s="18"/>
      <c r="J158" s="26"/>
      <c r="K158" s="18"/>
      <c r="L158" s="18"/>
      <c r="M158" s="114"/>
      <c r="N158" s="638"/>
    </row>
    <row r="159" spans="1:15" s="80" customFormat="1" ht="26.25" x14ac:dyDescent="0.25">
      <c r="A159" s="34"/>
      <c r="B159" s="22" t="s">
        <v>395</v>
      </c>
      <c r="C159" s="36" t="s">
        <v>39</v>
      </c>
      <c r="D159" s="34">
        <v>1</v>
      </c>
      <c r="E159" s="34">
        <f>E156*D159</f>
        <v>1</v>
      </c>
      <c r="F159" s="657"/>
      <c r="G159" s="657"/>
      <c r="H159" s="1159"/>
      <c r="I159" s="25">
        <f>E159*H159</f>
        <v>0</v>
      </c>
      <c r="J159" s="37"/>
      <c r="K159" s="25"/>
      <c r="L159" s="25">
        <f t="shared" si="4"/>
        <v>0</v>
      </c>
      <c r="M159" s="656"/>
      <c r="N159" s="658"/>
    </row>
    <row r="160" spans="1:15" s="183" customFormat="1" ht="26.25" customHeight="1" x14ac:dyDescent="0.25">
      <c r="A160" s="21">
        <v>3</v>
      </c>
      <c r="B160" s="33" t="s">
        <v>373</v>
      </c>
      <c r="C160" s="27" t="s">
        <v>20</v>
      </c>
      <c r="D160" s="639"/>
      <c r="E160" s="639">
        <f>E162</f>
        <v>12</v>
      </c>
      <c r="F160" s="640"/>
      <c r="G160" s="640"/>
      <c r="H160" s="640"/>
      <c r="I160" s="640"/>
      <c r="J160" s="640"/>
      <c r="K160" s="640"/>
      <c r="L160" s="640"/>
      <c r="M160" s="653"/>
      <c r="N160" s="642"/>
      <c r="O160" s="642"/>
    </row>
    <row r="161" spans="1:15" s="183" customFormat="1" ht="17.25" customHeight="1" x14ac:dyDescent="0.25">
      <c r="A161" s="21"/>
      <c r="B161" s="22" t="s">
        <v>11</v>
      </c>
      <c r="C161" s="34" t="s">
        <v>20</v>
      </c>
      <c r="D161" s="643"/>
      <c r="E161" s="23">
        <f>E160</f>
        <v>12</v>
      </c>
      <c r="F161" s="1159"/>
      <c r="G161" s="640">
        <f>F161*E161</f>
        <v>0</v>
      </c>
      <c r="H161" s="633"/>
      <c r="I161" s="633"/>
      <c r="J161" s="640"/>
      <c r="K161" s="640"/>
      <c r="L161" s="25">
        <f t="shared" si="4"/>
        <v>0</v>
      </c>
      <c r="M161" s="653"/>
      <c r="N161" s="642"/>
      <c r="O161" s="642"/>
    </row>
    <row r="162" spans="1:15" s="183" customFormat="1" ht="27" customHeight="1" x14ac:dyDescent="0.25">
      <c r="A162" s="21"/>
      <c r="B162" s="22" t="s">
        <v>443</v>
      </c>
      <c r="C162" s="34" t="s">
        <v>20</v>
      </c>
      <c r="D162" s="644" t="s">
        <v>374</v>
      </c>
      <c r="E162" s="644">
        <v>12</v>
      </c>
      <c r="F162" s="633"/>
      <c r="G162" s="633"/>
      <c r="H162" s="1159"/>
      <c r="I162" s="640">
        <f>H162*E162</f>
        <v>0</v>
      </c>
      <c r="J162" s="640"/>
      <c r="K162" s="640"/>
      <c r="L162" s="25">
        <f t="shared" si="4"/>
        <v>0</v>
      </c>
      <c r="M162" s="654"/>
      <c r="N162" s="642"/>
      <c r="O162" s="642"/>
    </row>
    <row r="163" spans="1:15" s="183" customFormat="1" ht="19.5" customHeight="1" x14ac:dyDescent="0.25">
      <c r="A163" s="21"/>
      <c r="B163" s="22" t="s">
        <v>394</v>
      </c>
      <c r="C163" s="34" t="s">
        <v>20</v>
      </c>
      <c r="D163" s="644" t="s">
        <v>374</v>
      </c>
      <c r="E163" s="644">
        <v>1</v>
      </c>
      <c r="F163" s="633"/>
      <c r="G163" s="633"/>
      <c r="H163" s="1159"/>
      <c r="I163" s="640">
        <f>H163*E163</f>
        <v>0</v>
      </c>
      <c r="J163" s="640"/>
      <c r="K163" s="640"/>
      <c r="L163" s="25">
        <f t="shared" si="4"/>
        <v>0</v>
      </c>
      <c r="M163" s="653"/>
      <c r="N163" s="642"/>
      <c r="O163" s="642"/>
    </row>
    <row r="164" spans="1:15" s="183" customFormat="1" ht="18.75" customHeight="1" x14ac:dyDescent="0.25">
      <c r="A164" s="21"/>
      <c r="B164" s="352" t="s">
        <v>393</v>
      </c>
      <c r="C164" s="34" t="s">
        <v>20</v>
      </c>
      <c r="D164" s="644" t="s">
        <v>374</v>
      </c>
      <c r="E164" s="644">
        <v>1</v>
      </c>
      <c r="F164" s="633"/>
      <c r="G164" s="633"/>
      <c r="H164" s="1159"/>
      <c r="I164" s="640">
        <f>H164*E164</f>
        <v>0</v>
      </c>
      <c r="J164" s="640"/>
      <c r="K164" s="640"/>
      <c r="L164" s="25">
        <f t="shared" si="4"/>
        <v>0</v>
      </c>
      <c r="M164" s="655"/>
      <c r="N164" s="642"/>
      <c r="O164" s="642"/>
    </row>
    <row r="165" spans="1:15" s="183" customFormat="1" ht="29.25" customHeight="1" x14ac:dyDescent="0.25">
      <c r="A165" s="21"/>
      <c r="B165" s="645" t="s">
        <v>375</v>
      </c>
      <c r="C165" s="34" t="s">
        <v>20</v>
      </c>
      <c r="D165" s="644" t="s">
        <v>374</v>
      </c>
      <c r="E165" s="644">
        <v>1</v>
      </c>
      <c r="F165" s="633"/>
      <c r="G165" s="633"/>
      <c r="H165" s="1159"/>
      <c r="I165" s="640">
        <f>H165*E165</f>
        <v>0</v>
      </c>
      <c r="J165" s="640"/>
      <c r="K165" s="640"/>
      <c r="L165" s="25">
        <f t="shared" si="4"/>
        <v>0</v>
      </c>
      <c r="M165" s="656"/>
      <c r="N165" s="642"/>
      <c r="O165" s="642"/>
    </row>
    <row r="166" spans="1:15" s="183" customFormat="1" ht="27.75" customHeight="1" x14ac:dyDescent="0.25">
      <c r="A166" s="21">
        <v>4</v>
      </c>
      <c r="B166" s="33" t="s">
        <v>376</v>
      </c>
      <c r="C166" s="27" t="s">
        <v>34</v>
      </c>
      <c r="D166" s="21"/>
      <c r="E166" s="639">
        <f>120+120+120+120+30+30+100+210+210+50+84+300</f>
        <v>1494</v>
      </c>
      <c r="F166" s="640"/>
      <c r="G166" s="640"/>
      <c r="H166" s="640"/>
      <c r="I166" s="640"/>
      <c r="J166" s="640"/>
      <c r="K166" s="640"/>
      <c r="L166" s="640"/>
      <c r="M166" s="641"/>
      <c r="N166" s="642"/>
      <c r="O166" s="642"/>
    </row>
    <row r="167" spans="1:15" s="183" customFormat="1" x14ac:dyDescent="0.25">
      <c r="A167" s="21"/>
      <c r="B167" s="39" t="s">
        <v>36</v>
      </c>
      <c r="C167" s="34" t="s">
        <v>37</v>
      </c>
      <c r="D167" s="34">
        <v>0.28000000000000003</v>
      </c>
      <c r="E167" s="25">
        <f>E166*D167</f>
        <v>418.32000000000005</v>
      </c>
      <c r="F167" s="1153"/>
      <c r="G167" s="25">
        <f>E167*F167</f>
        <v>0</v>
      </c>
      <c r="H167" s="633"/>
      <c r="I167" s="633"/>
      <c r="J167" s="37"/>
      <c r="K167" s="25"/>
      <c r="L167" s="25">
        <f t="shared" si="4"/>
        <v>0</v>
      </c>
      <c r="M167" s="641"/>
      <c r="N167" s="642"/>
      <c r="O167" s="642"/>
    </row>
    <row r="168" spans="1:15" s="69" customFormat="1" x14ac:dyDescent="0.25">
      <c r="A168" s="21"/>
      <c r="B168" s="39" t="s">
        <v>40</v>
      </c>
      <c r="C168" s="34" t="s">
        <v>15</v>
      </c>
      <c r="D168" s="89">
        <v>1.6999999999999999E-3</v>
      </c>
      <c r="E168" s="25">
        <f>E166*D168</f>
        <v>2.5398000000000001</v>
      </c>
      <c r="F168" s="34"/>
      <c r="G168" s="25"/>
      <c r="H168" s="37"/>
      <c r="I168" s="25"/>
      <c r="J168" s="1128"/>
      <c r="K168" s="25">
        <f>E168*J168</f>
        <v>0</v>
      </c>
      <c r="L168" s="25">
        <f t="shared" si="4"/>
        <v>0</v>
      </c>
      <c r="M168" s="641"/>
      <c r="N168" s="642"/>
      <c r="O168" s="642"/>
    </row>
    <row r="169" spans="1:15" s="183" customFormat="1" x14ac:dyDescent="0.25">
      <c r="A169" s="21"/>
      <c r="B169" s="22" t="s">
        <v>401</v>
      </c>
      <c r="C169" s="34" t="s">
        <v>43</v>
      </c>
      <c r="D169" s="34">
        <v>1</v>
      </c>
      <c r="E169" s="40">
        <f>E166*D169</f>
        <v>1494</v>
      </c>
      <c r="F169" s="633"/>
      <c r="G169" s="633"/>
      <c r="H169" s="1171"/>
      <c r="I169" s="25">
        <f>E169*H169</f>
        <v>0</v>
      </c>
      <c r="J169" s="37"/>
      <c r="K169" s="25"/>
      <c r="L169" s="25">
        <f t="shared" si="4"/>
        <v>0</v>
      </c>
      <c r="M169" s="641"/>
      <c r="N169" s="642"/>
      <c r="O169" s="642"/>
    </row>
    <row r="170" spans="1:15" s="183" customFormat="1" ht="27" x14ac:dyDescent="0.25">
      <c r="A170" s="21"/>
      <c r="B170" s="219" t="s">
        <v>403</v>
      </c>
      <c r="C170" s="279" t="s">
        <v>43</v>
      </c>
      <c r="D170" s="279"/>
      <c r="E170" s="246">
        <f>560+200</f>
        <v>760</v>
      </c>
      <c r="F170" s="633"/>
      <c r="G170" s="633"/>
      <c r="H170" s="1171"/>
      <c r="I170" s="129">
        <f>H170*E170</f>
        <v>0</v>
      </c>
      <c r="J170" s="161"/>
      <c r="K170" s="129"/>
      <c r="L170" s="129">
        <f t="shared" si="4"/>
        <v>0</v>
      </c>
      <c r="M170" s="641"/>
      <c r="N170" s="642"/>
      <c r="O170" s="642"/>
    </row>
    <row r="171" spans="1:15" s="183" customFormat="1" x14ac:dyDescent="0.25">
      <c r="A171" s="21"/>
      <c r="B171" s="39" t="s">
        <v>42</v>
      </c>
      <c r="C171" s="34" t="s">
        <v>15</v>
      </c>
      <c r="D171" s="89">
        <v>0.42149999999999999</v>
      </c>
      <c r="E171" s="25">
        <f>E166*D171</f>
        <v>629.721</v>
      </c>
      <c r="F171" s="633"/>
      <c r="G171" s="633"/>
      <c r="H171" s="1128"/>
      <c r="I171" s="25">
        <f>E171*H171</f>
        <v>0</v>
      </c>
      <c r="J171" s="37"/>
      <c r="K171" s="25"/>
      <c r="L171" s="25">
        <f t="shared" si="4"/>
        <v>0</v>
      </c>
      <c r="M171" s="641"/>
      <c r="N171" s="642"/>
      <c r="O171" s="642"/>
    </row>
    <row r="172" spans="1:15" s="197" customFormat="1" x14ac:dyDescent="0.2">
      <c r="A172" s="21">
        <v>5</v>
      </c>
      <c r="B172" s="15" t="s">
        <v>400</v>
      </c>
      <c r="C172" s="14" t="s">
        <v>21</v>
      </c>
      <c r="D172" s="16"/>
      <c r="E172" s="14">
        <v>1</v>
      </c>
      <c r="F172" s="17"/>
      <c r="G172" s="16"/>
      <c r="H172" s="17"/>
      <c r="I172" s="16"/>
      <c r="J172" s="17"/>
      <c r="K172" s="17"/>
      <c r="L172" s="646"/>
      <c r="M172" s="647"/>
      <c r="N172" s="648"/>
      <c r="O172" s="648"/>
    </row>
    <row r="173" spans="1:15" s="183" customFormat="1" x14ac:dyDescent="0.25">
      <c r="A173" s="21"/>
      <c r="B173" s="32" t="s">
        <v>46</v>
      </c>
      <c r="C173" s="19" t="s">
        <v>37</v>
      </c>
      <c r="D173" s="19">
        <v>10</v>
      </c>
      <c r="E173" s="34">
        <f>E172*D173</f>
        <v>10</v>
      </c>
      <c r="F173" s="1153"/>
      <c r="G173" s="18">
        <f>E173*F173</f>
        <v>0</v>
      </c>
      <c r="H173" s="633"/>
      <c r="I173" s="633"/>
      <c r="J173" s="26"/>
      <c r="K173" s="18"/>
      <c r="L173" s="18">
        <f t="shared" si="4"/>
        <v>0</v>
      </c>
      <c r="M173" s="641"/>
      <c r="N173" s="642"/>
      <c r="O173" s="642"/>
    </row>
    <row r="174" spans="1:15" s="183" customFormat="1" x14ac:dyDescent="0.25">
      <c r="A174" s="21"/>
      <c r="B174" s="32" t="s">
        <v>40</v>
      </c>
      <c r="C174" s="19" t="s">
        <v>15</v>
      </c>
      <c r="D174" s="19">
        <v>1.78</v>
      </c>
      <c r="E174" s="25">
        <f>E172*D174</f>
        <v>1.78</v>
      </c>
      <c r="F174" s="19"/>
      <c r="G174" s="18"/>
      <c r="H174" s="26"/>
      <c r="I174" s="18"/>
      <c r="J174" s="1128"/>
      <c r="K174" s="18">
        <f>E174*J174</f>
        <v>0</v>
      </c>
      <c r="L174" s="18">
        <f t="shared" si="4"/>
        <v>0</v>
      </c>
      <c r="M174" s="641"/>
      <c r="N174" s="642"/>
      <c r="O174" s="642"/>
    </row>
    <row r="175" spans="1:15" s="183" customFormat="1" x14ac:dyDescent="0.25">
      <c r="A175" s="21"/>
      <c r="B175" s="20" t="s">
        <v>399</v>
      </c>
      <c r="C175" s="19" t="s">
        <v>21</v>
      </c>
      <c r="D175" s="19">
        <v>1</v>
      </c>
      <c r="E175" s="18">
        <f>E172*D175</f>
        <v>1</v>
      </c>
      <c r="F175" s="633"/>
      <c r="G175" s="633"/>
      <c r="H175" s="1172"/>
      <c r="I175" s="18">
        <f>E175*H175</f>
        <v>0</v>
      </c>
      <c r="J175" s="26"/>
      <c r="K175" s="18"/>
      <c r="L175" s="18">
        <f t="shared" si="4"/>
        <v>0</v>
      </c>
      <c r="M175" s="641"/>
      <c r="N175" s="642"/>
      <c r="O175" s="642"/>
    </row>
    <row r="176" spans="1:15" s="183" customFormat="1" x14ac:dyDescent="0.25">
      <c r="A176" s="21"/>
      <c r="B176" s="32" t="s">
        <v>42</v>
      </c>
      <c r="C176" s="19" t="s">
        <v>15</v>
      </c>
      <c r="D176" s="19">
        <v>13.7</v>
      </c>
      <c r="E176" s="18">
        <f>E172*D176</f>
        <v>13.7</v>
      </c>
      <c r="F176" s="633"/>
      <c r="G176" s="633"/>
      <c r="H176" s="1128"/>
      <c r="I176" s="18">
        <f>E176*H176</f>
        <v>0</v>
      </c>
      <c r="J176" s="26"/>
      <c r="K176" s="18"/>
      <c r="L176" s="18">
        <f t="shared" si="4"/>
        <v>0</v>
      </c>
      <c r="M176" s="641"/>
      <c r="N176" s="642"/>
      <c r="O176" s="642"/>
    </row>
    <row r="177" spans="1:15" s="197" customFormat="1" x14ac:dyDescent="0.25">
      <c r="A177" s="21">
        <v>7</v>
      </c>
      <c r="B177" s="15" t="s">
        <v>396</v>
      </c>
      <c r="C177" s="14" t="s">
        <v>21</v>
      </c>
      <c r="D177" s="14"/>
      <c r="E177" s="16">
        <v>1</v>
      </c>
      <c r="F177" s="14"/>
      <c r="G177" s="17"/>
      <c r="H177" s="16"/>
      <c r="I177" s="17"/>
      <c r="J177" s="16"/>
      <c r="K177" s="17"/>
      <c r="L177" s="17"/>
      <c r="M177" s="647"/>
      <c r="N177" s="648"/>
      <c r="O177" s="648"/>
    </row>
    <row r="178" spans="1:15" s="183" customFormat="1" ht="14.25" customHeight="1" x14ac:dyDescent="0.25">
      <c r="A178" s="21"/>
      <c r="B178" s="32" t="s">
        <v>46</v>
      </c>
      <c r="C178" s="19" t="s">
        <v>37</v>
      </c>
      <c r="D178" s="38">
        <v>3</v>
      </c>
      <c r="E178" s="34">
        <f>E177*D178</f>
        <v>3</v>
      </c>
      <c r="F178" s="1153"/>
      <c r="G178" s="18">
        <f>E178*F178</f>
        <v>0</v>
      </c>
      <c r="H178" s="633"/>
      <c r="I178" s="633"/>
      <c r="J178" s="26"/>
      <c r="K178" s="18"/>
      <c r="L178" s="18">
        <f t="shared" si="4"/>
        <v>0</v>
      </c>
      <c r="M178" s="641"/>
      <c r="N178" s="642"/>
      <c r="O178" s="642"/>
    </row>
    <row r="179" spans="1:15" s="183" customFormat="1" ht="14.25" customHeight="1" x14ac:dyDescent="0.25">
      <c r="A179" s="21"/>
      <c r="B179" s="32" t="s">
        <v>40</v>
      </c>
      <c r="C179" s="19" t="s">
        <v>15</v>
      </c>
      <c r="D179" s="19">
        <v>0</v>
      </c>
      <c r="E179" s="34">
        <f>E177*D179</f>
        <v>0</v>
      </c>
      <c r="F179" s="19"/>
      <c r="G179" s="18"/>
      <c r="H179" s="26"/>
      <c r="I179" s="18"/>
      <c r="J179" s="1128"/>
      <c r="K179" s="18">
        <f>E179*J179</f>
        <v>0</v>
      </c>
      <c r="L179" s="18">
        <f t="shared" si="4"/>
        <v>0</v>
      </c>
      <c r="M179" s="641"/>
      <c r="N179" s="642"/>
      <c r="O179" s="642"/>
    </row>
    <row r="180" spans="1:15" s="183" customFormat="1" ht="14.25" customHeight="1" x14ac:dyDescent="0.25">
      <c r="A180" s="21"/>
      <c r="B180" s="32" t="s">
        <v>41</v>
      </c>
      <c r="C180" s="19"/>
      <c r="D180" s="19"/>
      <c r="E180" s="34"/>
      <c r="F180" s="19"/>
      <c r="G180" s="18"/>
      <c r="H180" s="26"/>
      <c r="I180" s="18"/>
      <c r="J180" s="26"/>
      <c r="K180" s="18"/>
      <c r="L180" s="18">
        <f t="shared" si="4"/>
        <v>0</v>
      </c>
      <c r="M180" s="641"/>
      <c r="N180" s="642"/>
      <c r="O180" s="642"/>
    </row>
    <row r="181" spans="1:15" s="183" customFormat="1" ht="14.25" customHeight="1" x14ac:dyDescent="0.25">
      <c r="A181" s="21"/>
      <c r="B181" s="20" t="s">
        <v>397</v>
      </c>
      <c r="C181" s="19" t="s">
        <v>21</v>
      </c>
      <c r="D181" s="19">
        <v>1</v>
      </c>
      <c r="E181" s="19">
        <f>E177*D181</f>
        <v>1</v>
      </c>
      <c r="F181" s="633"/>
      <c r="G181" s="633"/>
      <c r="H181" s="1172"/>
      <c r="I181" s="18">
        <f>E181*H181</f>
        <v>0</v>
      </c>
      <c r="J181" s="26"/>
      <c r="K181" s="18"/>
      <c r="L181" s="18">
        <f t="shared" si="4"/>
        <v>0</v>
      </c>
      <c r="M181" s="641"/>
      <c r="N181" s="642"/>
      <c r="O181" s="642"/>
    </row>
    <row r="182" spans="1:15" s="183" customFormat="1" ht="14.25" customHeight="1" x14ac:dyDescent="0.25">
      <c r="A182" s="21"/>
      <c r="B182" s="32" t="s">
        <v>42</v>
      </c>
      <c r="C182" s="19" t="s">
        <v>15</v>
      </c>
      <c r="D182" s="19">
        <v>7.0000000000000007E-2</v>
      </c>
      <c r="E182" s="34">
        <f>E177*D182</f>
        <v>7.0000000000000007E-2</v>
      </c>
      <c r="F182" s="633"/>
      <c r="G182" s="633"/>
      <c r="H182" s="1128"/>
      <c r="I182" s="18">
        <f>E182*H182</f>
        <v>0</v>
      </c>
      <c r="J182" s="26"/>
      <c r="K182" s="18"/>
      <c r="L182" s="18">
        <f t="shared" si="4"/>
        <v>0</v>
      </c>
      <c r="M182" s="641"/>
      <c r="N182" s="642"/>
      <c r="O182" s="642"/>
    </row>
    <row r="183" spans="1:15" s="197" customFormat="1" ht="14.25" customHeight="1" x14ac:dyDescent="0.25">
      <c r="A183" s="21">
        <v>8</v>
      </c>
      <c r="B183" s="91" t="s">
        <v>398</v>
      </c>
      <c r="C183" s="14" t="s">
        <v>21</v>
      </c>
      <c r="D183" s="14"/>
      <c r="E183" s="17">
        <v>12</v>
      </c>
      <c r="F183" s="14"/>
      <c r="G183" s="17"/>
      <c r="H183" s="16"/>
      <c r="I183" s="17"/>
      <c r="J183" s="16"/>
      <c r="K183" s="17"/>
      <c r="L183" s="17"/>
      <c r="M183" s="647"/>
      <c r="N183" s="648"/>
      <c r="O183" s="648"/>
    </row>
    <row r="184" spans="1:15" s="183" customFormat="1" ht="14.25" customHeight="1" x14ac:dyDescent="0.25">
      <c r="A184" s="21"/>
      <c r="B184" s="32" t="s">
        <v>36</v>
      </c>
      <c r="C184" s="19" t="s">
        <v>37</v>
      </c>
      <c r="D184" s="38">
        <v>3</v>
      </c>
      <c r="E184" s="18">
        <f>E183*D184</f>
        <v>36</v>
      </c>
      <c r="F184" s="1153"/>
      <c r="G184" s="18">
        <f>E184*F184</f>
        <v>0</v>
      </c>
      <c r="H184" s="633"/>
      <c r="I184" s="633"/>
      <c r="J184" s="26"/>
      <c r="K184" s="18"/>
      <c r="L184" s="18">
        <f t="shared" si="4"/>
        <v>0</v>
      </c>
      <c r="M184" s="641"/>
      <c r="N184" s="642"/>
      <c r="O184" s="642"/>
    </row>
    <row r="185" spans="1:15" s="183" customFormat="1" ht="14.25" customHeight="1" x14ac:dyDescent="0.25">
      <c r="A185" s="21"/>
      <c r="B185" s="32" t="s">
        <v>41</v>
      </c>
      <c r="C185" s="19"/>
      <c r="D185" s="19"/>
      <c r="E185" s="18"/>
      <c r="F185" s="26"/>
      <c r="G185" s="18"/>
      <c r="H185" s="19"/>
      <c r="I185" s="18"/>
      <c r="J185" s="26"/>
      <c r="K185" s="18"/>
      <c r="L185" s="18">
        <f t="shared" si="4"/>
        <v>0</v>
      </c>
      <c r="M185" s="641"/>
      <c r="N185" s="642"/>
      <c r="O185" s="642"/>
    </row>
    <row r="186" spans="1:15" s="183" customFormat="1" ht="15.75" customHeight="1" x14ac:dyDescent="0.25">
      <c r="A186" s="21"/>
      <c r="B186" s="32" t="s">
        <v>377</v>
      </c>
      <c r="C186" s="19" t="s">
        <v>21</v>
      </c>
      <c r="D186" s="19">
        <v>1</v>
      </c>
      <c r="E186" s="18">
        <f>E183*D186</f>
        <v>12</v>
      </c>
      <c r="F186" s="633"/>
      <c r="G186" s="633"/>
      <c r="H186" s="1173"/>
      <c r="I186" s="18">
        <f>E186*H186</f>
        <v>0</v>
      </c>
      <c r="J186" s="26"/>
      <c r="K186" s="18"/>
      <c r="L186" s="18">
        <f t="shared" si="4"/>
        <v>0</v>
      </c>
      <c r="M186" s="641"/>
      <c r="N186" s="642"/>
      <c r="O186" s="642"/>
    </row>
    <row r="187" spans="1:15" s="183" customFormat="1" ht="14.25" customHeight="1" x14ac:dyDescent="0.25">
      <c r="A187" s="21"/>
      <c r="B187" s="32" t="s">
        <v>42</v>
      </c>
      <c r="C187" s="19" t="s">
        <v>15</v>
      </c>
      <c r="D187" s="19">
        <v>7.0000000000000007E-2</v>
      </c>
      <c r="E187" s="34">
        <f>E183*D187</f>
        <v>0.84000000000000008</v>
      </c>
      <c r="F187" s="633"/>
      <c r="G187" s="633"/>
      <c r="H187" s="1128"/>
      <c r="I187" s="18">
        <f>E187*H187</f>
        <v>0</v>
      </c>
      <c r="J187" s="26"/>
      <c r="K187" s="18"/>
      <c r="L187" s="18">
        <f t="shared" si="4"/>
        <v>0</v>
      </c>
      <c r="M187" s="641"/>
      <c r="N187" s="642"/>
      <c r="O187" s="642"/>
    </row>
    <row r="188" spans="1:15" s="153" customFormat="1" ht="15" customHeight="1" x14ac:dyDescent="0.2">
      <c r="A188" s="146"/>
      <c r="B188" s="194" t="s">
        <v>82</v>
      </c>
      <c r="C188" s="155"/>
      <c r="D188" s="155"/>
      <c r="E188" s="154"/>
      <c r="F188" s="155"/>
      <c r="G188" s="154">
        <f>SUM(G126:G187)</f>
        <v>0</v>
      </c>
      <c r="H188" s="156"/>
      <c r="I188" s="154">
        <f>SUM(I126:I187)</f>
        <v>0</v>
      </c>
      <c r="J188" s="156"/>
      <c r="K188" s="154">
        <f>SUM(K126:K187)</f>
        <v>0</v>
      </c>
      <c r="L188" s="154">
        <f>SUM(L126:L187)</f>
        <v>0</v>
      </c>
      <c r="M188" s="195"/>
      <c r="N188" s="222"/>
    </row>
    <row r="189" spans="1:15" s="160" customFormat="1" ht="14.25" customHeight="1" x14ac:dyDescent="0.2">
      <c r="A189" s="146"/>
      <c r="B189" s="157" t="s">
        <v>126</v>
      </c>
      <c r="C189" s="146"/>
      <c r="D189" s="146"/>
      <c r="E189" s="158"/>
      <c r="F189" s="146"/>
      <c r="G189" s="147"/>
      <c r="H189" s="147"/>
      <c r="I189" s="147">
        <f>I165+I164+I163+I162+I159+I155+I129</f>
        <v>0</v>
      </c>
      <c r="J189" s="147"/>
      <c r="K189" s="147"/>
      <c r="L189" s="154">
        <f>I189</f>
        <v>0</v>
      </c>
      <c r="M189" s="159"/>
      <c r="N189" s="227"/>
    </row>
    <row r="190" spans="1:15" s="104" customFormat="1" ht="12.75" x14ac:dyDescent="0.25">
      <c r="A190" s="49"/>
      <c r="B190" s="170" t="s">
        <v>67</v>
      </c>
      <c r="C190" s="1155"/>
      <c r="D190" s="52"/>
      <c r="E190" s="50"/>
      <c r="F190" s="51"/>
      <c r="G190" s="51"/>
      <c r="H190" s="51"/>
      <c r="I190" s="51"/>
      <c r="J190" s="51"/>
      <c r="K190" s="661">
        <f>I188*C190</f>
        <v>0</v>
      </c>
      <c r="L190" s="51">
        <f>SUM(I190:K190)</f>
        <v>0</v>
      </c>
    </row>
    <row r="191" spans="1:15" s="103" customFormat="1" ht="12.75" x14ac:dyDescent="0.25">
      <c r="A191" s="43"/>
      <c r="B191" s="170" t="s">
        <v>7</v>
      </c>
      <c r="C191" s="46"/>
      <c r="D191" s="46"/>
      <c r="E191" s="47"/>
      <c r="F191" s="48"/>
      <c r="G191" s="48"/>
      <c r="H191" s="48"/>
      <c r="I191" s="48"/>
      <c r="J191" s="48"/>
      <c r="K191" s="48"/>
      <c r="L191" s="48">
        <f>L188+L190</f>
        <v>0</v>
      </c>
      <c r="M191" s="102"/>
      <c r="N191" s="102"/>
      <c r="O191" s="102"/>
    </row>
    <row r="192" spans="1:15" s="153" customFormat="1" ht="15" customHeight="1" x14ac:dyDescent="0.2">
      <c r="A192" s="146"/>
      <c r="B192" s="152" t="s">
        <v>378</v>
      </c>
      <c r="C192" s="1175"/>
      <c r="D192" s="696"/>
      <c r="E192" s="147"/>
      <c r="F192" s="146"/>
      <c r="G192" s="147"/>
      <c r="H192" s="147"/>
      <c r="I192" s="147">
        <f>L192</f>
        <v>0</v>
      </c>
      <c r="J192" s="147"/>
      <c r="K192" s="147"/>
      <c r="L192" s="154">
        <f>G188*C192</f>
        <v>0</v>
      </c>
      <c r="M192" s="150"/>
      <c r="N192" s="222"/>
    </row>
    <row r="193" spans="1:14" s="153" customFormat="1" ht="15.75" customHeight="1" x14ac:dyDescent="0.2">
      <c r="A193" s="146"/>
      <c r="B193" s="152" t="s">
        <v>82</v>
      </c>
      <c r="C193" s="146"/>
      <c r="D193" s="146"/>
      <c r="E193" s="147"/>
      <c r="F193" s="146"/>
      <c r="G193" s="147"/>
      <c r="H193" s="147"/>
      <c r="I193" s="147"/>
      <c r="J193" s="147"/>
      <c r="K193" s="147"/>
      <c r="L193" s="154">
        <f>L191+L192</f>
        <v>0</v>
      </c>
      <c r="M193" s="150"/>
      <c r="N193" s="222"/>
    </row>
    <row r="194" spans="1:14" s="163" customFormat="1" x14ac:dyDescent="0.25">
      <c r="A194" s="146"/>
      <c r="B194" s="152" t="s">
        <v>198</v>
      </c>
      <c r="C194" s="1176"/>
      <c r="D194" s="697"/>
      <c r="E194" s="161"/>
      <c r="F194" s="146"/>
      <c r="G194" s="147"/>
      <c r="H194" s="147"/>
      <c r="I194" s="147"/>
      <c r="J194" s="147"/>
      <c r="K194" s="147"/>
      <c r="L194" s="154">
        <f>(L193-L189)*C194</f>
        <v>0</v>
      </c>
      <c r="M194" s="162"/>
      <c r="N194" s="162"/>
    </row>
    <row r="195" spans="1:14" s="163" customFormat="1" x14ac:dyDescent="0.25">
      <c r="A195" s="146"/>
      <c r="B195" s="157" t="s">
        <v>7</v>
      </c>
      <c r="C195" s="146"/>
      <c r="D195" s="279"/>
      <c r="E195" s="161"/>
      <c r="F195" s="146"/>
      <c r="G195" s="147"/>
      <c r="H195" s="147"/>
      <c r="I195" s="147"/>
      <c r="J195" s="147"/>
      <c r="K195" s="147"/>
      <c r="L195" s="154">
        <f>L193+L194</f>
        <v>0</v>
      </c>
      <c r="M195" s="195"/>
      <c r="N195" s="162"/>
    </row>
    <row r="196" spans="1:14" s="234" customFormat="1" x14ac:dyDescent="0.25">
      <c r="A196" s="228"/>
      <c r="B196" s="22" t="s">
        <v>141</v>
      </c>
      <c r="C196" s="230"/>
      <c r="D196" s="230"/>
      <c r="E196" s="231"/>
      <c r="F196" s="232"/>
      <c r="G196" s="229"/>
      <c r="H196" s="229"/>
      <c r="I196" s="229"/>
      <c r="J196" s="229"/>
      <c r="K196" s="229"/>
      <c r="L196" s="243">
        <f>L195+L124</f>
        <v>0</v>
      </c>
    </row>
    <row r="197" spans="1:14" s="234" customFormat="1" x14ac:dyDescent="0.25">
      <c r="A197" s="235"/>
      <c r="B197" s="236"/>
      <c r="C197" s="237"/>
      <c r="D197" s="237"/>
      <c r="E197" s="238"/>
      <c r="F197" s="239"/>
    </row>
    <row r="198" spans="1:14" s="234" customFormat="1" x14ac:dyDescent="0.25">
      <c r="A198" s="235"/>
      <c r="B198" s="236"/>
      <c r="C198" s="237"/>
      <c r="D198" s="237"/>
      <c r="E198" s="238"/>
      <c r="F198" s="239"/>
    </row>
  </sheetData>
  <autoFilter ref="A7:L196"/>
  <mergeCells count="12">
    <mergeCell ref="A4:G4"/>
    <mergeCell ref="H4:L4"/>
    <mergeCell ref="A2:L2"/>
    <mergeCell ref="A3:L3"/>
    <mergeCell ref="H5:I5"/>
    <mergeCell ref="J5:K5"/>
    <mergeCell ref="L5:L6"/>
    <mergeCell ref="A5:A6"/>
    <mergeCell ref="B5:B6"/>
    <mergeCell ref="C5:C6"/>
    <mergeCell ref="D5:E5"/>
    <mergeCell ref="F5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r:id="rId1"/>
  <rowBreaks count="4" manualBreakCount="4">
    <brk id="39" max="12" man="1"/>
    <brk id="80" max="12" man="1"/>
    <brk id="120" max="12" man="1"/>
    <brk id="15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5"/>
  <sheetViews>
    <sheetView view="pageBreakPreview" topLeftCell="A219" zoomScale="80" zoomScaleNormal="100" zoomScaleSheetLayoutView="80" workbookViewId="0">
      <selection activeCell="E238" sqref="E238"/>
    </sheetView>
  </sheetViews>
  <sheetFormatPr defaultColWidth="9.140625" defaultRowHeight="13.5" x14ac:dyDescent="0.25"/>
  <cols>
    <col min="1" max="1" width="7" style="3" customWidth="1"/>
    <col min="2" max="2" width="50.7109375" style="10" customWidth="1"/>
    <col min="3" max="3" width="8.7109375" style="87" customWidth="1"/>
    <col min="4" max="4" width="8.140625" style="87" customWidth="1"/>
    <col min="5" max="5" width="10.5703125" style="240" customWidth="1"/>
    <col min="6" max="6" width="7" style="11" customWidth="1"/>
    <col min="7" max="7" width="11" style="11" customWidth="1"/>
    <col min="8" max="8" width="8.140625" style="11" customWidth="1"/>
    <col min="9" max="9" width="10.28515625" style="11" customWidth="1"/>
    <col min="10" max="10" width="7" style="11" customWidth="1"/>
    <col min="11" max="11" width="10.85546875" style="11" customWidth="1"/>
    <col min="12" max="12" width="10.5703125" style="11" customWidth="1"/>
    <col min="13" max="13" width="12.85546875" style="58" customWidth="1"/>
    <col min="14" max="18" width="9.140625" style="58"/>
    <col min="19" max="19" width="16" style="58" customWidth="1"/>
    <col min="20" max="61" width="9.140625" style="58"/>
    <col min="62" max="16384" width="9.140625" style="11"/>
  </cols>
  <sheetData>
    <row r="1" spans="1:61" s="9" customFormat="1" ht="15.75" x14ac:dyDescent="0.3">
      <c r="A1" s="996"/>
      <c r="B1" s="998"/>
      <c r="C1" s="997"/>
      <c r="D1" s="997"/>
      <c r="E1" s="999"/>
      <c r="F1" s="1000"/>
      <c r="G1" s="1001"/>
      <c r="H1" s="1001"/>
      <c r="I1" s="1001"/>
      <c r="J1" s="1001"/>
      <c r="K1" s="1111"/>
      <c r="L1" s="1112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</row>
    <row r="2" spans="1:61" s="1" customFormat="1" ht="16.5" x14ac:dyDescent="0.25">
      <c r="A2" s="1113"/>
      <c r="B2" s="1114"/>
      <c r="C2" s="1114"/>
      <c r="D2" s="1114"/>
      <c r="E2" s="1114"/>
      <c r="F2" s="1114"/>
      <c r="G2" s="1114"/>
      <c r="H2" s="1114"/>
      <c r="I2" s="1114"/>
      <c r="J2" s="1114"/>
      <c r="K2" s="1115"/>
      <c r="L2" s="11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s="1" customFormat="1" ht="16.5" x14ac:dyDescent="0.25">
      <c r="A3" s="1002"/>
      <c r="B3" s="1003"/>
      <c r="C3" s="1003"/>
      <c r="D3" s="1003"/>
      <c r="E3" s="1004"/>
      <c r="F3" s="1005"/>
      <c r="G3" s="7"/>
      <c r="H3" s="7"/>
      <c r="I3" s="7"/>
      <c r="J3" s="7"/>
      <c r="K3" s="7"/>
      <c r="L3" s="1006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s="1" customFormat="1" ht="16.5" x14ac:dyDescent="0.25">
      <c r="A4" s="1117" t="s">
        <v>233</v>
      </c>
      <c r="B4" s="1118"/>
      <c r="C4" s="1118"/>
      <c r="D4" s="1118"/>
      <c r="E4" s="1118"/>
      <c r="F4" s="1118"/>
      <c r="G4" s="1118"/>
      <c r="H4" s="1118"/>
      <c r="I4" s="1118"/>
      <c r="J4" s="1118"/>
      <c r="K4" s="1118"/>
      <c r="L4" s="1119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s="1" customFormat="1" ht="16.5" x14ac:dyDescent="0.25">
      <c r="A5" s="1117" t="s">
        <v>128</v>
      </c>
      <c r="B5" s="1118"/>
      <c r="C5" s="1118"/>
      <c r="D5" s="1118"/>
      <c r="E5" s="1118"/>
      <c r="F5" s="1118"/>
      <c r="G5" s="1118"/>
      <c r="H5" s="1118"/>
      <c r="I5" s="1118"/>
      <c r="J5" s="1118"/>
      <c r="K5" s="1118"/>
      <c r="L5" s="1119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5.75" x14ac:dyDescent="0.25">
      <c r="A6" s="1105"/>
      <c r="B6" s="1106"/>
      <c r="C6" s="1106"/>
      <c r="D6" s="1106"/>
      <c r="E6" s="98"/>
      <c r="F6" s="1007"/>
      <c r="G6" s="58"/>
      <c r="H6" s="58"/>
      <c r="I6" s="58"/>
      <c r="J6" s="58"/>
      <c r="K6" s="58"/>
      <c r="L6" s="1008"/>
    </row>
    <row r="7" spans="1:61" ht="15.75" x14ac:dyDescent="0.25">
      <c r="A7" s="1105"/>
      <c r="B7" s="1106"/>
      <c r="C7" s="1009"/>
      <c r="D7" s="1009"/>
      <c r="E7" s="1010"/>
      <c r="F7" s="1011"/>
      <c r="G7" s="58"/>
      <c r="H7" s="58"/>
      <c r="I7" s="58"/>
      <c r="J7" s="58"/>
      <c r="K7" s="58"/>
      <c r="L7" s="1008"/>
    </row>
    <row r="8" spans="1:61" s="59" customFormat="1" ht="29.25" customHeight="1" x14ac:dyDescent="0.25">
      <c r="A8" s="1107" t="s">
        <v>0</v>
      </c>
      <c r="B8" s="1109" t="s">
        <v>1</v>
      </c>
      <c r="C8" s="1109" t="s">
        <v>2</v>
      </c>
      <c r="D8" s="1103" t="s">
        <v>3</v>
      </c>
      <c r="E8" s="1104"/>
      <c r="F8" s="1098" t="s">
        <v>4</v>
      </c>
      <c r="G8" s="1099"/>
      <c r="H8" s="1098" t="s">
        <v>5</v>
      </c>
      <c r="I8" s="1099"/>
      <c r="J8" s="1098" t="s">
        <v>6</v>
      </c>
      <c r="K8" s="1099"/>
      <c r="L8" s="1100" t="s">
        <v>7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</row>
    <row r="9" spans="1:61" s="59" customFormat="1" ht="23.25" customHeight="1" x14ac:dyDescent="0.25">
      <c r="A9" s="1108"/>
      <c r="B9" s="1110"/>
      <c r="C9" s="1110"/>
      <c r="D9" s="12" t="s">
        <v>8</v>
      </c>
      <c r="E9" s="214" t="s">
        <v>9</v>
      </c>
      <c r="F9" s="13" t="s">
        <v>8</v>
      </c>
      <c r="G9" s="13" t="s">
        <v>9</v>
      </c>
      <c r="H9" s="13" t="s">
        <v>8</v>
      </c>
      <c r="I9" s="13" t="s">
        <v>9</v>
      </c>
      <c r="J9" s="13" t="s">
        <v>8</v>
      </c>
      <c r="K9" s="13" t="s">
        <v>9</v>
      </c>
      <c r="L9" s="1101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</row>
    <row r="10" spans="1:61" s="61" customFormat="1" ht="17.25" customHeight="1" thickBot="1" x14ac:dyDescent="0.3">
      <c r="A10" s="1012">
        <v>1</v>
      </c>
      <c r="B10" s="494">
        <v>3</v>
      </c>
      <c r="C10" s="494">
        <v>4</v>
      </c>
      <c r="D10" s="494">
        <v>5</v>
      </c>
      <c r="E10" s="495">
        <v>6</v>
      </c>
      <c r="F10" s="494">
        <v>9</v>
      </c>
      <c r="G10" s="494">
        <v>10</v>
      </c>
      <c r="H10" s="494">
        <v>7</v>
      </c>
      <c r="I10" s="494">
        <v>8</v>
      </c>
      <c r="J10" s="494">
        <v>11</v>
      </c>
      <c r="K10" s="494">
        <v>12</v>
      </c>
      <c r="L10" s="1013">
        <v>13</v>
      </c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</row>
    <row r="11" spans="1:61" s="71" customFormat="1" ht="12.75" x14ac:dyDescent="0.25">
      <c r="A11" s="710"/>
      <c r="B11" s="712" t="s">
        <v>313</v>
      </c>
      <c r="C11" s="713"/>
      <c r="D11" s="713"/>
      <c r="E11" s="711"/>
      <c r="F11" s="711"/>
      <c r="G11" s="714"/>
      <c r="H11" s="711"/>
      <c r="I11" s="714"/>
      <c r="J11" s="711"/>
      <c r="K11" s="714"/>
      <c r="L11" s="715"/>
      <c r="M11" s="496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Y11" s="496"/>
      <c r="Z11" s="496"/>
      <c r="AA11" s="496"/>
      <c r="AB11" s="496"/>
      <c r="AC11" s="496"/>
      <c r="AD11" s="496"/>
      <c r="AE11" s="496"/>
      <c r="AF11" s="496"/>
      <c r="AG11" s="496"/>
      <c r="AH11" s="496"/>
      <c r="AI11" s="496"/>
      <c r="AJ11" s="496"/>
      <c r="AK11" s="496"/>
      <c r="AL11" s="496"/>
      <c r="AM11" s="496"/>
      <c r="AN11" s="496"/>
      <c r="AO11" s="496"/>
      <c r="AP11" s="496"/>
      <c r="AQ11" s="496"/>
      <c r="AR11" s="496"/>
      <c r="AS11" s="496"/>
      <c r="AT11" s="496"/>
      <c r="AU11" s="496"/>
      <c r="AV11" s="496"/>
      <c r="AW11" s="496"/>
      <c r="AX11" s="496"/>
      <c r="AY11" s="496"/>
      <c r="AZ11" s="496"/>
      <c r="BA11" s="496"/>
      <c r="BB11" s="496"/>
      <c r="BC11" s="496"/>
      <c r="BD11" s="496"/>
      <c r="BE11" s="496"/>
      <c r="BF11" s="496"/>
      <c r="BG11" s="496"/>
      <c r="BH11" s="496"/>
      <c r="BI11" s="496"/>
    </row>
    <row r="12" spans="1:61" s="300" customFormat="1" ht="15.75" x14ac:dyDescent="0.25">
      <c r="A12" s="709">
        <v>1</v>
      </c>
      <c r="B12" s="295" t="s">
        <v>368</v>
      </c>
      <c r="C12" s="451" t="s">
        <v>12</v>
      </c>
      <c r="D12" s="451"/>
      <c r="E12" s="296">
        <v>5.2</v>
      </c>
      <c r="F12" s="297"/>
      <c r="G12" s="297"/>
      <c r="H12" s="297"/>
      <c r="I12" s="297"/>
      <c r="J12" s="297"/>
      <c r="K12" s="297"/>
      <c r="L12" s="497"/>
      <c r="M12" s="299"/>
      <c r="N12" s="299"/>
      <c r="O12" s="299"/>
    </row>
    <row r="13" spans="1:61" s="135" customFormat="1" ht="15.75" customHeight="1" x14ac:dyDescent="0.3">
      <c r="A13" s="498"/>
      <c r="B13" s="301" t="s">
        <v>91</v>
      </c>
      <c r="C13" s="302" t="s">
        <v>92</v>
      </c>
      <c r="D13" s="303">
        <v>2.78</v>
      </c>
      <c r="E13" s="302">
        <f>D13*E12</f>
        <v>14.456</v>
      </c>
      <c r="F13" s="1177"/>
      <c r="G13" s="304">
        <f>E13*F13</f>
        <v>0</v>
      </c>
      <c r="H13" s="304"/>
      <c r="I13" s="304"/>
      <c r="J13" s="304"/>
      <c r="K13" s="304"/>
      <c r="L13" s="499">
        <f>G13+I13+K13</f>
        <v>0</v>
      </c>
      <c r="M13" s="305"/>
      <c r="N13" s="305"/>
      <c r="O13" s="305"/>
    </row>
    <row r="14" spans="1:61" s="299" customFormat="1" ht="15.75" x14ac:dyDescent="0.25">
      <c r="A14" s="709">
        <v>2</v>
      </c>
      <c r="B14" s="295" t="s">
        <v>314</v>
      </c>
      <c r="C14" s="306" t="s">
        <v>12</v>
      </c>
      <c r="D14" s="307"/>
      <c r="E14" s="296">
        <f>E12</f>
        <v>5.2</v>
      </c>
      <c r="F14" s="297"/>
      <c r="G14" s="297"/>
      <c r="H14" s="297"/>
      <c r="I14" s="297"/>
      <c r="J14" s="297"/>
      <c r="K14" s="297"/>
      <c r="L14" s="500"/>
      <c r="M14" s="98"/>
    </row>
    <row r="15" spans="1:61" s="305" customFormat="1" ht="14.25" customHeight="1" x14ac:dyDescent="0.3">
      <c r="A15" s="501"/>
      <c r="B15" s="308" t="s">
        <v>94</v>
      </c>
      <c r="C15" s="302" t="s">
        <v>92</v>
      </c>
      <c r="D15" s="309">
        <v>0.99</v>
      </c>
      <c r="E15" s="302">
        <f>D15*E14</f>
        <v>5.1479999999999997</v>
      </c>
      <c r="F15" s="1177"/>
      <c r="G15" s="304">
        <f>E15*F15</f>
        <v>0</v>
      </c>
      <c r="H15" s="304"/>
      <c r="I15" s="304"/>
      <c r="J15" s="304"/>
      <c r="K15" s="304"/>
      <c r="L15" s="499">
        <f>G15+I15+K15</f>
        <v>0</v>
      </c>
      <c r="M15" s="86"/>
    </row>
    <row r="16" spans="1:61" s="312" customFormat="1" ht="36.75" customHeight="1" x14ac:dyDescent="0.25">
      <c r="A16" s="709">
        <v>3</v>
      </c>
      <c r="B16" s="310" t="s">
        <v>315</v>
      </c>
      <c r="C16" s="306" t="s">
        <v>12</v>
      </c>
      <c r="D16" s="307"/>
      <c r="E16" s="311">
        <v>0.94199999999999995</v>
      </c>
      <c r="F16" s="297"/>
      <c r="G16" s="297"/>
      <c r="H16" s="297"/>
      <c r="I16" s="297"/>
      <c r="J16" s="297"/>
      <c r="K16" s="297"/>
      <c r="L16" s="500"/>
      <c r="M16" s="514"/>
      <c r="N16" s="515"/>
      <c r="O16" s="515"/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  <c r="AC16" s="515"/>
      <c r="AD16" s="515"/>
      <c r="AE16" s="515"/>
      <c r="AF16" s="515"/>
      <c r="AG16" s="515"/>
      <c r="AH16" s="515"/>
      <c r="AI16" s="515"/>
      <c r="AJ16" s="515"/>
      <c r="AK16" s="515"/>
      <c r="AL16" s="515"/>
      <c r="AM16" s="515"/>
      <c r="AN16" s="515"/>
      <c r="AO16" s="515"/>
      <c r="AP16" s="515"/>
      <c r="AQ16" s="515"/>
      <c r="AR16" s="515"/>
      <c r="AS16" s="515"/>
      <c r="AT16" s="515"/>
      <c r="AU16" s="515"/>
      <c r="AV16" s="515"/>
      <c r="AW16" s="515"/>
      <c r="AX16" s="515"/>
      <c r="AY16" s="515"/>
      <c r="AZ16" s="515"/>
      <c r="BA16" s="515"/>
      <c r="BB16" s="515"/>
      <c r="BC16" s="515"/>
      <c r="BD16" s="515"/>
      <c r="BE16" s="515"/>
      <c r="BF16" s="515"/>
      <c r="BG16" s="515"/>
      <c r="BH16" s="515"/>
      <c r="BI16" s="515"/>
    </row>
    <row r="17" spans="1:61" s="315" customFormat="1" ht="13.5" customHeight="1" x14ac:dyDescent="0.2">
      <c r="A17" s="498"/>
      <c r="B17" s="313" t="s">
        <v>95</v>
      </c>
      <c r="C17" s="302" t="s">
        <v>92</v>
      </c>
      <c r="D17" s="314">
        <v>12.6</v>
      </c>
      <c r="E17" s="297">
        <f>E16*D17</f>
        <v>11.869199999999999</v>
      </c>
      <c r="F17" s="1177"/>
      <c r="G17" s="304">
        <f>E17*F17</f>
        <v>0</v>
      </c>
      <c r="H17" s="304"/>
      <c r="I17" s="304"/>
      <c r="J17" s="304"/>
      <c r="K17" s="304"/>
      <c r="L17" s="499">
        <f>G17+I17+K17</f>
        <v>0</v>
      </c>
      <c r="M17" s="516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7"/>
      <c r="AA17" s="517"/>
      <c r="AB17" s="517"/>
      <c r="AC17" s="517"/>
      <c r="AD17" s="517"/>
      <c r="AE17" s="517"/>
      <c r="AF17" s="517"/>
      <c r="AG17" s="517"/>
      <c r="AH17" s="517"/>
      <c r="AI17" s="517"/>
      <c r="AJ17" s="517"/>
      <c r="AK17" s="517"/>
      <c r="AL17" s="517"/>
      <c r="AM17" s="517"/>
      <c r="AN17" s="517"/>
      <c r="AO17" s="517"/>
      <c r="AP17" s="517"/>
      <c r="AQ17" s="517"/>
      <c r="AR17" s="517"/>
      <c r="AS17" s="517"/>
      <c r="AT17" s="517"/>
      <c r="AU17" s="517"/>
      <c r="AV17" s="517"/>
      <c r="AW17" s="517"/>
      <c r="AX17" s="517"/>
      <c r="AY17" s="517"/>
      <c r="AZ17" s="517"/>
      <c r="BA17" s="517"/>
      <c r="BB17" s="517"/>
      <c r="BC17" s="517"/>
      <c r="BD17" s="517"/>
      <c r="BE17" s="517"/>
      <c r="BF17" s="517"/>
      <c r="BG17" s="517"/>
      <c r="BH17" s="517"/>
      <c r="BI17" s="517"/>
    </row>
    <row r="18" spans="1:61" s="315" customFormat="1" ht="13.5" customHeight="1" x14ac:dyDescent="0.2">
      <c r="A18" s="498"/>
      <c r="B18" s="313" t="s">
        <v>96</v>
      </c>
      <c r="C18" s="302" t="s">
        <v>97</v>
      </c>
      <c r="D18" s="314">
        <v>5.08</v>
      </c>
      <c r="E18" s="297">
        <f>E16*D18</f>
        <v>4.7853599999999998</v>
      </c>
      <c r="F18" s="304"/>
      <c r="G18" s="304"/>
      <c r="H18" s="304"/>
      <c r="I18" s="304"/>
      <c r="J18" s="1177"/>
      <c r="K18" s="304">
        <f>E18*J18</f>
        <v>0</v>
      </c>
      <c r="L18" s="499">
        <f>G18+I18+K18</f>
        <v>0</v>
      </c>
      <c r="M18" s="516"/>
      <c r="N18" s="517"/>
      <c r="O18" s="517"/>
      <c r="P18" s="517"/>
      <c r="Q18" s="517"/>
      <c r="R18" s="517"/>
      <c r="S18" s="517"/>
      <c r="T18" s="517"/>
      <c r="U18" s="517"/>
      <c r="V18" s="517"/>
      <c r="W18" s="517"/>
      <c r="X18" s="517"/>
      <c r="Y18" s="517"/>
      <c r="Z18" s="517"/>
      <c r="AA18" s="517"/>
      <c r="AB18" s="517"/>
      <c r="AC18" s="517"/>
      <c r="AD18" s="517"/>
      <c r="AE18" s="517"/>
      <c r="AF18" s="517"/>
      <c r="AG18" s="517"/>
      <c r="AH18" s="517"/>
      <c r="AI18" s="517"/>
      <c r="AJ18" s="517"/>
      <c r="AK18" s="517"/>
      <c r="AL18" s="517"/>
      <c r="AM18" s="517"/>
      <c r="AN18" s="517"/>
      <c r="AO18" s="517"/>
      <c r="AP18" s="517"/>
      <c r="AQ18" s="517"/>
      <c r="AR18" s="517"/>
      <c r="AS18" s="517"/>
      <c r="AT18" s="517"/>
      <c r="AU18" s="517"/>
      <c r="AV18" s="517"/>
      <c r="AW18" s="517"/>
      <c r="AX18" s="517"/>
      <c r="AY18" s="517"/>
      <c r="AZ18" s="517"/>
      <c r="BA18" s="517"/>
      <c r="BB18" s="517"/>
      <c r="BC18" s="517"/>
      <c r="BD18" s="517"/>
      <c r="BE18" s="517"/>
      <c r="BF18" s="517"/>
      <c r="BG18" s="517"/>
      <c r="BH18" s="517"/>
      <c r="BI18" s="517"/>
    </row>
    <row r="19" spans="1:61" s="312" customFormat="1" ht="29.25" customHeight="1" x14ac:dyDescent="0.25">
      <c r="A19" s="709"/>
      <c r="B19" s="316" t="s">
        <v>315</v>
      </c>
      <c r="C19" s="307" t="s">
        <v>103</v>
      </c>
      <c r="D19" s="297"/>
      <c r="E19" s="297">
        <v>2</v>
      </c>
      <c r="F19" s="297"/>
      <c r="G19" s="297"/>
      <c r="H19" s="1181"/>
      <c r="I19" s="297">
        <f>H19*E19</f>
        <v>0</v>
      </c>
      <c r="J19" s="297"/>
      <c r="K19" s="297"/>
      <c r="L19" s="500">
        <f t="shared" ref="L19:L28" si="0">G19+I19+K19</f>
        <v>0</v>
      </c>
      <c r="M19" s="514"/>
      <c r="N19" s="515"/>
      <c r="O19" s="515"/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  <c r="AA19" s="515"/>
      <c r="AB19" s="515"/>
      <c r="AC19" s="515"/>
      <c r="AD19" s="515"/>
      <c r="AE19" s="515"/>
      <c r="AF19" s="515"/>
      <c r="AG19" s="515"/>
      <c r="AH19" s="515"/>
      <c r="AI19" s="515"/>
      <c r="AJ19" s="515"/>
      <c r="AK19" s="515"/>
      <c r="AL19" s="515"/>
      <c r="AM19" s="515"/>
      <c r="AN19" s="515"/>
      <c r="AO19" s="515"/>
      <c r="AP19" s="515"/>
      <c r="AQ19" s="515"/>
      <c r="AR19" s="515"/>
      <c r="AS19" s="515"/>
      <c r="AT19" s="515"/>
      <c r="AU19" s="515"/>
      <c r="AV19" s="515"/>
      <c r="AW19" s="515"/>
      <c r="AX19" s="515"/>
      <c r="AY19" s="515"/>
      <c r="AZ19" s="515"/>
      <c r="BA19" s="515"/>
      <c r="BB19" s="515"/>
      <c r="BC19" s="515"/>
      <c r="BD19" s="515"/>
      <c r="BE19" s="515"/>
      <c r="BF19" s="515"/>
      <c r="BG19" s="515"/>
      <c r="BH19" s="515"/>
      <c r="BI19" s="515"/>
    </row>
    <row r="20" spans="1:61" s="315" customFormat="1" ht="13.5" customHeight="1" x14ac:dyDescent="0.2">
      <c r="A20" s="498"/>
      <c r="B20" s="313" t="s">
        <v>99</v>
      </c>
      <c r="C20" s="302" t="s">
        <v>103</v>
      </c>
      <c r="D20" s="307">
        <v>7.01</v>
      </c>
      <c r="E20" s="297">
        <f>E16*D20</f>
        <v>6.6034199999999998</v>
      </c>
      <c r="F20" s="304"/>
      <c r="G20" s="304"/>
      <c r="H20" s="1177"/>
      <c r="I20" s="297">
        <f>H20*E20</f>
        <v>0</v>
      </c>
      <c r="J20" s="304"/>
      <c r="K20" s="304"/>
      <c r="L20" s="499">
        <f t="shared" si="0"/>
        <v>0</v>
      </c>
      <c r="M20" s="516"/>
      <c r="N20" s="517"/>
      <c r="O20" s="517"/>
      <c r="P20" s="517"/>
      <c r="Q20" s="517"/>
      <c r="R20" s="517"/>
      <c r="S20" s="517"/>
      <c r="T20" s="517"/>
      <c r="U20" s="517"/>
      <c r="V20" s="517"/>
      <c r="W20" s="517"/>
      <c r="X20" s="517"/>
      <c r="Y20" s="517"/>
      <c r="Z20" s="517"/>
      <c r="AA20" s="517"/>
      <c r="AB20" s="517"/>
      <c r="AC20" s="517"/>
      <c r="AD20" s="517"/>
      <c r="AE20" s="517"/>
      <c r="AF20" s="517"/>
      <c r="AG20" s="517"/>
      <c r="AH20" s="517"/>
      <c r="AI20" s="517"/>
      <c r="AJ20" s="517"/>
      <c r="AK20" s="517"/>
      <c r="AL20" s="517"/>
      <c r="AM20" s="517"/>
      <c r="AN20" s="517"/>
      <c r="AO20" s="517"/>
      <c r="AP20" s="517"/>
      <c r="AQ20" s="517"/>
      <c r="AR20" s="517"/>
      <c r="AS20" s="517"/>
      <c r="AT20" s="517"/>
      <c r="AU20" s="517"/>
      <c r="AV20" s="517"/>
      <c r="AW20" s="517"/>
      <c r="AX20" s="517"/>
      <c r="AY20" s="517"/>
      <c r="AZ20" s="517"/>
      <c r="BA20" s="517"/>
      <c r="BB20" s="517"/>
      <c r="BC20" s="517"/>
      <c r="BD20" s="517"/>
      <c r="BE20" s="517"/>
      <c r="BF20" s="517"/>
      <c r="BG20" s="517"/>
      <c r="BH20" s="517"/>
      <c r="BI20" s="517"/>
    </row>
    <row r="21" spans="1:61" s="319" customFormat="1" ht="12.75" x14ac:dyDescent="0.25">
      <c r="A21" s="502">
        <v>4</v>
      </c>
      <c r="B21" s="317" t="s">
        <v>129</v>
      </c>
      <c r="C21" s="45" t="s">
        <v>10</v>
      </c>
      <c r="D21" s="318"/>
      <c r="E21" s="318">
        <v>1</v>
      </c>
      <c r="F21" s="318"/>
      <c r="G21" s="318"/>
      <c r="H21" s="318"/>
      <c r="I21" s="318"/>
      <c r="J21" s="318"/>
      <c r="K21" s="318"/>
      <c r="L21" s="503"/>
      <c r="M21" s="518"/>
      <c r="N21" s="518"/>
      <c r="O21" s="518"/>
      <c r="P21" s="518"/>
      <c r="Q21" s="518"/>
      <c r="R21" s="518"/>
      <c r="S21" s="518"/>
      <c r="T21" s="518"/>
      <c r="U21" s="518"/>
      <c r="V21" s="518"/>
      <c r="W21" s="518"/>
      <c r="X21" s="518"/>
      <c r="Y21" s="518"/>
      <c r="Z21" s="518"/>
      <c r="AA21" s="518"/>
      <c r="AB21" s="518"/>
      <c r="AC21" s="518"/>
      <c r="AD21" s="518"/>
      <c r="AE21" s="518"/>
      <c r="AF21" s="518"/>
      <c r="AG21" s="518"/>
      <c r="AH21" s="518"/>
      <c r="AI21" s="518"/>
      <c r="AJ21" s="518"/>
      <c r="AK21" s="518"/>
      <c r="AL21" s="518"/>
      <c r="AM21" s="518"/>
      <c r="AN21" s="518"/>
      <c r="AO21" s="518"/>
      <c r="AP21" s="518"/>
      <c r="AQ21" s="518"/>
      <c r="AR21" s="518"/>
      <c r="AS21" s="518"/>
      <c r="AT21" s="518"/>
      <c r="AU21" s="518"/>
      <c r="AV21" s="518"/>
      <c r="AW21" s="518"/>
      <c r="AX21" s="518"/>
      <c r="AY21" s="518"/>
      <c r="AZ21" s="518"/>
      <c r="BA21" s="518"/>
      <c r="BB21" s="518"/>
      <c r="BC21" s="518"/>
      <c r="BD21" s="518"/>
      <c r="BE21" s="518"/>
      <c r="BF21" s="518"/>
      <c r="BG21" s="518"/>
      <c r="BH21" s="518"/>
      <c r="BI21" s="518"/>
    </row>
    <row r="22" spans="1:61" s="71" customFormat="1" ht="12.75" x14ac:dyDescent="0.25">
      <c r="A22" s="504"/>
      <c r="B22" s="72" t="s">
        <v>35</v>
      </c>
      <c r="C22" s="70" t="s">
        <v>28</v>
      </c>
      <c r="D22" s="73">
        <v>1.78</v>
      </c>
      <c r="E22" s="73">
        <f>E21*D22</f>
        <v>1.78</v>
      </c>
      <c r="F22" s="1177"/>
      <c r="G22" s="73">
        <f>E22*F22</f>
        <v>0</v>
      </c>
      <c r="H22" s="73"/>
      <c r="I22" s="73"/>
      <c r="J22" s="73"/>
      <c r="K22" s="73"/>
      <c r="L22" s="505">
        <f t="shared" si="0"/>
        <v>0</v>
      </c>
      <c r="M22" s="496"/>
      <c r="N22" s="496"/>
      <c r="O22" s="496"/>
      <c r="P22" s="496"/>
      <c r="Q22" s="496"/>
      <c r="R22" s="496"/>
      <c r="S22" s="496"/>
      <c r="T22" s="496"/>
      <c r="U22" s="496"/>
      <c r="V22" s="496"/>
      <c r="W22" s="496"/>
      <c r="X22" s="496"/>
      <c r="Y22" s="496"/>
      <c r="Z22" s="496"/>
      <c r="AA22" s="496"/>
      <c r="AB22" s="496"/>
      <c r="AC22" s="496"/>
      <c r="AD22" s="496"/>
      <c r="AE22" s="496"/>
      <c r="AF22" s="496"/>
      <c r="AG22" s="496"/>
      <c r="AH22" s="496"/>
      <c r="AI22" s="496"/>
      <c r="AJ22" s="496"/>
      <c r="AK22" s="496"/>
      <c r="AL22" s="496"/>
      <c r="AM22" s="496"/>
      <c r="AN22" s="496"/>
      <c r="AO22" s="496"/>
      <c r="AP22" s="496"/>
      <c r="AQ22" s="496"/>
      <c r="AR22" s="496"/>
      <c r="AS22" s="496"/>
      <c r="AT22" s="496"/>
      <c r="AU22" s="496"/>
      <c r="AV22" s="496"/>
      <c r="AW22" s="496"/>
      <c r="AX22" s="496"/>
      <c r="AY22" s="496"/>
      <c r="AZ22" s="496"/>
      <c r="BA22" s="496"/>
      <c r="BB22" s="496"/>
      <c r="BC22" s="496"/>
      <c r="BD22" s="496"/>
      <c r="BE22" s="496"/>
      <c r="BF22" s="496"/>
      <c r="BG22" s="496"/>
      <c r="BH22" s="496"/>
      <c r="BI22" s="496"/>
    </row>
    <row r="23" spans="1:61" s="71" customFormat="1" ht="12.75" x14ac:dyDescent="0.25">
      <c r="A23" s="504"/>
      <c r="B23" s="72" t="s">
        <v>130</v>
      </c>
      <c r="C23" s="70" t="s">
        <v>10</v>
      </c>
      <c r="D23" s="73">
        <v>1.1000000000000001</v>
      </c>
      <c r="E23" s="73">
        <f>E21*D23</f>
        <v>1.1000000000000001</v>
      </c>
      <c r="F23" s="73"/>
      <c r="G23" s="73"/>
      <c r="H23" s="953"/>
      <c r="I23" s="73">
        <f>H23*E23</f>
        <v>0</v>
      </c>
      <c r="J23" s="73"/>
      <c r="K23" s="73"/>
      <c r="L23" s="505">
        <f t="shared" si="0"/>
        <v>0</v>
      </c>
      <c r="M23" s="496"/>
      <c r="N23" s="496"/>
      <c r="O23" s="496"/>
      <c r="P23" s="496"/>
      <c r="Q23" s="496"/>
      <c r="R23" s="496"/>
      <c r="S23" s="496"/>
      <c r="T23" s="496"/>
      <c r="U23" s="496"/>
      <c r="V23" s="496"/>
      <c r="W23" s="496"/>
      <c r="X23" s="496"/>
      <c r="Y23" s="496"/>
      <c r="Z23" s="496"/>
      <c r="AA23" s="496"/>
      <c r="AB23" s="496"/>
      <c r="AC23" s="496"/>
      <c r="AD23" s="496"/>
      <c r="AE23" s="496"/>
      <c r="AF23" s="496"/>
      <c r="AG23" s="496"/>
      <c r="AH23" s="496"/>
      <c r="AI23" s="496"/>
      <c r="AJ23" s="496"/>
      <c r="AK23" s="496"/>
      <c r="AL23" s="496"/>
      <c r="AM23" s="496"/>
      <c r="AN23" s="496"/>
      <c r="AO23" s="496"/>
      <c r="AP23" s="496"/>
      <c r="AQ23" s="496"/>
      <c r="AR23" s="496"/>
      <c r="AS23" s="496"/>
      <c r="AT23" s="496"/>
      <c r="AU23" s="496"/>
      <c r="AV23" s="496"/>
      <c r="AW23" s="496"/>
      <c r="AX23" s="496"/>
      <c r="AY23" s="496"/>
      <c r="AZ23" s="496"/>
      <c r="BA23" s="496"/>
      <c r="BB23" s="496"/>
      <c r="BC23" s="496"/>
      <c r="BD23" s="496"/>
      <c r="BE23" s="496"/>
      <c r="BF23" s="496"/>
      <c r="BG23" s="496"/>
      <c r="BH23" s="496"/>
      <c r="BI23" s="496"/>
    </row>
    <row r="24" spans="1:61" s="71" customFormat="1" ht="12.75" x14ac:dyDescent="0.25">
      <c r="A24" s="504"/>
      <c r="B24" s="72" t="s">
        <v>105</v>
      </c>
      <c r="C24" s="70" t="s">
        <v>13</v>
      </c>
      <c r="D24" s="73">
        <v>1.6</v>
      </c>
      <c r="E24" s="73">
        <f>E21*D24</f>
        <v>1.6</v>
      </c>
      <c r="F24" s="73"/>
      <c r="G24" s="73"/>
      <c r="H24" s="73"/>
      <c r="I24" s="73"/>
      <c r="J24" s="953"/>
      <c r="K24" s="73">
        <f>E24*J24</f>
        <v>0</v>
      </c>
      <c r="L24" s="505">
        <f t="shared" si="0"/>
        <v>0</v>
      </c>
      <c r="M24" s="496"/>
      <c r="N24" s="496"/>
      <c r="O24" s="496"/>
      <c r="P24" s="496"/>
      <c r="Q24" s="496"/>
      <c r="R24" s="496"/>
      <c r="S24" s="496"/>
      <c r="T24" s="496"/>
      <c r="U24" s="496"/>
      <c r="V24" s="496"/>
      <c r="W24" s="496"/>
      <c r="X24" s="496"/>
      <c r="Y24" s="496"/>
      <c r="Z24" s="496"/>
      <c r="AA24" s="496"/>
      <c r="AB24" s="496"/>
      <c r="AC24" s="496"/>
      <c r="AD24" s="496"/>
      <c r="AE24" s="496"/>
      <c r="AF24" s="496"/>
      <c r="AG24" s="496"/>
      <c r="AH24" s="496"/>
      <c r="AI24" s="496"/>
      <c r="AJ24" s="496"/>
      <c r="AK24" s="496"/>
      <c r="AL24" s="496"/>
      <c r="AM24" s="496"/>
      <c r="AN24" s="496"/>
      <c r="AO24" s="496"/>
      <c r="AP24" s="496"/>
      <c r="AQ24" s="496"/>
      <c r="AR24" s="496"/>
      <c r="AS24" s="496"/>
      <c r="AT24" s="496"/>
      <c r="AU24" s="496"/>
      <c r="AV24" s="496"/>
      <c r="AW24" s="496"/>
      <c r="AX24" s="496"/>
      <c r="AY24" s="496"/>
      <c r="AZ24" s="496"/>
      <c r="BA24" s="496"/>
      <c r="BB24" s="496"/>
      <c r="BC24" s="496"/>
      <c r="BD24" s="496"/>
      <c r="BE24" s="496"/>
      <c r="BF24" s="496"/>
      <c r="BG24" s="496"/>
      <c r="BH24" s="496"/>
      <c r="BI24" s="496"/>
    </row>
    <row r="25" spans="1:61" s="320" customFormat="1" ht="26.25" customHeight="1" x14ac:dyDescent="0.25">
      <c r="A25" s="709">
        <v>5</v>
      </c>
      <c r="B25" s="174" t="s">
        <v>352</v>
      </c>
      <c r="C25" s="451" t="s">
        <v>100</v>
      </c>
      <c r="D25" s="451"/>
      <c r="E25" s="296">
        <v>1</v>
      </c>
      <c r="F25" s="298"/>
      <c r="G25" s="298"/>
      <c r="H25" s="298"/>
      <c r="I25" s="298"/>
      <c r="J25" s="298"/>
      <c r="K25" s="298"/>
      <c r="L25" s="497"/>
      <c r="M25" s="519"/>
      <c r="N25" s="519"/>
      <c r="O25" s="519"/>
      <c r="P25" s="519"/>
      <c r="Q25" s="519"/>
      <c r="R25" s="519"/>
      <c r="S25" s="519"/>
      <c r="T25" s="519"/>
      <c r="U25" s="519"/>
      <c r="V25" s="519"/>
      <c r="W25" s="519"/>
      <c r="X25" s="519"/>
      <c r="Y25" s="519"/>
      <c r="Z25" s="519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519"/>
      <c r="AL25" s="519"/>
      <c r="AM25" s="519"/>
      <c r="AN25" s="519"/>
      <c r="AO25" s="519"/>
      <c r="AP25" s="519"/>
      <c r="AQ25" s="519"/>
      <c r="AR25" s="519"/>
      <c r="AS25" s="519"/>
      <c r="AT25" s="519"/>
      <c r="AU25" s="519"/>
      <c r="AV25" s="519"/>
      <c r="AW25" s="519"/>
      <c r="AX25" s="519"/>
      <c r="AY25" s="519"/>
      <c r="AZ25" s="519"/>
      <c r="BA25" s="519"/>
      <c r="BB25" s="519"/>
      <c r="BC25" s="519"/>
      <c r="BD25" s="519"/>
      <c r="BE25" s="519"/>
      <c r="BF25" s="519"/>
      <c r="BG25" s="519"/>
      <c r="BH25" s="519"/>
      <c r="BI25" s="519"/>
    </row>
    <row r="26" spans="1:61" s="64" customFormat="1" ht="14.25" customHeight="1" x14ac:dyDescent="0.25">
      <c r="A26" s="498"/>
      <c r="B26" s="313" t="s">
        <v>101</v>
      </c>
      <c r="C26" s="302" t="s">
        <v>92</v>
      </c>
      <c r="D26" s="314">
        <v>1.54</v>
      </c>
      <c r="E26" s="307">
        <f>D26*E25</f>
        <v>1.54</v>
      </c>
      <c r="F26" s="1177"/>
      <c r="G26" s="304">
        <f>E26*F26</f>
        <v>0</v>
      </c>
      <c r="H26" s="297"/>
      <c r="I26" s="321"/>
      <c r="J26" s="304"/>
      <c r="K26" s="304"/>
      <c r="L26" s="499">
        <f t="shared" si="0"/>
        <v>0</v>
      </c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</row>
    <row r="27" spans="1:61" s="64" customFormat="1" ht="14.25" customHeight="1" x14ac:dyDescent="0.25">
      <c r="A27" s="498"/>
      <c r="B27" s="313" t="s">
        <v>102</v>
      </c>
      <c r="C27" s="302" t="s">
        <v>97</v>
      </c>
      <c r="D27" s="307">
        <v>0.09</v>
      </c>
      <c r="E27" s="307">
        <f>D27*E25</f>
        <v>0.09</v>
      </c>
      <c r="F27" s="304"/>
      <c r="G27" s="304"/>
      <c r="H27" s="304"/>
      <c r="I27" s="304"/>
      <c r="J27" s="1177"/>
      <c r="K27" s="304">
        <f>E27*J27</f>
        <v>0</v>
      </c>
      <c r="L27" s="499">
        <f t="shared" si="0"/>
        <v>0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</row>
    <row r="28" spans="1:61" s="300" customFormat="1" ht="25.5" customHeight="1" thickBot="1" x14ac:dyDescent="0.3">
      <c r="A28" s="509"/>
      <c r="B28" s="510" t="s">
        <v>353</v>
      </c>
      <c r="C28" s="511" t="s">
        <v>100</v>
      </c>
      <c r="D28" s="512">
        <v>1</v>
      </c>
      <c r="E28" s="512">
        <f>D28*E25</f>
        <v>1</v>
      </c>
      <c r="F28" s="512"/>
      <c r="G28" s="512"/>
      <c r="H28" s="1182"/>
      <c r="I28" s="512">
        <f>H28*E28</f>
        <v>0</v>
      </c>
      <c r="J28" s="512"/>
      <c r="K28" s="512"/>
      <c r="L28" s="513">
        <f t="shared" si="0"/>
        <v>0</v>
      </c>
    </row>
    <row r="29" spans="1:61" s="714" customFormat="1" ht="12.75" x14ac:dyDescent="0.25">
      <c r="A29" s="710"/>
      <c r="B29" s="712" t="s">
        <v>316</v>
      </c>
      <c r="C29" s="713"/>
      <c r="D29" s="713"/>
      <c r="E29" s="711"/>
      <c r="F29" s="711"/>
      <c r="H29" s="711"/>
      <c r="J29" s="711"/>
      <c r="L29" s="715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496"/>
      <c r="AK29" s="496"/>
      <c r="AL29" s="496"/>
      <c r="AM29" s="496"/>
      <c r="AN29" s="496"/>
      <c r="AO29" s="496"/>
      <c r="AP29" s="496"/>
      <c r="AQ29" s="496"/>
      <c r="AR29" s="496"/>
      <c r="AS29" s="496"/>
      <c r="AT29" s="496"/>
      <c r="AU29" s="496"/>
      <c r="AV29" s="496"/>
      <c r="AW29" s="496"/>
      <c r="AX29" s="496"/>
      <c r="AY29" s="496"/>
      <c r="AZ29" s="496"/>
      <c r="BA29" s="496"/>
      <c r="BB29" s="496"/>
      <c r="BC29" s="496"/>
      <c r="BD29" s="496"/>
      <c r="BE29" s="496"/>
      <c r="BF29" s="496"/>
      <c r="BG29" s="496"/>
      <c r="BH29" s="496"/>
      <c r="BI29" s="496"/>
    </row>
    <row r="30" spans="1:61" s="300" customFormat="1" ht="15.75" x14ac:dyDescent="0.25">
      <c r="A30" s="709">
        <v>1</v>
      </c>
      <c r="B30" s="295" t="s">
        <v>368</v>
      </c>
      <c r="C30" s="451" t="s">
        <v>12</v>
      </c>
      <c r="D30" s="451"/>
      <c r="E30" s="296">
        <v>5.2</v>
      </c>
      <c r="F30" s="297"/>
      <c r="G30" s="297"/>
      <c r="H30" s="297"/>
      <c r="I30" s="297"/>
      <c r="J30" s="297"/>
      <c r="K30" s="297"/>
      <c r="L30" s="497"/>
      <c r="M30" s="299"/>
      <c r="N30" s="299"/>
      <c r="O30" s="299"/>
    </row>
    <row r="31" spans="1:61" s="135" customFormat="1" ht="15.75" customHeight="1" x14ac:dyDescent="0.3">
      <c r="A31" s="498"/>
      <c r="B31" s="301" t="s">
        <v>91</v>
      </c>
      <c r="C31" s="302" t="s">
        <v>92</v>
      </c>
      <c r="D31" s="303">
        <v>2.78</v>
      </c>
      <c r="E31" s="302">
        <f>D31*E30</f>
        <v>14.456</v>
      </c>
      <c r="F31" s="1177"/>
      <c r="G31" s="304">
        <f>E31*F31</f>
        <v>0</v>
      </c>
      <c r="H31" s="304"/>
      <c r="I31" s="304"/>
      <c r="J31" s="304"/>
      <c r="K31" s="304"/>
      <c r="L31" s="499">
        <f>G31+I31+K31</f>
        <v>0</v>
      </c>
      <c r="M31" s="305"/>
      <c r="N31" s="305"/>
      <c r="O31" s="305"/>
    </row>
    <row r="32" spans="1:61" s="299" customFormat="1" ht="29.25" customHeight="1" x14ac:dyDescent="0.25">
      <c r="A32" s="1102">
        <v>2</v>
      </c>
      <c r="B32" s="295" t="s">
        <v>93</v>
      </c>
      <c r="C32" s="306" t="s">
        <v>12</v>
      </c>
      <c r="D32" s="307"/>
      <c r="E32" s="296">
        <f>E30</f>
        <v>5.2</v>
      </c>
      <c r="F32" s="297"/>
      <c r="G32" s="297"/>
      <c r="H32" s="297"/>
      <c r="I32" s="297"/>
      <c r="J32" s="297"/>
      <c r="K32" s="297"/>
      <c r="L32" s="500"/>
      <c r="M32" s="98"/>
    </row>
    <row r="33" spans="1:61" s="305" customFormat="1" ht="14.25" customHeight="1" x14ac:dyDescent="0.3">
      <c r="A33" s="1102"/>
      <c r="B33" s="308" t="s">
        <v>94</v>
      </c>
      <c r="C33" s="302" t="s">
        <v>92</v>
      </c>
      <c r="D33" s="309">
        <v>0.99</v>
      </c>
      <c r="E33" s="302">
        <f>D33*E32</f>
        <v>5.1479999999999997</v>
      </c>
      <c r="F33" s="1177"/>
      <c r="G33" s="304">
        <f>E33*F33</f>
        <v>0</v>
      </c>
      <c r="H33" s="304"/>
      <c r="I33" s="304"/>
      <c r="J33" s="304"/>
      <c r="K33" s="304"/>
      <c r="L33" s="499">
        <f>G33+I33+K33</f>
        <v>0</v>
      </c>
      <c r="M33" s="86"/>
    </row>
    <row r="34" spans="1:61" s="515" customFormat="1" ht="36.75" customHeight="1" x14ac:dyDescent="0.25">
      <c r="A34" s="709">
        <v>3</v>
      </c>
      <c r="B34" s="310" t="s">
        <v>104</v>
      </c>
      <c r="C34" s="306" t="s">
        <v>12</v>
      </c>
      <c r="D34" s="307"/>
      <c r="E34" s="311">
        <v>0.94199999999999995</v>
      </c>
      <c r="F34" s="297"/>
      <c r="G34" s="297"/>
      <c r="H34" s="297"/>
      <c r="I34" s="297"/>
      <c r="J34" s="297"/>
      <c r="K34" s="297"/>
      <c r="L34" s="500"/>
      <c r="M34" s="514"/>
    </row>
    <row r="35" spans="1:61" s="517" customFormat="1" ht="13.5" customHeight="1" x14ac:dyDescent="0.2">
      <c r="A35" s="498"/>
      <c r="B35" s="313" t="s">
        <v>95</v>
      </c>
      <c r="C35" s="302" t="s">
        <v>92</v>
      </c>
      <c r="D35" s="314">
        <v>12.6</v>
      </c>
      <c r="E35" s="297">
        <f>E34*D35</f>
        <v>11.869199999999999</v>
      </c>
      <c r="F35" s="1177"/>
      <c r="G35" s="304">
        <f>E35*F35</f>
        <v>0</v>
      </c>
      <c r="H35" s="304"/>
      <c r="I35" s="304"/>
      <c r="J35" s="304"/>
      <c r="K35" s="304"/>
      <c r="L35" s="499">
        <f>G35+I35+K35</f>
        <v>0</v>
      </c>
      <c r="M35" s="516"/>
    </row>
    <row r="36" spans="1:61" s="517" customFormat="1" ht="13.5" customHeight="1" x14ac:dyDescent="0.2">
      <c r="A36" s="498"/>
      <c r="B36" s="313" t="s">
        <v>96</v>
      </c>
      <c r="C36" s="302" t="s">
        <v>97</v>
      </c>
      <c r="D36" s="314">
        <v>5.08</v>
      </c>
      <c r="E36" s="297">
        <f>E34*D36</f>
        <v>4.7853599999999998</v>
      </c>
      <c r="F36" s="304"/>
      <c r="G36" s="304"/>
      <c r="H36" s="304"/>
      <c r="I36" s="304"/>
      <c r="J36" s="1177"/>
      <c r="K36" s="304">
        <f>E36*J36</f>
        <v>0</v>
      </c>
      <c r="L36" s="499">
        <f>G36+I36+K36</f>
        <v>0</v>
      </c>
      <c r="M36" s="516"/>
    </row>
    <row r="37" spans="1:61" s="515" customFormat="1" ht="29.25" customHeight="1" x14ac:dyDescent="0.25">
      <c r="A37" s="709"/>
      <c r="B37" s="316" t="s">
        <v>315</v>
      </c>
      <c r="C37" s="307" t="s">
        <v>103</v>
      </c>
      <c r="D37" s="297"/>
      <c r="E37" s="297">
        <v>2</v>
      </c>
      <c r="F37" s="297"/>
      <c r="G37" s="297"/>
      <c r="H37" s="1181"/>
      <c r="I37" s="297">
        <f>H37*E37</f>
        <v>0</v>
      </c>
      <c r="J37" s="297"/>
      <c r="K37" s="297"/>
      <c r="L37" s="500">
        <f>G37+I37+K37</f>
        <v>0</v>
      </c>
      <c r="M37" s="514"/>
    </row>
    <row r="38" spans="1:61" s="517" customFormat="1" ht="13.5" customHeight="1" x14ac:dyDescent="0.2">
      <c r="A38" s="498"/>
      <c r="B38" s="313" t="s">
        <v>99</v>
      </c>
      <c r="C38" s="302" t="s">
        <v>103</v>
      </c>
      <c r="D38" s="307">
        <v>7.01</v>
      </c>
      <c r="E38" s="297">
        <f>E34*D38</f>
        <v>6.6034199999999998</v>
      </c>
      <c r="F38" s="304"/>
      <c r="G38" s="304"/>
      <c r="H38" s="1177"/>
      <c r="I38" s="297">
        <f>H38*E38</f>
        <v>0</v>
      </c>
      <c r="J38" s="304"/>
      <c r="K38" s="304"/>
      <c r="L38" s="499">
        <f>G38+I38+K38</f>
        <v>0</v>
      </c>
      <c r="M38" s="516"/>
    </row>
    <row r="39" spans="1:61" s="518" customFormat="1" ht="12.75" x14ac:dyDescent="0.25">
      <c r="A39" s="502">
        <v>4</v>
      </c>
      <c r="B39" s="317" t="s">
        <v>129</v>
      </c>
      <c r="C39" s="45" t="s">
        <v>10</v>
      </c>
      <c r="D39" s="318"/>
      <c r="E39" s="318">
        <v>1</v>
      </c>
      <c r="F39" s="318"/>
      <c r="G39" s="318"/>
      <c r="H39" s="318"/>
      <c r="I39" s="318"/>
      <c r="J39" s="318"/>
      <c r="K39" s="318"/>
      <c r="L39" s="503"/>
    </row>
    <row r="40" spans="1:61" s="496" customFormat="1" ht="12.75" x14ac:dyDescent="0.25">
      <c r="A40" s="504"/>
      <c r="B40" s="72" t="s">
        <v>35</v>
      </c>
      <c r="C40" s="70" t="s">
        <v>28</v>
      </c>
      <c r="D40" s="73">
        <v>1.78</v>
      </c>
      <c r="E40" s="73">
        <f>E39*D40</f>
        <v>1.78</v>
      </c>
      <c r="F40" s="1177"/>
      <c r="G40" s="73">
        <f>E40*F40</f>
        <v>0</v>
      </c>
      <c r="H40" s="73"/>
      <c r="I40" s="73"/>
      <c r="J40" s="73"/>
      <c r="K40" s="73"/>
      <c r="L40" s="505">
        <f>G40+I40+K40</f>
        <v>0</v>
      </c>
    </row>
    <row r="41" spans="1:61" s="496" customFormat="1" ht="12.75" x14ac:dyDescent="0.25">
      <c r="A41" s="504"/>
      <c r="B41" s="72" t="s">
        <v>130</v>
      </c>
      <c r="C41" s="70" t="s">
        <v>10</v>
      </c>
      <c r="D41" s="73">
        <v>1.1000000000000001</v>
      </c>
      <c r="E41" s="73">
        <f>E39*D41</f>
        <v>1.1000000000000001</v>
      </c>
      <c r="F41" s="73"/>
      <c r="G41" s="73"/>
      <c r="H41" s="953"/>
      <c r="I41" s="73">
        <f>H41*E41</f>
        <v>0</v>
      </c>
      <c r="J41" s="73"/>
      <c r="K41" s="73"/>
      <c r="L41" s="505">
        <f>G41+I41+K41</f>
        <v>0</v>
      </c>
    </row>
    <row r="42" spans="1:61" s="496" customFormat="1" ht="12.75" x14ac:dyDescent="0.25">
      <c r="A42" s="504"/>
      <c r="B42" s="72" t="s">
        <v>105</v>
      </c>
      <c r="C42" s="70" t="s">
        <v>13</v>
      </c>
      <c r="D42" s="73">
        <v>1.6</v>
      </c>
      <c r="E42" s="73">
        <f>E39*D42</f>
        <v>1.6</v>
      </c>
      <c r="F42" s="73"/>
      <c r="G42" s="73"/>
      <c r="H42" s="73"/>
      <c r="I42" s="73"/>
      <c r="J42" s="953"/>
      <c r="K42" s="73">
        <f>E42*J42</f>
        <v>0</v>
      </c>
      <c r="L42" s="505">
        <f>G42+I42+K42</f>
        <v>0</v>
      </c>
    </row>
    <row r="43" spans="1:61" s="519" customFormat="1" ht="26.25" customHeight="1" x14ac:dyDescent="0.25">
      <c r="A43" s="709">
        <v>5</v>
      </c>
      <c r="B43" s="174" t="s">
        <v>317</v>
      </c>
      <c r="C43" s="451" t="s">
        <v>100</v>
      </c>
      <c r="D43" s="451"/>
      <c r="E43" s="296">
        <v>2</v>
      </c>
      <c r="F43" s="298"/>
      <c r="G43" s="298"/>
      <c r="H43" s="298"/>
      <c r="I43" s="298"/>
      <c r="J43" s="298"/>
      <c r="K43" s="298"/>
      <c r="L43" s="497"/>
    </row>
    <row r="44" spans="1:61" s="65" customFormat="1" ht="14.25" customHeight="1" x14ac:dyDescent="0.25">
      <c r="A44" s="498"/>
      <c r="B44" s="313" t="s">
        <v>101</v>
      </c>
      <c r="C44" s="302" t="s">
        <v>92</v>
      </c>
      <c r="D44" s="314">
        <v>1.54</v>
      </c>
      <c r="E44" s="307">
        <f>D44*E43</f>
        <v>3.08</v>
      </c>
      <c r="F44" s="1177"/>
      <c r="G44" s="304">
        <f>E44*F44</f>
        <v>0</v>
      </c>
      <c r="H44" s="297"/>
      <c r="I44" s="321"/>
      <c r="J44" s="304"/>
      <c r="K44" s="304"/>
      <c r="L44" s="499">
        <f>G44+I44+K44</f>
        <v>0</v>
      </c>
    </row>
    <row r="45" spans="1:61" s="65" customFormat="1" ht="14.25" customHeight="1" x14ac:dyDescent="0.25">
      <c r="A45" s="498"/>
      <c r="B45" s="313" t="s">
        <v>102</v>
      </c>
      <c r="C45" s="302" t="s">
        <v>97</v>
      </c>
      <c r="D45" s="307">
        <v>0.09</v>
      </c>
      <c r="E45" s="307">
        <f>D45*E43</f>
        <v>0.18</v>
      </c>
      <c r="F45" s="304"/>
      <c r="G45" s="304"/>
      <c r="H45" s="304"/>
      <c r="I45" s="304"/>
      <c r="J45" s="1177"/>
      <c r="K45" s="304">
        <f>E45*J45</f>
        <v>0</v>
      </c>
      <c r="L45" s="499">
        <f>G45+I45+K45</f>
        <v>0</v>
      </c>
    </row>
    <row r="46" spans="1:61" s="520" customFormat="1" ht="25.5" customHeight="1" thickBot="1" x14ac:dyDescent="0.3">
      <c r="A46" s="506"/>
      <c r="B46" s="510" t="s">
        <v>353</v>
      </c>
      <c r="C46" s="507" t="s">
        <v>100</v>
      </c>
      <c r="D46" s="508">
        <v>1</v>
      </c>
      <c r="E46" s="508">
        <f>D46*E43</f>
        <v>2</v>
      </c>
      <c r="F46" s="508"/>
      <c r="G46" s="508"/>
      <c r="H46" s="1182"/>
      <c r="I46" s="508">
        <f>H46*E46</f>
        <v>0</v>
      </c>
      <c r="J46" s="508"/>
      <c r="K46" s="508"/>
      <c r="L46" s="1014">
        <f>G46+I46+K46</f>
        <v>0</v>
      </c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300"/>
      <c r="AY46" s="300"/>
      <c r="AZ46" s="300"/>
      <c r="BA46" s="300"/>
      <c r="BB46" s="300"/>
      <c r="BC46" s="300"/>
      <c r="BD46" s="300"/>
      <c r="BE46" s="300"/>
      <c r="BF46" s="300"/>
      <c r="BG46" s="300"/>
      <c r="BH46" s="300"/>
      <c r="BI46" s="300"/>
    </row>
    <row r="47" spans="1:61" s="944" customFormat="1" ht="12.75" x14ac:dyDescent="0.25">
      <c r="A47" s="939"/>
      <c r="B47" s="941" t="s">
        <v>448</v>
      </c>
      <c r="C47" s="942"/>
      <c r="D47" s="942"/>
      <c r="E47" s="940"/>
      <c r="F47" s="940"/>
      <c r="G47" s="943"/>
      <c r="H47" s="940"/>
      <c r="I47" s="943"/>
      <c r="J47" s="940"/>
      <c r="K47" s="943"/>
      <c r="L47" s="1015"/>
      <c r="M47" s="966"/>
      <c r="N47" s="966"/>
      <c r="O47" s="966"/>
      <c r="P47" s="966"/>
      <c r="Q47" s="966"/>
      <c r="R47" s="966"/>
      <c r="S47" s="966"/>
      <c r="T47" s="966"/>
      <c r="U47" s="966"/>
      <c r="V47" s="966"/>
      <c r="W47" s="966"/>
      <c r="X47" s="966"/>
      <c r="Y47" s="966"/>
      <c r="Z47" s="967"/>
      <c r="AA47" s="967"/>
      <c r="AB47" s="967"/>
      <c r="AC47" s="967"/>
      <c r="AD47" s="967"/>
      <c r="AE47" s="967"/>
      <c r="AF47" s="967"/>
      <c r="AG47" s="967"/>
      <c r="AH47" s="967"/>
      <c r="AI47" s="967"/>
      <c r="AJ47" s="967"/>
      <c r="AK47" s="967"/>
      <c r="AL47" s="967"/>
      <c r="AM47" s="967"/>
      <c r="AN47" s="967"/>
      <c r="AO47" s="967"/>
      <c r="AP47" s="967"/>
      <c r="AQ47" s="967"/>
      <c r="AR47" s="967"/>
      <c r="AS47" s="967"/>
      <c r="AT47" s="967"/>
      <c r="AU47" s="967"/>
      <c r="AV47" s="967"/>
      <c r="AW47" s="967"/>
      <c r="AX47" s="967"/>
      <c r="AY47" s="967"/>
      <c r="AZ47" s="967"/>
      <c r="BA47" s="967"/>
      <c r="BB47" s="967"/>
      <c r="BC47" s="967"/>
      <c r="BD47" s="967"/>
      <c r="BE47" s="967"/>
      <c r="BF47" s="967"/>
      <c r="BG47" s="967"/>
      <c r="BH47" s="967"/>
      <c r="BI47" s="967"/>
    </row>
    <row r="48" spans="1:61" s="949" customFormat="1" ht="25.5" x14ac:dyDescent="0.25">
      <c r="A48" s="1016">
        <v>1</v>
      </c>
      <c r="B48" s="946" t="s">
        <v>449</v>
      </c>
      <c r="C48" s="945" t="s">
        <v>132</v>
      </c>
      <c r="D48" s="947"/>
      <c r="E48" s="947">
        <v>18.399999999999999</v>
      </c>
      <c r="F48" s="948"/>
      <c r="G48" s="948"/>
      <c r="H48" s="948"/>
      <c r="I48" s="948"/>
      <c r="J48" s="948"/>
      <c r="K48" s="948"/>
      <c r="L48" s="1017"/>
      <c r="M48" s="968"/>
      <c r="N48" s="968"/>
      <c r="O48" s="968"/>
      <c r="P48" s="968"/>
      <c r="Q48" s="968"/>
      <c r="R48" s="968"/>
      <c r="S48" s="968"/>
      <c r="T48" s="968"/>
      <c r="U48" s="968"/>
      <c r="V48" s="968"/>
      <c r="W48" s="968"/>
      <c r="X48" s="968"/>
      <c r="Y48" s="968"/>
      <c r="Z48" s="968"/>
      <c r="AA48" s="968"/>
      <c r="AB48" s="968"/>
      <c r="AC48" s="968"/>
      <c r="AD48" s="968"/>
      <c r="AE48" s="968"/>
      <c r="AF48" s="968"/>
      <c r="AG48" s="968"/>
      <c r="AH48" s="968"/>
      <c r="AI48" s="968"/>
      <c r="AJ48" s="968"/>
      <c r="AK48" s="968"/>
      <c r="AL48" s="968"/>
      <c r="AM48" s="968"/>
      <c r="AN48" s="968"/>
      <c r="AO48" s="968"/>
      <c r="AP48" s="968"/>
      <c r="AQ48" s="968"/>
      <c r="AR48" s="968"/>
      <c r="AS48" s="968"/>
      <c r="AT48" s="968"/>
      <c r="AU48" s="968"/>
      <c r="AV48" s="968"/>
      <c r="AW48" s="968"/>
      <c r="AX48" s="968"/>
      <c r="AY48" s="968"/>
      <c r="AZ48" s="968"/>
      <c r="BA48" s="968"/>
      <c r="BB48" s="968"/>
      <c r="BC48" s="968"/>
      <c r="BD48" s="968"/>
      <c r="BE48" s="968"/>
      <c r="BF48" s="968"/>
      <c r="BG48" s="968"/>
      <c r="BH48" s="968"/>
      <c r="BI48" s="968"/>
    </row>
    <row r="49" spans="1:61" s="955" customFormat="1" ht="15.75" x14ac:dyDescent="0.3">
      <c r="A49" s="1018"/>
      <c r="B49" s="951" t="s">
        <v>107</v>
      </c>
      <c r="C49" s="950" t="s">
        <v>37</v>
      </c>
      <c r="D49" s="952">
        <v>22</v>
      </c>
      <c r="E49" s="952">
        <f>E48*D49</f>
        <v>404.79999999999995</v>
      </c>
      <c r="F49" s="953"/>
      <c r="G49" s="952">
        <f>E49*F49</f>
        <v>0</v>
      </c>
      <c r="H49" s="954"/>
      <c r="I49" s="954"/>
      <c r="J49" s="954"/>
      <c r="K49" s="954"/>
      <c r="L49" s="1019">
        <f t="shared" ref="L49:L53" si="1">G49+I49+K49</f>
        <v>0</v>
      </c>
      <c r="M49" s="969"/>
      <c r="N49" s="969"/>
      <c r="O49" s="969"/>
      <c r="P49" s="969"/>
      <c r="Q49" s="969"/>
      <c r="R49" s="969"/>
      <c r="S49" s="969"/>
      <c r="T49" s="969"/>
      <c r="U49" s="969"/>
      <c r="V49" s="969"/>
      <c r="W49" s="969"/>
      <c r="X49" s="969"/>
      <c r="Y49" s="969"/>
      <c r="Z49" s="969"/>
      <c r="AA49" s="969"/>
      <c r="AB49" s="969"/>
      <c r="AC49" s="969"/>
      <c r="AD49" s="969"/>
      <c r="AE49" s="969"/>
      <c r="AF49" s="969"/>
      <c r="AG49" s="969"/>
      <c r="AH49" s="969"/>
      <c r="AI49" s="969"/>
      <c r="AJ49" s="969"/>
      <c r="AK49" s="969"/>
      <c r="AL49" s="969"/>
      <c r="AM49" s="969"/>
      <c r="AN49" s="969"/>
      <c r="AO49" s="969"/>
      <c r="AP49" s="969"/>
      <c r="AQ49" s="969"/>
      <c r="AR49" s="969"/>
      <c r="AS49" s="969"/>
      <c r="AT49" s="969"/>
      <c r="AU49" s="969"/>
      <c r="AV49" s="969"/>
      <c r="AW49" s="969"/>
      <c r="AX49" s="969"/>
      <c r="AY49" s="969"/>
      <c r="AZ49" s="969"/>
      <c r="BA49" s="969"/>
      <c r="BB49" s="969"/>
      <c r="BC49" s="969"/>
      <c r="BD49" s="969"/>
      <c r="BE49" s="969"/>
      <c r="BF49" s="969"/>
      <c r="BG49" s="969"/>
      <c r="BH49" s="969"/>
      <c r="BI49" s="969"/>
    </row>
    <row r="50" spans="1:61" s="956" customFormat="1" ht="15.75" x14ac:dyDescent="0.3">
      <c r="A50" s="1018"/>
      <c r="B50" s="951" t="s">
        <v>14</v>
      </c>
      <c r="C50" s="950" t="s">
        <v>15</v>
      </c>
      <c r="D50" s="952">
        <v>16.8</v>
      </c>
      <c r="E50" s="952">
        <f>E48*D50</f>
        <v>309.12</v>
      </c>
      <c r="F50" s="952"/>
      <c r="G50" s="952"/>
      <c r="H50" s="952"/>
      <c r="I50" s="952"/>
      <c r="J50" s="953"/>
      <c r="K50" s="952">
        <f>E50*J50</f>
        <v>0</v>
      </c>
      <c r="L50" s="1019">
        <f t="shared" si="1"/>
        <v>0</v>
      </c>
      <c r="M50" s="970"/>
      <c r="N50" s="970"/>
      <c r="O50" s="970"/>
      <c r="P50" s="970"/>
      <c r="Q50" s="970"/>
      <c r="R50" s="970"/>
      <c r="S50" s="970"/>
      <c r="T50" s="970"/>
      <c r="U50" s="970"/>
      <c r="V50" s="970"/>
      <c r="W50" s="970"/>
      <c r="X50" s="970"/>
      <c r="Y50" s="970"/>
      <c r="Z50" s="970"/>
      <c r="AA50" s="970"/>
      <c r="AB50" s="970"/>
      <c r="AC50" s="970"/>
      <c r="AD50" s="970"/>
      <c r="AE50" s="970"/>
      <c r="AF50" s="970"/>
      <c r="AG50" s="970"/>
      <c r="AH50" s="970"/>
      <c r="AI50" s="970"/>
      <c r="AJ50" s="970"/>
      <c r="AK50" s="970"/>
      <c r="AL50" s="970"/>
      <c r="AM50" s="970"/>
      <c r="AN50" s="970"/>
      <c r="AO50" s="970"/>
      <c r="AP50" s="970"/>
      <c r="AQ50" s="970"/>
      <c r="AR50" s="970"/>
      <c r="AS50" s="970"/>
      <c r="AT50" s="970"/>
      <c r="AU50" s="970"/>
      <c r="AV50" s="970"/>
      <c r="AW50" s="970"/>
      <c r="AX50" s="970"/>
      <c r="AY50" s="970"/>
      <c r="AZ50" s="970"/>
      <c r="BA50" s="970"/>
      <c r="BB50" s="970"/>
      <c r="BC50" s="970"/>
      <c r="BD50" s="970"/>
      <c r="BE50" s="970"/>
      <c r="BF50" s="970"/>
      <c r="BG50" s="970"/>
      <c r="BH50" s="970"/>
      <c r="BI50" s="970"/>
    </row>
    <row r="51" spans="1:61" s="960" customFormat="1" ht="12.75" x14ac:dyDescent="0.25">
      <c r="A51" s="1020">
        <v>2</v>
      </c>
      <c r="B51" s="957" t="s">
        <v>192</v>
      </c>
      <c r="C51" s="43" t="s">
        <v>115</v>
      </c>
      <c r="D51" s="958"/>
      <c r="E51" s="47">
        <f>E48*1.1</f>
        <v>20.239999999999998</v>
      </c>
      <c r="F51" s="959"/>
      <c r="G51" s="959"/>
      <c r="H51" s="959"/>
      <c r="I51" s="959"/>
      <c r="J51" s="959"/>
      <c r="K51" s="959"/>
      <c r="L51" s="1021"/>
      <c r="M51" s="971"/>
      <c r="N51" s="972"/>
      <c r="O51" s="972"/>
      <c r="P51" s="972"/>
      <c r="Q51" s="972"/>
      <c r="R51" s="972"/>
      <c r="S51" s="972"/>
      <c r="T51" s="972"/>
      <c r="U51" s="972"/>
      <c r="V51" s="972"/>
      <c r="W51" s="972"/>
      <c r="X51" s="972"/>
      <c r="Y51" s="972"/>
      <c r="Z51" s="972"/>
      <c r="AA51" s="972"/>
      <c r="AB51" s="972"/>
      <c r="AC51" s="972"/>
      <c r="AD51" s="972"/>
      <c r="AE51" s="972"/>
      <c r="AF51" s="972"/>
      <c r="AG51" s="972"/>
      <c r="AH51" s="972"/>
      <c r="AI51" s="972"/>
      <c r="AJ51" s="972"/>
      <c r="AK51" s="972"/>
      <c r="AL51" s="972"/>
      <c r="AM51" s="972"/>
      <c r="AN51" s="972"/>
      <c r="AO51" s="972"/>
      <c r="AP51" s="972"/>
      <c r="AQ51" s="972"/>
      <c r="AR51" s="972"/>
      <c r="AS51" s="972"/>
      <c r="AT51" s="972"/>
      <c r="AU51" s="972"/>
      <c r="AV51" s="972"/>
      <c r="AW51" s="972"/>
      <c r="AX51" s="972"/>
      <c r="AY51" s="972"/>
      <c r="AZ51" s="972"/>
      <c r="BA51" s="972"/>
      <c r="BB51" s="972"/>
      <c r="BC51" s="972"/>
      <c r="BD51" s="972"/>
      <c r="BE51" s="972"/>
      <c r="BF51" s="972"/>
      <c r="BG51" s="972"/>
      <c r="BH51" s="972"/>
      <c r="BI51" s="972"/>
    </row>
    <row r="52" spans="1:61" s="69" customFormat="1" ht="16.5" customHeight="1" x14ac:dyDescent="0.25">
      <c r="A52" s="1022"/>
      <c r="B52" s="352" t="s">
        <v>46</v>
      </c>
      <c r="C52" s="44" t="s">
        <v>37</v>
      </c>
      <c r="D52" s="961">
        <v>0.64</v>
      </c>
      <c r="E52" s="962">
        <f>D52*E51</f>
        <v>12.9536</v>
      </c>
      <c r="F52" s="963"/>
      <c r="G52" s="964">
        <f>E52*F52</f>
        <v>0</v>
      </c>
      <c r="H52" s="959"/>
      <c r="I52" s="959"/>
      <c r="J52" s="965"/>
      <c r="K52" s="964"/>
      <c r="L52" s="1023">
        <f t="shared" si="1"/>
        <v>0</v>
      </c>
      <c r="M52" s="973"/>
      <c r="N52" s="973"/>
      <c r="O52" s="973"/>
      <c r="P52" s="973"/>
      <c r="Q52" s="973"/>
      <c r="R52" s="973"/>
      <c r="S52" s="973"/>
      <c r="T52" s="973"/>
      <c r="U52" s="973"/>
      <c r="V52" s="973"/>
      <c r="W52" s="973"/>
      <c r="X52" s="973"/>
      <c r="Y52" s="973"/>
      <c r="Z52" s="973"/>
      <c r="AA52" s="973"/>
      <c r="AB52" s="973"/>
      <c r="AC52" s="973"/>
      <c r="AD52" s="973"/>
      <c r="AE52" s="973"/>
      <c r="AF52" s="973"/>
      <c r="AG52" s="973"/>
      <c r="AH52" s="973"/>
      <c r="AI52" s="973"/>
      <c r="AJ52" s="973"/>
      <c r="AK52" s="973"/>
      <c r="AL52" s="973"/>
      <c r="AM52" s="973"/>
      <c r="AN52" s="973"/>
      <c r="AO52" s="973"/>
      <c r="AP52" s="973"/>
      <c r="AQ52" s="973"/>
      <c r="AR52" s="973"/>
      <c r="AS52" s="973"/>
      <c r="AT52" s="973"/>
      <c r="AU52" s="973"/>
      <c r="AV52" s="973"/>
      <c r="AW52" s="973"/>
      <c r="AX52" s="973"/>
      <c r="AY52" s="973"/>
      <c r="AZ52" s="973"/>
      <c r="BA52" s="973"/>
      <c r="BB52" s="973"/>
      <c r="BC52" s="973"/>
      <c r="BD52" s="973"/>
      <c r="BE52" s="973"/>
      <c r="BF52" s="973"/>
      <c r="BG52" s="973"/>
      <c r="BH52" s="973"/>
      <c r="BI52" s="973"/>
    </row>
    <row r="53" spans="1:61" s="960" customFormat="1" ht="26.25" customHeight="1" thickBot="1" x14ac:dyDescent="0.3">
      <c r="A53" s="1020">
        <v>3</v>
      </c>
      <c r="B53" s="33" t="s">
        <v>193</v>
      </c>
      <c r="C53" s="43" t="s">
        <v>450</v>
      </c>
      <c r="D53" s="958"/>
      <c r="E53" s="47">
        <f>E51*2.2</f>
        <v>44.527999999999999</v>
      </c>
      <c r="F53" s="959"/>
      <c r="G53" s="959"/>
      <c r="H53" s="959"/>
      <c r="I53" s="959"/>
      <c r="J53" s="963"/>
      <c r="K53" s="965">
        <f>J53*E53</f>
        <v>0</v>
      </c>
      <c r="L53" s="1023">
        <f t="shared" si="1"/>
        <v>0</v>
      </c>
      <c r="M53" s="971"/>
      <c r="N53" s="972"/>
      <c r="O53" s="972"/>
      <c r="P53" s="972"/>
      <c r="Q53" s="972"/>
      <c r="R53" s="972"/>
      <c r="S53" s="972"/>
      <c r="T53" s="972"/>
      <c r="U53" s="972"/>
      <c r="V53" s="972"/>
      <c r="W53" s="972"/>
      <c r="X53" s="972"/>
      <c r="Y53" s="972"/>
      <c r="Z53" s="972"/>
      <c r="AA53" s="972"/>
      <c r="AB53" s="972"/>
      <c r="AC53" s="972"/>
      <c r="AD53" s="972"/>
      <c r="AE53" s="972"/>
      <c r="AF53" s="972"/>
      <c r="AG53" s="972"/>
      <c r="AH53" s="972"/>
      <c r="AI53" s="972"/>
      <c r="AJ53" s="972"/>
      <c r="AK53" s="972"/>
      <c r="AL53" s="972"/>
      <c r="AM53" s="972"/>
      <c r="AN53" s="972"/>
      <c r="AO53" s="972"/>
      <c r="AP53" s="972"/>
      <c r="AQ53" s="972"/>
      <c r="AR53" s="972"/>
      <c r="AS53" s="972"/>
      <c r="AT53" s="972"/>
      <c r="AU53" s="972"/>
      <c r="AV53" s="972"/>
      <c r="AW53" s="972"/>
      <c r="AX53" s="972"/>
      <c r="AY53" s="972"/>
      <c r="AZ53" s="972"/>
      <c r="BA53" s="972"/>
      <c r="BB53" s="972"/>
      <c r="BC53" s="972"/>
      <c r="BD53" s="972"/>
      <c r="BE53" s="972"/>
      <c r="BF53" s="972"/>
      <c r="BG53" s="972"/>
      <c r="BH53" s="972"/>
      <c r="BI53" s="972"/>
    </row>
    <row r="54" spans="1:61" s="717" customFormat="1" ht="12.75" x14ac:dyDescent="0.25">
      <c r="A54" s="710"/>
      <c r="B54" s="716" t="s">
        <v>131</v>
      </c>
      <c r="C54" s="713"/>
      <c r="D54" s="713"/>
      <c r="E54" s="711"/>
      <c r="F54" s="711"/>
      <c r="G54" s="714"/>
      <c r="H54" s="711"/>
      <c r="I54" s="714"/>
      <c r="J54" s="711"/>
      <c r="K54" s="714"/>
      <c r="L54" s="715"/>
      <c r="M54" s="496"/>
      <c r="N54" s="496"/>
      <c r="O54" s="496"/>
      <c r="P54" s="496"/>
      <c r="Q54" s="496"/>
      <c r="R54" s="496"/>
      <c r="S54" s="496"/>
      <c r="T54" s="496"/>
      <c r="U54" s="496"/>
      <c r="V54" s="496"/>
      <c r="W54" s="496"/>
      <c r="X54" s="496"/>
      <c r="Y54" s="496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</row>
    <row r="55" spans="1:61" s="58" customFormat="1" ht="25.5" x14ac:dyDescent="0.25">
      <c r="A55" s="534">
        <v>1</v>
      </c>
      <c r="B55" s="521" t="s">
        <v>147</v>
      </c>
      <c r="C55" s="522" t="s">
        <v>234</v>
      </c>
      <c r="D55" s="523"/>
      <c r="E55" s="524">
        <v>960</v>
      </c>
      <c r="F55" s="523"/>
      <c r="G55" s="525"/>
      <c r="H55" s="523"/>
      <c r="I55" s="523"/>
      <c r="J55" s="526"/>
      <c r="K55" s="523"/>
      <c r="L55" s="1024"/>
      <c r="M55" s="323"/>
      <c r="N55" s="324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</row>
    <row r="56" spans="1:61" s="58" customFormat="1" ht="12.75" x14ac:dyDescent="0.25">
      <c r="A56" s="535" t="s">
        <v>136</v>
      </c>
      <c r="B56" s="413" t="s">
        <v>36</v>
      </c>
      <c r="C56" s="414" t="s">
        <v>37</v>
      </c>
      <c r="D56" s="415">
        <f>13.2*0.001</f>
        <v>1.32E-2</v>
      </c>
      <c r="E56" s="416">
        <f>D56*E55</f>
        <v>12.672000000000001</v>
      </c>
      <c r="F56" s="1177"/>
      <c r="G56" s="416">
        <f>E56*F56</f>
        <v>0</v>
      </c>
      <c r="H56" s="416"/>
      <c r="I56" s="416"/>
      <c r="J56" s="417"/>
      <c r="K56" s="416"/>
      <c r="L56" s="1025">
        <f>G56+I56+K56</f>
        <v>0</v>
      </c>
      <c r="M56" s="325"/>
      <c r="N56" s="326"/>
      <c r="O56" s="325"/>
      <c r="P56" s="325"/>
      <c r="Q56" s="325"/>
      <c r="R56" s="325"/>
      <c r="S56" s="325"/>
      <c r="T56" s="325"/>
      <c r="U56" s="325"/>
      <c r="V56" s="325"/>
      <c r="W56" s="325"/>
      <c r="X56" s="325"/>
      <c r="Y56" s="325"/>
    </row>
    <row r="57" spans="1:61" s="58" customFormat="1" ht="15" x14ac:dyDescent="0.25">
      <c r="A57" s="535" t="s">
        <v>136</v>
      </c>
      <c r="B57" s="413" t="s">
        <v>235</v>
      </c>
      <c r="C57" s="414" t="s">
        <v>137</v>
      </c>
      <c r="D57" s="415">
        <f>29.5*0.001</f>
        <v>2.9500000000000002E-2</v>
      </c>
      <c r="E57" s="416">
        <f>D57*E55</f>
        <v>28.32</v>
      </c>
      <c r="F57" s="416"/>
      <c r="G57" s="416"/>
      <c r="H57" s="416"/>
      <c r="I57" s="416"/>
      <c r="J57" s="1151"/>
      <c r="K57" s="416">
        <f>J57*E57</f>
        <v>0</v>
      </c>
      <c r="L57" s="1025">
        <f>G57+I57+K57</f>
        <v>0</v>
      </c>
      <c r="M57" s="325"/>
      <c r="N57" s="326"/>
      <c r="O57" s="325"/>
      <c r="P57" s="325"/>
      <c r="Q57" s="325"/>
      <c r="R57" s="325"/>
      <c r="S57" s="325"/>
      <c r="T57" s="325"/>
      <c r="U57" s="325"/>
      <c r="V57" s="325"/>
      <c r="W57" s="325"/>
      <c r="X57" s="325"/>
      <c r="Y57" s="325"/>
    </row>
    <row r="58" spans="1:61" s="58" customFormat="1" ht="12.75" x14ac:dyDescent="0.25">
      <c r="A58" s="535" t="s">
        <v>136</v>
      </c>
      <c r="B58" s="413" t="s">
        <v>138</v>
      </c>
      <c r="C58" s="414" t="s">
        <v>15</v>
      </c>
      <c r="D58" s="415">
        <f>2.1*0.001</f>
        <v>2.1000000000000003E-3</v>
      </c>
      <c r="E58" s="416">
        <f>D58*E55</f>
        <v>2.0160000000000005</v>
      </c>
      <c r="F58" s="416"/>
      <c r="G58" s="416"/>
      <c r="H58" s="416"/>
      <c r="I58" s="416"/>
      <c r="J58" s="1150"/>
      <c r="K58" s="416">
        <f>J58*E58</f>
        <v>0</v>
      </c>
      <c r="L58" s="1025">
        <f>G58+I58+K58</f>
        <v>0</v>
      </c>
      <c r="M58" s="325"/>
      <c r="N58" s="326"/>
      <c r="O58" s="325"/>
      <c r="P58" s="325"/>
      <c r="Q58" s="325"/>
      <c r="R58" s="325"/>
      <c r="S58" s="325"/>
      <c r="T58" s="325"/>
      <c r="U58" s="325"/>
      <c r="V58" s="325"/>
      <c r="W58" s="325"/>
      <c r="X58" s="325"/>
      <c r="Y58" s="325"/>
    </row>
    <row r="59" spans="1:61" s="58" customFormat="1" ht="15" x14ac:dyDescent="0.25">
      <c r="A59" s="535" t="s">
        <v>136</v>
      </c>
      <c r="B59" s="527" t="s">
        <v>318</v>
      </c>
      <c r="C59" s="414" t="s">
        <v>220</v>
      </c>
      <c r="D59" s="528">
        <f>0.05*0.001</f>
        <v>5.0000000000000002E-5</v>
      </c>
      <c r="E59" s="416">
        <f>D59*E55</f>
        <v>4.8000000000000001E-2</v>
      </c>
      <c r="F59" s="416"/>
      <c r="G59" s="416"/>
      <c r="H59" s="1151"/>
      <c r="I59" s="416">
        <f>H59*E59</f>
        <v>0</v>
      </c>
      <c r="J59" s="417"/>
      <c r="K59" s="416"/>
      <c r="L59" s="1025">
        <f>G59+I59+K59</f>
        <v>0</v>
      </c>
      <c r="M59" s="325"/>
      <c r="N59" s="326"/>
      <c r="O59" s="325"/>
      <c r="P59" s="325"/>
      <c r="Q59" s="325"/>
      <c r="R59" s="325"/>
      <c r="S59" s="325"/>
      <c r="T59" s="325"/>
      <c r="U59" s="325"/>
      <c r="V59" s="325"/>
      <c r="W59" s="325"/>
      <c r="X59" s="325"/>
      <c r="Y59" s="325"/>
    </row>
    <row r="60" spans="1:61" s="58" customFormat="1" x14ac:dyDescent="0.25">
      <c r="A60" s="536">
        <v>2</v>
      </c>
      <c r="B60" s="529" t="s">
        <v>319</v>
      </c>
      <c r="C60" s="46" t="s">
        <v>132</v>
      </c>
      <c r="D60" s="524"/>
      <c r="E60" s="524">
        <f>E62+E63</f>
        <v>1800</v>
      </c>
      <c r="F60" s="530"/>
      <c r="G60" s="530"/>
      <c r="H60" s="530"/>
      <c r="I60" s="530"/>
      <c r="J60" s="530"/>
      <c r="K60" s="530"/>
      <c r="L60" s="1026"/>
      <c r="M60" s="327"/>
      <c r="N60" s="327"/>
      <c r="O60" s="328"/>
      <c r="P60" s="327"/>
      <c r="Q60" s="327"/>
      <c r="R60" s="327"/>
      <c r="S60" s="327"/>
      <c r="T60" s="327"/>
      <c r="U60" s="327"/>
      <c r="V60" s="327"/>
      <c r="W60" s="327"/>
      <c r="X60" s="327"/>
      <c r="Y60" s="327"/>
    </row>
    <row r="61" spans="1:61" s="58" customFormat="1" x14ac:dyDescent="0.25">
      <c r="A61" s="537"/>
      <c r="B61" s="527" t="s">
        <v>107</v>
      </c>
      <c r="C61" s="70" t="s">
        <v>37</v>
      </c>
      <c r="D61" s="531">
        <v>0.15</v>
      </c>
      <c r="E61" s="531">
        <f>E60*D61</f>
        <v>270</v>
      </c>
      <c r="F61" s="1177"/>
      <c r="G61" s="531">
        <f>E61*F61</f>
        <v>0</v>
      </c>
      <c r="H61" s="532"/>
      <c r="I61" s="532"/>
      <c r="J61" s="532"/>
      <c r="K61" s="532"/>
      <c r="L61" s="1027">
        <f t="shared" ref="L61:L67" si="2">G61+I61+K61</f>
        <v>0</v>
      </c>
      <c r="M61" s="329"/>
      <c r="N61" s="329"/>
      <c r="O61" s="330"/>
      <c r="P61" s="329"/>
      <c r="Q61" s="329"/>
      <c r="R61" s="329"/>
      <c r="S61" s="329"/>
      <c r="T61" s="329"/>
      <c r="U61" s="329"/>
      <c r="V61" s="329"/>
      <c r="W61" s="329"/>
      <c r="X61" s="329"/>
      <c r="Y61" s="329"/>
    </row>
    <row r="62" spans="1:61" s="58" customFormat="1" x14ac:dyDescent="0.25">
      <c r="A62" s="1062"/>
      <c r="B62" s="570" t="s">
        <v>139</v>
      </c>
      <c r="C62" s="176" t="s">
        <v>132</v>
      </c>
      <c r="D62" s="1063"/>
      <c r="E62" s="1063">
        <v>1200</v>
      </c>
      <c r="F62" s="1064"/>
      <c r="G62" s="1064"/>
      <c r="H62" s="1183"/>
      <c r="I62" s="1063">
        <f>H62*E62</f>
        <v>0</v>
      </c>
      <c r="J62" s="1064"/>
      <c r="K62" s="1064"/>
      <c r="L62" s="1065">
        <f t="shared" si="2"/>
        <v>0</v>
      </c>
      <c r="M62" s="1066"/>
      <c r="N62" s="1066"/>
      <c r="O62" s="1067"/>
      <c r="P62" s="1066"/>
      <c r="Q62" s="1066"/>
      <c r="R62" s="1066"/>
      <c r="S62" s="1066"/>
      <c r="T62" s="1066"/>
      <c r="U62" s="1066"/>
      <c r="V62" s="1066"/>
      <c r="W62" s="1066"/>
      <c r="X62" s="1066"/>
      <c r="Y62" s="1066"/>
    </row>
    <row r="63" spans="1:61" s="58" customFormat="1" x14ac:dyDescent="0.25">
      <c r="A63" s="537"/>
      <c r="B63" s="527" t="s">
        <v>318</v>
      </c>
      <c r="C63" s="70" t="s">
        <v>132</v>
      </c>
      <c r="D63" s="531"/>
      <c r="E63" s="531">
        <v>600</v>
      </c>
      <c r="F63" s="532"/>
      <c r="G63" s="532"/>
      <c r="H63" s="1151"/>
      <c r="I63" s="531">
        <f>H63*E63</f>
        <v>0</v>
      </c>
      <c r="J63" s="532"/>
      <c r="K63" s="532"/>
      <c r="L63" s="1027">
        <f>G63+I63+K63</f>
        <v>0</v>
      </c>
      <c r="M63" s="329"/>
      <c r="N63" s="329"/>
      <c r="O63" s="330"/>
      <c r="P63" s="329"/>
      <c r="Q63" s="329"/>
      <c r="R63" s="329"/>
      <c r="S63" s="329"/>
      <c r="T63" s="329"/>
      <c r="U63" s="329"/>
      <c r="V63" s="329"/>
      <c r="W63" s="329"/>
      <c r="X63" s="329"/>
      <c r="Y63" s="329"/>
    </row>
    <row r="64" spans="1:61" s="58" customFormat="1" x14ac:dyDescent="0.25">
      <c r="A64" s="537"/>
      <c r="B64" s="527" t="s">
        <v>133</v>
      </c>
      <c r="C64" s="70" t="s">
        <v>134</v>
      </c>
      <c r="D64" s="533">
        <v>2.1600000000000001E-2</v>
      </c>
      <c r="E64" s="531">
        <f>E60*D64</f>
        <v>38.880000000000003</v>
      </c>
      <c r="F64" s="532"/>
      <c r="G64" s="532"/>
      <c r="H64" s="531"/>
      <c r="I64" s="531"/>
      <c r="J64" s="1190"/>
      <c r="K64" s="531">
        <f>E64*J64</f>
        <v>0</v>
      </c>
      <c r="L64" s="1027">
        <f t="shared" si="2"/>
        <v>0</v>
      </c>
      <c r="M64" s="329"/>
      <c r="N64" s="329"/>
      <c r="O64" s="330"/>
      <c r="P64" s="329"/>
      <c r="Q64" s="329"/>
      <c r="R64" s="329"/>
      <c r="S64" s="329"/>
      <c r="T64" s="329"/>
      <c r="U64" s="329"/>
      <c r="V64" s="329"/>
      <c r="W64" s="329"/>
      <c r="X64" s="329"/>
      <c r="Y64" s="329"/>
    </row>
    <row r="65" spans="1:61" s="329" customFormat="1" x14ac:dyDescent="0.25">
      <c r="A65" s="537"/>
      <c r="B65" s="527" t="s">
        <v>135</v>
      </c>
      <c r="C65" s="70" t="s">
        <v>134</v>
      </c>
      <c r="D65" s="533">
        <v>2.7300000000000001E-2</v>
      </c>
      <c r="E65" s="531">
        <f>E60*D65</f>
        <v>49.14</v>
      </c>
      <c r="F65" s="532"/>
      <c r="G65" s="532"/>
      <c r="H65" s="531"/>
      <c r="I65" s="531"/>
      <c r="J65" s="1190"/>
      <c r="K65" s="531">
        <f>E65*J65</f>
        <v>0</v>
      </c>
      <c r="L65" s="1027">
        <f t="shared" si="2"/>
        <v>0</v>
      </c>
      <c r="O65" s="330"/>
    </row>
    <row r="66" spans="1:61" s="329" customFormat="1" x14ac:dyDescent="0.25">
      <c r="A66" s="537"/>
      <c r="B66" s="527" t="s">
        <v>142</v>
      </c>
      <c r="C66" s="70" t="s">
        <v>134</v>
      </c>
      <c r="D66" s="533">
        <v>9.7000000000000003E-3</v>
      </c>
      <c r="E66" s="531">
        <f>E60*D66</f>
        <v>17.46</v>
      </c>
      <c r="F66" s="532"/>
      <c r="G66" s="532"/>
      <c r="H66" s="531"/>
      <c r="I66" s="531"/>
      <c r="J66" s="1190"/>
      <c r="K66" s="531">
        <f>E66*J66</f>
        <v>0</v>
      </c>
      <c r="L66" s="1027">
        <f t="shared" si="2"/>
        <v>0</v>
      </c>
      <c r="O66" s="330"/>
    </row>
    <row r="67" spans="1:61" s="544" customFormat="1" ht="14.25" thickBot="1" x14ac:dyDescent="0.3">
      <c r="A67" s="538"/>
      <c r="B67" s="540" t="s">
        <v>143</v>
      </c>
      <c r="C67" s="539" t="s">
        <v>97</v>
      </c>
      <c r="D67" s="541">
        <v>7.0000000000000007E-2</v>
      </c>
      <c r="E67" s="542">
        <f>E60*D67</f>
        <v>126.00000000000001</v>
      </c>
      <c r="F67" s="543"/>
      <c r="G67" s="543"/>
      <c r="H67" s="1184"/>
      <c r="I67" s="542">
        <f>H67*E67</f>
        <v>0</v>
      </c>
      <c r="J67" s="542"/>
      <c r="K67" s="542"/>
      <c r="L67" s="1028">
        <f t="shared" si="2"/>
        <v>0</v>
      </c>
      <c r="M67" s="329"/>
      <c r="N67" s="329"/>
      <c r="O67" s="330"/>
      <c r="P67" s="329"/>
      <c r="Q67" s="329"/>
      <c r="R67" s="329"/>
      <c r="S67" s="329"/>
      <c r="T67" s="329"/>
      <c r="U67" s="329"/>
      <c r="V67" s="329"/>
      <c r="W67" s="329"/>
      <c r="X67" s="329"/>
      <c r="Y67" s="329"/>
      <c r="Z67" s="329"/>
      <c r="AA67" s="329"/>
      <c r="AB67" s="329"/>
      <c r="AC67" s="329"/>
      <c r="AD67" s="329"/>
      <c r="AE67" s="329"/>
      <c r="AF67" s="329"/>
      <c r="AG67" s="329"/>
      <c r="AH67" s="329"/>
      <c r="AI67" s="329"/>
      <c r="AJ67" s="329"/>
      <c r="AK67" s="329"/>
      <c r="AL67" s="329"/>
      <c r="AM67" s="329"/>
      <c r="AN67" s="329"/>
      <c r="AO67" s="329"/>
      <c r="AP67" s="329"/>
      <c r="AQ67" s="329"/>
      <c r="AR67" s="329"/>
      <c r="AS67" s="329"/>
      <c r="AT67" s="329"/>
      <c r="AU67" s="329"/>
      <c r="AV67" s="329"/>
      <c r="AW67" s="329"/>
      <c r="AX67" s="329"/>
      <c r="AY67" s="329"/>
      <c r="AZ67" s="329"/>
      <c r="BA67" s="329"/>
      <c r="BB67" s="329"/>
      <c r="BC67" s="329"/>
      <c r="BD67" s="329"/>
      <c r="BE67" s="329"/>
      <c r="BF67" s="329"/>
      <c r="BG67" s="329"/>
      <c r="BH67" s="329"/>
      <c r="BI67" s="329"/>
    </row>
    <row r="68" spans="1:61" s="71" customFormat="1" ht="12.75" x14ac:dyDescent="0.25">
      <c r="A68" s="1029"/>
      <c r="B68" s="719" t="s">
        <v>109</v>
      </c>
      <c r="C68" s="720"/>
      <c r="D68" s="720"/>
      <c r="E68" s="718"/>
      <c r="F68" s="718"/>
      <c r="G68" s="721"/>
      <c r="H68" s="718"/>
      <c r="I68" s="721"/>
      <c r="J68" s="718"/>
      <c r="K68" s="721"/>
      <c r="L68" s="1030"/>
      <c r="M68" s="496"/>
      <c r="N68" s="496"/>
      <c r="O68" s="496"/>
      <c r="P68" s="496"/>
      <c r="Q68" s="496"/>
      <c r="R68" s="496"/>
      <c r="S68" s="496"/>
      <c r="T68" s="496"/>
      <c r="U68" s="496"/>
      <c r="V68" s="496"/>
      <c r="W68" s="496"/>
      <c r="X68" s="496"/>
      <c r="Y68" s="496"/>
      <c r="Z68" s="496"/>
      <c r="AA68" s="496"/>
      <c r="AB68" s="496"/>
      <c r="AC68" s="496"/>
      <c r="AD68" s="496"/>
      <c r="AE68" s="496"/>
      <c r="AF68" s="496"/>
      <c r="AG68" s="496"/>
      <c r="AH68" s="496"/>
      <c r="AI68" s="496"/>
      <c r="AJ68" s="496"/>
      <c r="AK68" s="496"/>
      <c r="AL68" s="496"/>
      <c r="AM68" s="496"/>
      <c r="AN68" s="496"/>
      <c r="AO68" s="496"/>
      <c r="AP68" s="496"/>
      <c r="AQ68" s="496"/>
      <c r="AR68" s="496"/>
      <c r="AS68" s="496"/>
      <c r="AT68" s="496"/>
      <c r="AU68" s="496"/>
      <c r="AV68" s="496"/>
      <c r="AW68" s="496"/>
      <c r="AX68" s="496"/>
      <c r="AY68" s="496"/>
      <c r="AZ68" s="496"/>
      <c r="BA68" s="496"/>
      <c r="BB68" s="496"/>
      <c r="BC68" s="496"/>
      <c r="BD68" s="496"/>
      <c r="BE68" s="496"/>
      <c r="BF68" s="496"/>
      <c r="BG68" s="496"/>
      <c r="BH68" s="496"/>
      <c r="BI68" s="496"/>
    </row>
    <row r="69" spans="1:61" s="336" customFormat="1" ht="40.5" customHeight="1" x14ac:dyDescent="0.25">
      <c r="A69" s="595">
        <v>1</v>
      </c>
      <c r="B69" s="546" t="s">
        <v>110</v>
      </c>
      <c r="C69" s="545" t="s">
        <v>10</v>
      </c>
      <c r="D69" s="547" t="s">
        <v>111</v>
      </c>
      <c r="E69" s="722">
        <f>0.4*0.6*0.4*(625/2)</f>
        <v>30</v>
      </c>
      <c r="F69" s="548"/>
      <c r="G69" s="548"/>
      <c r="H69" s="549"/>
      <c r="I69" s="549"/>
      <c r="J69" s="548"/>
      <c r="K69" s="548"/>
      <c r="L69" s="610"/>
      <c r="M69" s="596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6"/>
      <c r="Y69" s="596"/>
      <c r="Z69" s="596"/>
      <c r="AA69" s="596"/>
      <c r="AB69" s="596"/>
      <c r="AC69" s="596"/>
      <c r="AD69" s="596"/>
      <c r="AE69" s="596"/>
      <c r="AF69" s="596"/>
      <c r="AG69" s="596"/>
      <c r="AH69" s="596"/>
      <c r="AI69" s="596"/>
      <c r="AJ69" s="596"/>
      <c r="AK69" s="596"/>
      <c r="AL69" s="596"/>
      <c r="AM69" s="596"/>
      <c r="AN69" s="596"/>
      <c r="AO69" s="596"/>
      <c r="AP69" s="596"/>
      <c r="AQ69" s="596"/>
      <c r="AR69" s="596"/>
      <c r="AS69" s="596"/>
      <c r="AT69" s="596"/>
      <c r="AU69" s="596"/>
      <c r="AV69" s="596"/>
      <c r="AW69" s="596"/>
      <c r="AX69" s="596"/>
      <c r="AY69" s="596"/>
      <c r="AZ69" s="596"/>
      <c r="BA69" s="596"/>
      <c r="BB69" s="596"/>
      <c r="BC69" s="596"/>
      <c r="BD69" s="596"/>
      <c r="BE69" s="596"/>
      <c r="BF69" s="596"/>
      <c r="BG69" s="596"/>
      <c r="BH69" s="596"/>
      <c r="BI69" s="596"/>
    </row>
    <row r="70" spans="1:61" s="171" customFormat="1" ht="12.75" x14ac:dyDescent="0.25">
      <c r="A70" s="597"/>
      <c r="B70" s="551" t="s">
        <v>112</v>
      </c>
      <c r="C70" s="550" t="s">
        <v>29</v>
      </c>
      <c r="D70" s="552">
        <v>2.06</v>
      </c>
      <c r="E70" s="553">
        <f>E69*D70</f>
        <v>61.800000000000004</v>
      </c>
      <c r="F70" s="1177"/>
      <c r="G70" s="548">
        <f>E70*F70</f>
        <v>0</v>
      </c>
      <c r="H70" s="548"/>
      <c r="I70" s="549"/>
      <c r="J70" s="549"/>
      <c r="K70" s="548"/>
      <c r="L70" s="610">
        <f t="shared" ref="L70:L77" si="3">K70+I70+G70</f>
        <v>0</v>
      </c>
      <c r="M70" s="598"/>
      <c r="N70" s="598"/>
      <c r="O70" s="598"/>
      <c r="P70" s="598"/>
      <c r="Q70" s="598"/>
      <c r="R70" s="598"/>
      <c r="S70" s="598"/>
      <c r="T70" s="598"/>
      <c r="U70" s="598"/>
      <c r="V70" s="598"/>
      <c r="W70" s="598"/>
      <c r="X70" s="598"/>
      <c r="Y70" s="598"/>
      <c r="Z70" s="598"/>
      <c r="AA70" s="598"/>
      <c r="AB70" s="598"/>
      <c r="AC70" s="598"/>
      <c r="AD70" s="598"/>
      <c r="AE70" s="598"/>
      <c r="AF70" s="598"/>
      <c r="AG70" s="598"/>
      <c r="AH70" s="598"/>
      <c r="AI70" s="598"/>
      <c r="AJ70" s="598"/>
      <c r="AK70" s="598"/>
      <c r="AL70" s="598"/>
      <c r="AM70" s="598"/>
      <c r="AN70" s="598"/>
      <c r="AO70" s="598"/>
      <c r="AP70" s="598"/>
      <c r="AQ70" s="598"/>
      <c r="AR70" s="598"/>
      <c r="AS70" s="598"/>
      <c r="AT70" s="598"/>
      <c r="AU70" s="598"/>
      <c r="AV70" s="598"/>
      <c r="AW70" s="598"/>
      <c r="AX70" s="598"/>
      <c r="AY70" s="598"/>
      <c r="AZ70" s="598"/>
      <c r="BA70" s="598"/>
      <c r="BB70" s="598"/>
      <c r="BC70" s="598"/>
      <c r="BD70" s="598"/>
      <c r="BE70" s="598"/>
      <c r="BF70" s="598"/>
      <c r="BG70" s="598"/>
      <c r="BH70" s="598"/>
      <c r="BI70" s="598"/>
    </row>
    <row r="71" spans="1:61" s="336" customFormat="1" ht="25.5" x14ac:dyDescent="0.25">
      <c r="A71" s="595">
        <v>2</v>
      </c>
      <c r="B71" s="546" t="s">
        <v>349</v>
      </c>
      <c r="C71" s="545" t="s">
        <v>26</v>
      </c>
      <c r="D71" s="547" t="s">
        <v>111</v>
      </c>
      <c r="E71" s="722">
        <f>(0.4*0.6*0.4*320)/100</f>
        <v>0.30719999999999997</v>
      </c>
      <c r="F71" s="548"/>
      <c r="G71" s="548"/>
      <c r="H71" s="548"/>
      <c r="I71" s="549"/>
      <c r="J71" s="549"/>
      <c r="K71" s="548"/>
      <c r="L71" s="610"/>
      <c r="M71" s="596"/>
      <c r="N71" s="596"/>
      <c r="O71" s="596"/>
      <c r="P71" s="596"/>
      <c r="Q71" s="596"/>
      <c r="R71" s="596"/>
      <c r="S71" s="596"/>
      <c r="T71" s="596"/>
      <c r="U71" s="596"/>
      <c r="V71" s="596"/>
      <c r="W71" s="596"/>
      <c r="X71" s="596"/>
      <c r="Y71" s="596"/>
      <c r="Z71" s="596"/>
      <c r="AA71" s="596"/>
      <c r="AB71" s="596"/>
      <c r="AC71" s="596"/>
      <c r="AD71" s="596"/>
      <c r="AE71" s="596"/>
      <c r="AF71" s="596"/>
      <c r="AG71" s="596"/>
      <c r="AH71" s="596"/>
      <c r="AI71" s="596"/>
      <c r="AJ71" s="596"/>
      <c r="AK71" s="596"/>
      <c r="AL71" s="596"/>
      <c r="AM71" s="596"/>
      <c r="AN71" s="596"/>
      <c r="AO71" s="596"/>
      <c r="AP71" s="596"/>
      <c r="AQ71" s="596"/>
      <c r="AR71" s="596"/>
      <c r="AS71" s="596"/>
      <c r="AT71" s="596"/>
      <c r="AU71" s="596"/>
      <c r="AV71" s="596"/>
      <c r="AW71" s="596"/>
      <c r="AX71" s="596"/>
      <c r="AY71" s="596"/>
      <c r="AZ71" s="596"/>
      <c r="BA71" s="596"/>
      <c r="BB71" s="596"/>
      <c r="BC71" s="596"/>
      <c r="BD71" s="596"/>
      <c r="BE71" s="596"/>
      <c r="BF71" s="596"/>
      <c r="BG71" s="596"/>
      <c r="BH71" s="596"/>
      <c r="BI71" s="596"/>
    </row>
    <row r="72" spans="1:61" s="171" customFormat="1" ht="12.75" x14ac:dyDescent="0.25">
      <c r="A72" s="597"/>
      <c r="B72" s="551" t="s">
        <v>112</v>
      </c>
      <c r="C72" s="550" t="s">
        <v>28</v>
      </c>
      <c r="D72" s="552">
        <v>450</v>
      </c>
      <c r="E72" s="553">
        <f>E71*D72</f>
        <v>138.23999999999998</v>
      </c>
      <c r="F72" s="1177"/>
      <c r="G72" s="548">
        <f>E72*F72</f>
        <v>0</v>
      </c>
      <c r="H72" s="549"/>
      <c r="I72" s="549"/>
      <c r="J72" s="548"/>
      <c r="K72" s="548"/>
      <c r="L72" s="610">
        <f t="shared" si="3"/>
        <v>0</v>
      </c>
      <c r="M72" s="598"/>
      <c r="N72" s="598"/>
      <c r="O72" s="598"/>
      <c r="P72" s="598"/>
      <c r="Q72" s="598"/>
      <c r="R72" s="598"/>
      <c r="S72" s="598"/>
      <c r="T72" s="598"/>
      <c r="U72" s="598"/>
      <c r="V72" s="598"/>
      <c r="W72" s="598"/>
      <c r="X72" s="598"/>
      <c r="Y72" s="598"/>
      <c r="Z72" s="598"/>
      <c r="AA72" s="598"/>
      <c r="AB72" s="598"/>
      <c r="AC72" s="598"/>
      <c r="AD72" s="598"/>
      <c r="AE72" s="598"/>
      <c r="AF72" s="598"/>
      <c r="AG72" s="598"/>
      <c r="AH72" s="598"/>
      <c r="AI72" s="598"/>
      <c r="AJ72" s="598"/>
      <c r="AK72" s="598"/>
      <c r="AL72" s="598"/>
      <c r="AM72" s="598"/>
      <c r="AN72" s="598"/>
      <c r="AO72" s="598"/>
      <c r="AP72" s="598"/>
      <c r="AQ72" s="598"/>
      <c r="AR72" s="598"/>
      <c r="AS72" s="598"/>
      <c r="AT72" s="598"/>
      <c r="AU72" s="598"/>
      <c r="AV72" s="598"/>
      <c r="AW72" s="598"/>
      <c r="AX72" s="598"/>
      <c r="AY72" s="598"/>
      <c r="AZ72" s="598"/>
      <c r="BA72" s="598"/>
      <c r="BB72" s="598"/>
      <c r="BC72" s="598"/>
      <c r="BD72" s="598"/>
      <c r="BE72" s="598"/>
      <c r="BF72" s="598"/>
      <c r="BG72" s="598"/>
      <c r="BH72" s="598"/>
      <c r="BI72" s="598"/>
    </row>
    <row r="73" spans="1:61" s="171" customFormat="1" ht="12.75" x14ac:dyDescent="0.25">
      <c r="A73" s="597"/>
      <c r="B73" s="551" t="s">
        <v>24</v>
      </c>
      <c r="C73" s="550" t="s">
        <v>33</v>
      </c>
      <c r="D73" s="552">
        <v>37</v>
      </c>
      <c r="E73" s="553">
        <f>E71*D73</f>
        <v>11.366399999999999</v>
      </c>
      <c r="F73" s="548"/>
      <c r="G73" s="548"/>
      <c r="H73" s="548"/>
      <c r="I73" s="549"/>
      <c r="J73" s="1185"/>
      <c r="K73" s="548">
        <f>J73*E73</f>
        <v>0</v>
      </c>
      <c r="L73" s="610">
        <f t="shared" si="3"/>
        <v>0</v>
      </c>
      <c r="M73" s="598"/>
      <c r="N73" s="598"/>
      <c r="O73" s="598"/>
      <c r="P73" s="598"/>
      <c r="Q73" s="598"/>
      <c r="R73" s="598"/>
      <c r="S73" s="598"/>
      <c r="T73" s="598"/>
      <c r="U73" s="598"/>
      <c r="V73" s="598"/>
      <c r="W73" s="598"/>
      <c r="X73" s="598"/>
      <c r="Y73" s="598"/>
      <c r="Z73" s="598"/>
      <c r="AA73" s="598"/>
      <c r="AB73" s="598"/>
      <c r="AC73" s="598"/>
      <c r="AD73" s="598"/>
      <c r="AE73" s="598"/>
      <c r="AF73" s="598"/>
      <c r="AG73" s="598"/>
      <c r="AH73" s="598"/>
      <c r="AI73" s="598"/>
      <c r="AJ73" s="598"/>
      <c r="AK73" s="598"/>
      <c r="AL73" s="598"/>
      <c r="AM73" s="598"/>
      <c r="AN73" s="598"/>
      <c r="AO73" s="598"/>
      <c r="AP73" s="598"/>
      <c r="AQ73" s="598"/>
      <c r="AR73" s="598"/>
      <c r="AS73" s="598"/>
      <c r="AT73" s="598"/>
      <c r="AU73" s="598"/>
      <c r="AV73" s="598"/>
      <c r="AW73" s="598"/>
      <c r="AX73" s="598"/>
      <c r="AY73" s="598"/>
      <c r="AZ73" s="598"/>
      <c r="BA73" s="598"/>
      <c r="BB73" s="598"/>
      <c r="BC73" s="598"/>
      <c r="BD73" s="598"/>
      <c r="BE73" s="598"/>
      <c r="BF73" s="598"/>
      <c r="BG73" s="598"/>
      <c r="BH73" s="598"/>
      <c r="BI73" s="598"/>
    </row>
    <row r="74" spans="1:61" s="171" customFormat="1" ht="12.75" x14ac:dyDescent="0.25">
      <c r="A74" s="597"/>
      <c r="B74" s="551" t="s">
        <v>113</v>
      </c>
      <c r="C74" s="550" t="s">
        <v>10</v>
      </c>
      <c r="D74" s="552">
        <v>102</v>
      </c>
      <c r="E74" s="553">
        <f>E71*D74</f>
        <v>31.334399999999999</v>
      </c>
      <c r="F74" s="548"/>
      <c r="G74" s="548"/>
      <c r="H74" s="1185"/>
      <c r="I74" s="549">
        <f>H74*E74</f>
        <v>0</v>
      </c>
      <c r="J74" s="548"/>
      <c r="K74" s="548"/>
      <c r="L74" s="610">
        <f t="shared" si="3"/>
        <v>0</v>
      </c>
      <c r="M74" s="598"/>
      <c r="N74" s="598"/>
      <c r="O74" s="598"/>
      <c r="P74" s="598"/>
      <c r="Q74" s="598"/>
      <c r="R74" s="598"/>
      <c r="S74" s="598"/>
      <c r="T74" s="598"/>
      <c r="U74" s="598"/>
      <c r="V74" s="598"/>
      <c r="W74" s="598"/>
      <c r="X74" s="598"/>
      <c r="Y74" s="598"/>
      <c r="Z74" s="598"/>
      <c r="AA74" s="598"/>
      <c r="AB74" s="598"/>
      <c r="AC74" s="598"/>
      <c r="AD74" s="598"/>
      <c r="AE74" s="598"/>
      <c r="AF74" s="598"/>
      <c r="AG74" s="598"/>
      <c r="AH74" s="598"/>
      <c r="AI74" s="598"/>
      <c r="AJ74" s="598"/>
      <c r="AK74" s="598"/>
      <c r="AL74" s="598"/>
      <c r="AM74" s="598"/>
      <c r="AN74" s="598"/>
      <c r="AO74" s="598"/>
      <c r="AP74" s="598"/>
      <c r="AQ74" s="598"/>
      <c r="AR74" s="598"/>
      <c r="AS74" s="598"/>
      <c r="AT74" s="598"/>
      <c r="AU74" s="598"/>
      <c r="AV74" s="598"/>
      <c r="AW74" s="598"/>
      <c r="AX74" s="598"/>
      <c r="AY74" s="598"/>
      <c r="AZ74" s="598"/>
      <c r="BA74" s="598"/>
      <c r="BB74" s="598"/>
      <c r="BC74" s="598"/>
      <c r="BD74" s="598"/>
      <c r="BE74" s="598"/>
      <c r="BF74" s="598"/>
      <c r="BG74" s="598"/>
      <c r="BH74" s="598"/>
      <c r="BI74" s="598"/>
    </row>
    <row r="75" spans="1:61" s="171" customFormat="1" ht="12.75" x14ac:dyDescent="0.25">
      <c r="A75" s="597"/>
      <c r="B75" s="361" t="s">
        <v>221</v>
      </c>
      <c r="C75" s="550" t="s">
        <v>17</v>
      </c>
      <c r="D75" s="552">
        <v>161</v>
      </c>
      <c r="E75" s="553">
        <f>D75*E71</f>
        <v>49.459199999999996</v>
      </c>
      <c r="F75" s="548"/>
      <c r="G75" s="548"/>
      <c r="H75" s="1178"/>
      <c r="I75" s="549">
        <f>H75*E75</f>
        <v>0</v>
      </c>
      <c r="J75" s="549"/>
      <c r="K75" s="548"/>
      <c r="L75" s="610">
        <f t="shared" si="3"/>
        <v>0</v>
      </c>
      <c r="M75" s="598"/>
      <c r="N75" s="598"/>
      <c r="O75" s="598"/>
      <c r="P75" s="598"/>
      <c r="Q75" s="598"/>
      <c r="R75" s="598"/>
      <c r="S75" s="598"/>
      <c r="T75" s="598"/>
      <c r="U75" s="598"/>
      <c r="V75" s="598"/>
      <c r="W75" s="598"/>
      <c r="X75" s="598"/>
      <c r="Y75" s="598"/>
      <c r="Z75" s="598"/>
      <c r="AA75" s="598"/>
      <c r="AB75" s="598"/>
      <c r="AC75" s="598"/>
      <c r="AD75" s="598"/>
      <c r="AE75" s="598"/>
      <c r="AF75" s="598"/>
      <c r="AG75" s="598"/>
      <c r="AH75" s="598"/>
      <c r="AI75" s="598"/>
      <c r="AJ75" s="598"/>
      <c r="AK75" s="598"/>
      <c r="AL75" s="598"/>
      <c r="AM75" s="598"/>
      <c r="AN75" s="598"/>
      <c r="AO75" s="598"/>
      <c r="AP75" s="598"/>
      <c r="AQ75" s="598"/>
      <c r="AR75" s="598"/>
      <c r="AS75" s="598"/>
      <c r="AT75" s="598"/>
      <c r="AU75" s="598"/>
      <c r="AV75" s="598"/>
      <c r="AW75" s="598"/>
      <c r="AX75" s="598"/>
      <c r="AY75" s="598"/>
      <c r="AZ75" s="598"/>
      <c r="BA75" s="598"/>
      <c r="BB75" s="598"/>
      <c r="BC75" s="598"/>
      <c r="BD75" s="598"/>
      <c r="BE75" s="598"/>
      <c r="BF75" s="598"/>
      <c r="BG75" s="598"/>
      <c r="BH75" s="598"/>
      <c r="BI75" s="598"/>
    </row>
    <row r="76" spans="1:61" s="171" customFormat="1" ht="12.75" x14ac:dyDescent="0.25">
      <c r="A76" s="597"/>
      <c r="B76" s="551" t="s">
        <v>114</v>
      </c>
      <c r="C76" s="550" t="s">
        <v>115</v>
      </c>
      <c r="D76" s="552">
        <v>1.72</v>
      </c>
      <c r="E76" s="553">
        <f>D76*E71</f>
        <v>0.52838399999999996</v>
      </c>
      <c r="F76" s="548"/>
      <c r="G76" s="548"/>
      <c r="H76" s="1131"/>
      <c r="I76" s="549">
        <f>H76*E76</f>
        <v>0</v>
      </c>
      <c r="J76" s="549"/>
      <c r="K76" s="548"/>
      <c r="L76" s="610">
        <f t="shared" si="3"/>
        <v>0</v>
      </c>
      <c r="M76" s="598"/>
      <c r="N76" s="598"/>
      <c r="O76" s="598"/>
      <c r="P76" s="598"/>
      <c r="Q76" s="598"/>
      <c r="R76" s="598"/>
      <c r="S76" s="598"/>
      <c r="T76" s="598"/>
      <c r="U76" s="598"/>
      <c r="V76" s="598"/>
      <c r="W76" s="598"/>
      <c r="X76" s="598"/>
      <c r="Y76" s="598"/>
      <c r="Z76" s="598"/>
      <c r="AA76" s="598"/>
      <c r="AB76" s="598"/>
      <c r="AC76" s="598"/>
      <c r="AD76" s="598"/>
      <c r="AE76" s="598"/>
      <c r="AF76" s="598"/>
      <c r="AG76" s="598"/>
      <c r="AH76" s="598"/>
      <c r="AI76" s="598"/>
      <c r="AJ76" s="598"/>
      <c r="AK76" s="598"/>
      <c r="AL76" s="598"/>
      <c r="AM76" s="598"/>
      <c r="AN76" s="598"/>
      <c r="AO76" s="598"/>
      <c r="AP76" s="598"/>
      <c r="AQ76" s="598"/>
      <c r="AR76" s="598"/>
      <c r="AS76" s="598"/>
      <c r="AT76" s="598"/>
      <c r="AU76" s="598"/>
      <c r="AV76" s="598"/>
      <c r="AW76" s="598"/>
      <c r="AX76" s="598"/>
      <c r="AY76" s="598"/>
      <c r="AZ76" s="598"/>
      <c r="BA76" s="598"/>
      <c r="BB76" s="598"/>
      <c r="BC76" s="598"/>
      <c r="BD76" s="598"/>
      <c r="BE76" s="598"/>
      <c r="BF76" s="598"/>
      <c r="BG76" s="598"/>
      <c r="BH76" s="598"/>
      <c r="BI76" s="598"/>
    </row>
    <row r="77" spans="1:61" s="171" customFormat="1" ht="12.75" x14ac:dyDescent="0.25">
      <c r="A77" s="597"/>
      <c r="B77" s="551" t="s">
        <v>116</v>
      </c>
      <c r="C77" s="550" t="s">
        <v>15</v>
      </c>
      <c r="D77" s="552">
        <v>28</v>
      </c>
      <c r="E77" s="553">
        <f>D77*E71</f>
        <v>8.6015999999999995</v>
      </c>
      <c r="F77" s="548"/>
      <c r="G77" s="548"/>
      <c r="H77" s="1185"/>
      <c r="I77" s="549">
        <f>H77*E77</f>
        <v>0</v>
      </c>
      <c r="J77" s="548"/>
      <c r="K77" s="548"/>
      <c r="L77" s="610">
        <f t="shared" si="3"/>
        <v>0</v>
      </c>
      <c r="M77" s="598"/>
      <c r="N77" s="598"/>
      <c r="O77" s="598"/>
      <c r="P77" s="598"/>
      <c r="Q77" s="598"/>
      <c r="R77" s="598"/>
      <c r="S77" s="598"/>
      <c r="T77" s="598"/>
      <c r="U77" s="598"/>
      <c r="V77" s="598"/>
      <c r="W77" s="598"/>
      <c r="X77" s="598"/>
      <c r="Y77" s="598"/>
      <c r="Z77" s="598"/>
      <c r="AA77" s="598"/>
      <c r="AB77" s="598"/>
      <c r="AC77" s="598"/>
      <c r="AD77" s="598"/>
      <c r="AE77" s="598"/>
      <c r="AF77" s="598"/>
      <c r="AG77" s="598"/>
      <c r="AH77" s="598"/>
      <c r="AI77" s="598"/>
      <c r="AJ77" s="598"/>
      <c r="AK77" s="598"/>
      <c r="AL77" s="598"/>
      <c r="AM77" s="598"/>
      <c r="AN77" s="598"/>
      <c r="AO77" s="598"/>
      <c r="AP77" s="598"/>
      <c r="AQ77" s="598"/>
      <c r="AR77" s="598"/>
      <c r="AS77" s="598"/>
      <c r="AT77" s="598"/>
      <c r="AU77" s="598"/>
      <c r="AV77" s="598"/>
      <c r="AW77" s="598"/>
      <c r="AX77" s="598"/>
      <c r="AY77" s="598"/>
      <c r="AZ77" s="598"/>
      <c r="BA77" s="598"/>
      <c r="BB77" s="598"/>
      <c r="BC77" s="598"/>
      <c r="BD77" s="598"/>
      <c r="BE77" s="598"/>
      <c r="BF77" s="598"/>
      <c r="BG77" s="598"/>
      <c r="BH77" s="598"/>
      <c r="BI77" s="598"/>
    </row>
    <row r="78" spans="1:61" s="71" customFormat="1" ht="12.75" x14ac:dyDescent="0.25">
      <c r="A78" s="1031"/>
      <c r="B78" s="45" t="s">
        <v>117</v>
      </c>
      <c r="C78" s="172"/>
      <c r="D78" s="172"/>
      <c r="E78" s="172"/>
      <c r="F78" s="172"/>
      <c r="G78" s="73"/>
      <c r="H78" s="63"/>
      <c r="I78" s="73"/>
      <c r="J78" s="73"/>
      <c r="K78" s="73"/>
      <c r="L78" s="505"/>
      <c r="M78" s="496"/>
      <c r="N78" s="496"/>
      <c r="O78" s="496"/>
      <c r="P78" s="496"/>
      <c r="Q78" s="496"/>
      <c r="R78" s="496"/>
      <c r="S78" s="496"/>
      <c r="T78" s="496"/>
      <c r="U78" s="496"/>
      <c r="V78" s="496"/>
      <c r="W78" s="496"/>
      <c r="X78" s="496"/>
      <c r="Y78" s="496"/>
      <c r="Z78" s="496"/>
      <c r="AA78" s="496"/>
      <c r="AB78" s="496"/>
      <c r="AC78" s="496"/>
      <c r="AD78" s="496"/>
      <c r="AE78" s="496"/>
      <c r="AF78" s="496"/>
      <c r="AG78" s="496"/>
      <c r="AH78" s="496"/>
      <c r="AI78" s="496"/>
      <c r="AJ78" s="496"/>
      <c r="AK78" s="496"/>
      <c r="AL78" s="496"/>
      <c r="AM78" s="496"/>
      <c r="AN78" s="496"/>
      <c r="AO78" s="496"/>
      <c r="AP78" s="496"/>
      <c r="AQ78" s="496"/>
      <c r="AR78" s="496"/>
      <c r="AS78" s="496"/>
      <c r="AT78" s="496"/>
      <c r="AU78" s="496"/>
      <c r="AV78" s="496"/>
      <c r="AW78" s="496"/>
      <c r="AX78" s="496"/>
      <c r="AY78" s="496"/>
      <c r="AZ78" s="496"/>
      <c r="BA78" s="496"/>
      <c r="BB78" s="496"/>
      <c r="BC78" s="496"/>
      <c r="BD78" s="496"/>
      <c r="BE78" s="496"/>
      <c r="BF78" s="496"/>
      <c r="BG78" s="496"/>
      <c r="BH78" s="496"/>
      <c r="BI78" s="496"/>
    </row>
    <row r="79" spans="1:61" s="336" customFormat="1" ht="40.5" customHeight="1" x14ac:dyDescent="0.25">
      <c r="A79" s="595">
        <v>1</v>
      </c>
      <c r="B79" s="529" t="s">
        <v>206</v>
      </c>
      <c r="C79" s="545" t="s">
        <v>10</v>
      </c>
      <c r="D79" s="547" t="s">
        <v>111</v>
      </c>
      <c r="E79" s="554">
        <f>(0.6*0.6*5)+1/100</f>
        <v>1.8099999999999998</v>
      </c>
      <c r="F79" s="548"/>
      <c r="G79" s="548"/>
      <c r="H79" s="549"/>
      <c r="I79" s="549"/>
      <c r="J79" s="548"/>
      <c r="K79" s="548"/>
      <c r="L79" s="610"/>
      <c r="M79" s="596"/>
      <c r="N79" s="596"/>
      <c r="O79" s="596"/>
      <c r="P79" s="596"/>
      <c r="Q79" s="596"/>
      <c r="R79" s="596"/>
      <c r="S79" s="596"/>
      <c r="T79" s="596"/>
      <c r="U79" s="596"/>
      <c r="V79" s="596"/>
      <c r="W79" s="596"/>
      <c r="X79" s="596"/>
      <c r="Y79" s="596"/>
      <c r="Z79" s="596"/>
      <c r="AA79" s="596"/>
      <c r="AB79" s="596"/>
      <c r="AC79" s="596"/>
      <c r="AD79" s="596"/>
      <c r="AE79" s="596"/>
      <c r="AF79" s="596"/>
      <c r="AG79" s="596"/>
      <c r="AH79" s="596"/>
      <c r="AI79" s="596"/>
      <c r="AJ79" s="596"/>
      <c r="AK79" s="596"/>
      <c r="AL79" s="596"/>
      <c r="AM79" s="596"/>
      <c r="AN79" s="596"/>
      <c r="AO79" s="596"/>
      <c r="AP79" s="596"/>
      <c r="AQ79" s="596"/>
      <c r="AR79" s="596"/>
      <c r="AS79" s="596"/>
      <c r="AT79" s="596"/>
      <c r="AU79" s="596"/>
      <c r="AV79" s="596"/>
      <c r="AW79" s="596"/>
      <c r="AX79" s="596"/>
      <c r="AY79" s="596"/>
      <c r="AZ79" s="596"/>
      <c r="BA79" s="596"/>
      <c r="BB79" s="596"/>
      <c r="BC79" s="596"/>
      <c r="BD79" s="596"/>
      <c r="BE79" s="596"/>
      <c r="BF79" s="596"/>
      <c r="BG79" s="596"/>
      <c r="BH79" s="596"/>
      <c r="BI79" s="596"/>
    </row>
    <row r="80" spans="1:61" s="171" customFormat="1" ht="12.75" x14ac:dyDescent="0.25">
      <c r="A80" s="597"/>
      <c r="B80" s="551" t="s">
        <v>112</v>
      </c>
      <c r="C80" s="550" t="s">
        <v>29</v>
      </c>
      <c r="D80" s="552">
        <v>2.06</v>
      </c>
      <c r="E80" s="553">
        <f>E79*D80</f>
        <v>3.7285999999999997</v>
      </c>
      <c r="F80" s="1178"/>
      <c r="G80" s="548">
        <f>E80*F80</f>
        <v>0</v>
      </c>
      <c r="H80" s="548"/>
      <c r="I80" s="549"/>
      <c r="J80" s="549"/>
      <c r="K80" s="548"/>
      <c r="L80" s="610">
        <f>K80+I80+G80</f>
        <v>0</v>
      </c>
      <c r="M80" s="598"/>
      <c r="N80" s="598"/>
      <c r="O80" s="598"/>
      <c r="P80" s="598"/>
      <c r="Q80" s="598"/>
      <c r="R80" s="598"/>
      <c r="S80" s="598"/>
      <c r="T80" s="598"/>
      <c r="U80" s="598"/>
      <c r="V80" s="598"/>
      <c r="W80" s="598"/>
      <c r="X80" s="598"/>
      <c r="Y80" s="598"/>
      <c r="Z80" s="598"/>
      <c r="AA80" s="598"/>
      <c r="AB80" s="598"/>
      <c r="AC80" s="598"/>
      <c r="AD80" s="598"/>
      <c r="AE80" s="598"/>
      <c r="AF80" s="598"/>
      <c r="AG80" s="598"/>
      <c r="AH80" s="598"/>
      <c r="AI80" s="598"/>
      <c r="AJ80" s="598"/>
      <c r="AK80" s="598"/>
      <c r="AL80" s="598"/>
      <c r="AM80" s="598"/>
      <c r="AN80" s="598"/>
      <c r="AO80" s="598"/>
      <c r="AP80" s="598"/>
      <c r="AQ80" s="598"/>
      <c r="AR80" s="598"/>
      <c r="AS80" s="598"/>
      <c r="AT80" s="598"/>
      <c r="AU80" s="598"/>
      <c r="AV80" s="598"/>
      <c r="AW80" s="598"/>
      <c r="AX80" s="598"/>
      <c r="AY80" s="598"/>
      <c r="AZ80" s="598"/>
      <c r="BA80" s="598"/>
      <c r="BB80" s="598"/>
      <c r="BC80" s="598"/>
      <c r="BD80" s="598"/>
      <c r="BE80" s="598"/>
      <c r="BF80" s="598"/>
      <c r="BG80" s="598"/>
      <c r="BH80" s="598"/>
      <c r="BI80" s="598"/>
    </row>
    <row r="81" spans="1:61" s="197" customFormat="1" ht="12.75" x14ac:dyDescent="0.25">
      <c r="A81" s="1032">
        <v>2</v>
      </c>
      <c r="B81" s="529" t="s">
        <v>207</v>
      </c>
      <c r="C81" s="46" t="s">
        <v>26</v>
      </c>
      <c r="D81" s="46"/>
      <c r="E81" s="554">
        <f>((0.5*0.5*6)+0.5)/100</f>
        <v>0.02</v>
      </c>
      <c r="F81" s="260"/>
      <c r="G81" s="260"/>
      <c r="H81" s="260"/>
      <c r="I81" s="260"/>
      <c r="J81" s="260"/>
      <c r="K81" s="260"/>
      <c r="L81" s="1033"/>
      <c r="M81" s="341"/>
      <c r="N81" s="137"/>
      <c r="O81" s="341"/>
      <c r="P81" s="341"/>
      <c r="Q81" s="341"/>
      <c r="R81" s="341"/>
      <c r="S81" s="341"/>
      <c r="T81" s="341"/>
      <c r="U81" s="341"/>
      <c r="V81" s="341"/>
      <c r="W81" s="341"/>
      <c r="X81" s="341"/>
      <c r="Y81" s="341"/>
      <c r="Z81" s="341"/>
      <c r="AA81" s="341"/>
      <c r="AB81" s="341"/>
      <c r="AC81" s="341"/>
      <c r="AD81" s="341"/>
      <c r="AE81" s="341"/>
      <c r="AF81" s="341"/>
      <c r="AG81" s="341"/>
      <c r="AH81" s="341"/>
      <c r="AI81" s="341"/>
      <c r="AJ81" s="341"/>
      <c r="AK81" s="341"/>
      <c r="AL81" s="341"/>
      <c r="AM81" s="341"/>
      <c r="AN81" s="341"/>
      <c r="AO81" s="341"/>
      <c r="AP81" s="341"/>
      <c r="AQ81" s="341"/>
      <c r="AR81" s="341"/>
      <c r="AS81" s="341"/>
      <c r="AT81" s="341"/>
      <c r="AU81" s="341"/>
      <c r="AV81" s="341"/>
      <c r="AW81" s="341"/>
      <c r="AX81" s="341"/>
      <c r="AY81" s="341"/>
      <c r="AZ81" s="341"/>
      <c r="BA81" s="341"/>
      <c r="BB81" s="341"/>
      <c r="BC81" s="341"/>
      <c r="BD81" s="341"/>
      <c r="BE81" s="341"/>
      <c r="BF81" s="341"/>
      <c r="BG81" s="341"/>
      <c r="BH81" s="341"/>
      <c r="BI81" s="341"/>
    </row>
    <row r="82" spans="1:61" s="183" customFormat="1" ht="12.75" x14ac:dyDescent="0.25">
      <c r="A82" s="1034"/>
      <c r="B82" s="352" t="s">
        <v>11</v>
      </c>
      <c r="C82" s="366" t="s">
        <v>28</v>
      </c>
      <c r="D82" s="366">
        <v>1460</v>
      </c>
      <c r="E82" s="368">
        <f>E81*D82</f>
        <v>29.2</v>
      </c>
      <c r="F82" s="1147"/>
      <c r="G82" s="342">
        <f>E82*F82</f>
        <v>0</v>
      </c>
      <c r="H82" s="993"/>
      <c r="I82" s="993"/>
      <c r="J82" s="342"/>
      <c r="K82" s="342"/>
      <c r="L82" s="1035">
        <f t="shared" ref="L82:L89" si="4">K82+I82+G82</f>
        <v>0</v>
      </c>
      <c r="M82" s="974"/>
      <c r="N82" s="118"/>
      <c r="O82" s="974"/>
      <c r="P82" s="974"/>
      <c r="Q82" s="974"/>
      <c r="R82" s="974"/>
      <c r="S82" s="974"/>
      <c r="T82" s="974"/>
      <c r="U82" s="974"/>
      <c r="V82" s="974"/>
      <c r="W82" s="974"/>
      <c r="X82" s="974"/>
      <c r="Y82" s="974"/>
      <c r="Z82" s="974"/>
      <c r="AA82" s="974"/>
      <c r="AB82" s="974"/>
      <c r="AC82" s="974"/>
      <c r="AD82" s="974"/>
      <c r="AE82" s="974"/>
      <c r="AF82" s="974"/>
      <c r="AG82" s="974"/>
      <c r="AH82" s="974"/>
      <c r="AI82" s="974"/>
      <c r="AJ82" s="974"/>
      <c r="AK82" s="974"/>
      <c r="AL82" s="974"/>
      <c r="AM82" s="974"/>
      <c r="AN82" s="974"/>
      <c r="AO82" s="974"/>
      <c r="AP82" s="974"/>
      <c r="AQ82" s="974"/>
      <c r="AR82" s="974"/>
      <c r="AS82" s="974"/>
      <c r="AT82" s="974"/>
      <c r="AU82" s="974"/>
      <c r="AV82" s="974"/>
      <c r="AW82" s="974"/>
      <c r="AX82" s="974"/>
      <c r="AY82" s="974"/>
      <c r="AZ82" s="974"/>
      <c r="BA82" s="974"/>
      <c r="BB82" s="974"/>
      <c r="BC82" s="974"/>
      <c r="BD82" s="974"/>
      <c r="BE82" s="974"/>
      <c r="BF82" s="974"/>
      <c r="BG82" s="974"/>
      <c r="BH82" s="974"/>
      <c r="BI82" s="974"/>
    </row>
    <row r="83" spans="1:61" s="184" customFormat="1" ht="12.75" x14ac:dyDescent="0.25">
      <c r="A83" s="1034"/>
      <c r="B83" s="352" t="s">
        <v>32</v>
      </c>
      <c r="C83" s="366" t="s">
        <v>33</v>
      </c>
      <c r="D83" s="366">
        <v>93</v>
      </c>
      <c r="E83" s="368">
        <f>E81*D83</f>
        <v>1.86</v>
      </c>
      <c r="F83" s="342"/>
      <c r="G83" s="342"/>
      <c r="H83" s="342"/>
      <c r="I83" s="342"/>
      <c r="J83" s="1147"/>
      <c r="K83" s="342">
        <f>E83*J83</f>
        <v>0</v>
      </c>
      <c r="L83" s="1035">
        <f t="shared" si="4"/>
        <v>0</v>
      </c>
      <c r="M83" s="975"/>
      <c r="N83" s="976"/>
      <c r="O83" s="975"/>
      <c r="P83" s="975"/>
      <c r="Q83" s="975"/>
      <c r="R83" s="975"/>
      <c r="S83" s="975"/>
      <c r="T83" s="975"/>
      <c r="U83" s="975"/>
      <c r="V83" s="975"/>
      <c r="W83" s="975"/>
      <c r="X83" s="975"/>
      <c r="Y83" s="975"/>
      <c r="Z83" s="975"/>
      <c r="AA83" s="975"/>
      <c r="AB83" s="975"/>
      <c r="AC83" s="975"/>
      <c r="AD83" s="975"/>
      <c r="AE83" s="975"/>
      <c r="AF83" s="975"/>
      <c r="AG83" s="975"/>
      <c r="AH83" s="975"/>
      <c r="AI83" s="975"/>
      <c r="AJ83" s="975"/>
      <c r="AK83" s="975"/>
      <c r="AL83" s="975"/>
      <c r="AM83" s="975"/>
      <c r="AN83" s="975"/>
      <c r="AO83" s="975"/>
      <c r="AP83" s="975"/>
      <c r="AQ83" s="975"/>
      <c r="AR83" s="975"/>
      <c r="AS83" s="975"/>
      <c r="AT83" s="975"/>
      <c r="AU83" s="975"/>
      <c r="AV83" s="975"/>
      <c r="AW83" s="975"/>
      <c r="AX83" s="975"/>
      <c r="AY83" s="975"/>
      <c r="AZ83" s="975"/>
      <c r="BA83" s="975"/>
      <c r="BB83" s="975"/>
      <c r="BC83" s="975"/>
      <c r="BD83" s="975"/>
      <c r="BE83" s="975"/>
      <c r="BF83" s="975"/>
      <c r="BG83" s="975"/>
      <c r="BH83" s="975"/>
      <c r="BI83" s="975"/>
    </row>
    <row r="84" spans="1:61" s="184" customFormat="1" x14ac:dyDescent="0.25">
      <c r="A84" s="1034"/>
      <c r="B84" s="723" t="s">
        <v>298</v>
      </c>
      <c r="C84" s="366" t="s">
        <v>13</v>
      </c>
      <c r="D84" s="366"/>
      <c r="E84" s="368">
        <v>5.3999999999999999E-2</v>
      </c>
      <c r="F84" s="555"/>
      <c r="G84" s="555"/>
      <c r="H84" s="1121"/>
      <c r="I84" s="342">
        <f t="shared" ref="I84:I89" si="5">E84*H84</f>
        <v>0</v>
      </c>
      <c r="J84" s="555"/>
      <c r="K84" s="342"/>
      <c r="L84" s="1035">
        <f t="shared" si="4"/>
        <v>0</v>
      </c>
      <c r="M84" s="975"/>
      <c r="N84" s="976"/>
      <c r="O84" s="975"/>
      <c r="P84" s="975"/>
      <c r="Q84" s="975"/>
      <c r="R84" s="975"/>
      <c r="S84" s="975"/>
      <c r="T84" s="975"/>
      <c r="U84" s="975"/>
      <c r="V84" s="975"/>
      <c r="W84" s="975"/>
      <c r="X84" s="975"/>
      <c r="Y84" s="975"/>
      <c r="Z84" s="975"/>
      <c r="AA84" s="975"/>
      <c r="AB84" s="975"/>
      <c r="AC84" s="975"/>
      <c r="AD84" s="975"/>
      <c r="AE84" s="975"/>
      <c r="AF84" s="975"/>
      <c r="AG84" s="975"/>
      <c r="AH84" s="975"/>
      <c r="AI84" s="975"/>
      <c r="AJ84" s="975"/>
      <c r="AK84" s="975"/>
      <c r="AL84" s="975"/>
      <c r="AM84" s="975"/>
      <c r="AN84" s="975"/>
      <c r="AO84" s="975"/>
      <c r="AP84" s="975"/>
      <c r="AQ84" s="975"/>
      <c r="AR84" s="975"/>
      <c r="AS84" s="975"/>
      <c r="AT84" s="975"/>
      <c r="AU84" s="975"/>
      <c r="AV84" s="975"/>
      <c r="AW84" s="975"/>
      <c r="AX84" s="975"/>
      <c r="AY84" s="975"/>
      <c r="AZ84" s="975"/>
      <c r="BA84" s="975"/>
      <c r="BB84" s="975"/>
      <c r="BC84" s="975"/>
      <c r="BD84" s="975"/>
      <c r="BE84" s="975"/>
      <c r="BF84" s="975"/>
      <c r="BG84" s="975"/>
      <c r="BH84" s="975"/>
      <c r="BI84" s="975"/>
    </row>
    <row r="85" spans="1:61" s="184" customFormat="1" x14ac:dyDescent="0.25">
      <c r="A85" s="1034"/>
      <c r="B85" s="723" t="s">
        <v>296</v>
      </c>
      <c r="C85" s="366" t="s">
        <v>13</v>
      </c>
      <c r="D85" s="366"/>
      <c r="E85" s="368">
        <f>35/1000</f>
        <v>3.5000000000000003E-2</v>
      </c>
      <c r="F85" s="555"/>
      <c r="G85" s="555"/>
      <c r="H85" s="1121"/>
      <c r="I85" s="342">
        <f t="shared" si="5"/>
        <v>0</v>
      </c>
      <c r="J85" s="555"/>
      <c r="K85" s="342"/>
      <c r="L85" s="1035">
        <f t="shared" si="4"/>
        <v>0</v>
      </c>
      <c r="M85" s="975"/>
      <c r="N85" s="976"/>
      <c r="O85" s="975"/>
      <c r="P85" s="975"/>
      <c r="Q85" s="975"/>
      <c r="R85" s="975"/>
      <c r="S85" s="975"/>
      <c r="T85" s="975"/>
      <c r="U85" s="975"/>
      <c r="V85" s="975"/>
      <c r="W85" s="975"/>
      <c r="X85" s="975"/>
      <c r="Y85" s="975"/>
      <c r="Z85" s="975"/>
      <c r="AA85" s="975"/>
      <c r="AB85" s="975"/>
      <c r="AC85" s="975"/>
      <c r="AD85" s="975"/>
      <c r="AE85" s="975"/>
      <c r="AF85" s="975"/>
      <c r="AG85" s="975"/>
      <c r="AH85" s="975"/>
      <c r="AI85" s="975"/>
      <c r="AJ85" s="975"/>
      <c r="AK85" s="975"/>
      <c r="AL85" s="975"/>
      <c r="AM85" s="975"/>
      <c r="AN85" s="975"/>
      <c r="AO85" s="975"/>
      <c r="AP85" s="975"/>
      <c r="AQ85" s="975"/>
      <c r="AR85" s="975"/>
      <c r="AS85" s="975"/>
      <c r="AT85" s="975"/>
      <c r="AU85" s="975"/>
      <c r="AV85" s="975"/>
      <c r="AW85" s="975"/>
      <c r="AX85" s="975"/>
      <c r="AY85" s="975"/>
      <c r="AZ85" s="975"/>
      <c r="BA85" s="975"/>
      <c r="BB85" s="975"/>
      <c r="BC85" s="975"/>
      <c r="BD85" s="975"/>
      <c r="BE85" s="975"/>
      <c r="BF85" s="975"/>
      <c r="BG85" s="975"/>
      <c r="BH85" s="975"/>
      <c r="BI85" s="975"/>
    </row>
    <row r="86" spans="1:61" s="184" customFormat="1" ht="12.75" x14ac:dyDescent="0.25">
      <c r="A86" s="1034"/>
      <c r="B86" s="551" t="s">
        <v>113</v>
      </c>
      <c r="C86" s="366" t="s">
        <v>10</v>
      </c>
      <c r="D86" s="366">
        <v>101.5</v>
      </c>
      <c r="E86" s="368">
        <f>E81*D86</f>
        <v>2.0300000000000002</v>
      </c>
      <c r="F86" s="555"/>
      <c r="G86" s="555"/>
      <c r="H86" s="1185"/>
      <c r="I86" s="342">
        <f t="shared" si="5"/>
        <v>0</v>
      </c>
      <c r="J86" s="555"/>
      <c r="K86" s="342"/>
      <c r="L86" s="1035">
        <f t="shared" si="4"/>
        <v>0</v>
      </c>
      <c r="M86" s="975"/>
      <c r="N86" s="976"/>
      <c r="O86" s="975"/>
      <c r="P86" s="975"/>
      <c r="Q86" s="975"/>
      <c r="R86" s="975"/>
      <c r="S86" s="975"/>
      <c r="T86" s="975"/>
      <c r="U86" s="975"/>
      <c r="V86" s="975"/>
      <c r="W86" s="975"/>
      <c r="X86" s="975"/>
      <c r="Y86" s="975"/>
      <c r="Z86" s="975"/>
      <c r="AA86" s="975"/>
      <c r="AB86" s="975"/>
      <c r="AC86" s="975"/>
      <c r="AD86" s="975"/>
      <c r="AE86" s="975"/>
      <c r="AF86" s="975"/>
      <c r="AG86" s="975"/>
      <c r="AH86" s="975"/>
      <c r="AI86" s="975"/>
      <c r="AJ86" s="975"/>
      <c r="AK86" s="975"/>
      <c r="AL86" s="975"/>
      <c r="AM86" s="975"/>
      <c r="AN86" s="975"/>
      <c r="AO86" s="975"/>
      <c r="AP86" s="975"/>
      <c r="AQ86" s="975"/>
      <c r="AR86" s="975"/>
      <c r="AS86" s="975"/>
      <c r="AT86" s="975"/>
      <c r="AU86" s="975"/>
      <c r="AV86" s="975"/>
      <c r="AW86" s="975"/>
      <c r="AX86" s="975"/>
      <c r="AY86" s="975"/>
      <c r="AZ86" s="975"/>
      <c r="BA86" s="975"/>
      <c r="BB86" s="975"/>
      <c r="BC86" s="975"/>
      <c r="BD86" s="975"/>
      <c r="BE86" s="975"/>
      <c r="BF86" s="975"/>
      <c r="BG86" s="975"/>
      <c r="BH86" s="975"/>
      <c r="BI86" s="975"/>
    </row>
    <row r="87" spans="1:61" s="184" customFormat="1" ht="12.75" x14ac:dyDescent="0.25">
      <c r="A87" s="1034"/>
      <c r="B87" s="361" t="s">
        <v>221</v>
      </c>
      <c r="C87" s="366" t="s">
        <v>17</v>
      </c>
      <c r="D87" s="366">
        <v>288</v>
      </c>
      <c r="E87" s="367">
        <f>E81*D87</f>
        <v>5.76</v>
      </c>
      <c r="F87" s="555"/>
      <c r="G87" s="555"/>
      <c r="H87" s="1147"/>
      <c r="I87" s="342">
        <f t="shared" si="5"/>
        <v>0</v>
      </c>
      <c r="J87" s="555"/>
      <c r="K87" s="342"/>
      <c r="L87" s="1035">
        <f t="shared" si="4"/>
        <v>0</v>
      </c>
      <c r="M87" s="975"/>
      <c r="N87" s="976"/>
      <c r="O87" s="975"/>
      <c r="P87" s="975"/>
      <c r="Q87" s="975"/>
      <c r="R87" s="975"/>
      <c r="S87" s="975"/>
      <c r="T87" s="975"/>
      <c r="U87" s="975"/>
      <c r="V87" s="975"/>
      <c r="W87" s="975"/>
      <c r="X87" s="975"/>
      <c r="Y87" s="975"/>
      <c r="Z87" s="975"/>
      <c r="AA87" s="975"/>
      <c r="AB87" s="975"/>
      <c r="AC87" s="975"/>
      <c r="AD87" s="975"/>
      <c r="AE87" s="975"/>
      <c r="AF87" s="975"/>
      <c r="AG87" s="975"/>
      <c r="AH87" s="975"/>
      <c r="AI87" s="975"/>
      <c r="AJ87" s="975"/>
      <c r="AK87" s="975"/>
      <c r="AL87" s="975"/>
      <c r="AM87" s="975"/>
      <c r="AN87" s="975"/>
      <c r="AO87" s="975"/>
      <c r="AP87" s="975"/>
      <c r="AQ87" s="975"/>
      <c r="AR87" s="975"/>
      <c r="AS87" s="975"/>
      <c r="AT87" s="975"/>
      <c r="AU87" s="975"/>
      <c r="AV87" s="975"/>
      <c r="AW87" s="975"/>
      <c r="AX87" s="975"/>
      <c r="AY87" s="975"/>
      <c r="AZ87" s="975"/>
      <c r="BA87" s="975"/>
      <c r="BB87" s="975"/>
      <c r="BC87" s="975"/>
      <c r="BD87" s="975"/>
      <c r="BE87" s="975"/>
      <c r="BF87" s="975"/>
      <c r="BG87" s="975"/>
      <c r="BH87" s="975"/>
      <c r="BI87" s="975"/>
    </row>
    <row r="88" spans="1:61" s="80" customFormat="1" ht="14.25" customHeight="1" x14ac:dyDescent="0.25">
      <c r="A88" s="1034"/>
      <c r="B88" s="72" t="s">
        <v>196</v>
      </c>
      <c r="C88" s="366" t="s">
        <v>10</v>
      </c>
      <c r="D88" s="366">
        <v>0.92</v>
      </c>
      <c r="E88" s="368">
        <f>E81*D88</f>
        <v>1.84E-2</v>
      </c>
      <c r="F88" s="556"/>
      <c r="G88" s="556"/>
      <c r="H88" s="1147"/>
      <c r="I88" s="342">
        <f t="shared" si="5"/>
        <v>0</v>
      </c>
      <c r="J88" s="556"/>
      <c r="K88" s="342"/>
      <c r="L88" s="1035">
        <f t="shared" si="4"/>
        <v>0</v>
      </c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</row>
    <row r="89" spans="1:61" s="184" customFormat="1" ht="12.75" x14ac:dyDescent="0.25">
      <c r="A89" s="1034"/>
      <c r="B89" s="352" t="s">
        <v>16</v>
      </c>
      <c r="C89" s="366" t="s">
        <v>33</v>
      </c>
      <c r="D89" s="366">
        <v>296</v>
      </c>
      <c r="E89" s="368">
        <f>E81*D89</f>
        <v>5.92</v>
      </c>
      <c r="F89" s="555"/>
      <c r="G89" s="555"/>
      <c r="H89" s="1147"/>
      <c r="I89" s="343">
        <f t="shared" si="5"/>
        <v>0</v>
      </c>
      <c r="J89" s="1036"/>
      <c r="K89" s="343"/>
      <c r="L89" s="1035">
        <f t="shared" si="4"/>
        <v>0</v>
      </c>
      <c r="M89" s="975"/>
      <c r="N89" s="976"/>
      <c r="O89" s="975"/>
      <c r="P89" s="975"/>
      <c r="Q89" s="975"/>
      <c r="R89" s="975"/>
      <c r="S89" s="975"/>
      <c r="T89" s="975"/>
      <c r="U89" s="975"/>
      <c r="V89" s="975"/>
      <c r="W89" s="975"/>
      <c r="X89" s="975"/>
      <c r="Y89" s="975"/>
      <c r="Z89" s="975"/>
      <c r="AA89" s="975"/>
      <c r="AB89" s="975"/>
      <c r="AC89" s="975"/>
      <c r="AD89" s="975"/>
      <c r="AE89" s="975"/>
      <c r="AF89" s="975"/>
      <c r="AG89" s="975"/>
      <c r="AH89" s="975"/>
      <c r="AI89" s="975"/>
      <c r="AJ89" s="975"/>
      <c r="AK89" s="975"/>
      <c r="AL89" s="975"/>
      <c r="AM89" s="975"/>
      <c r="AN89" s="975"/>
      <c r="AO89" s="975"/>
      <c r="AP89" s="975"/>
      <c r="AQ89" s="975"/>
      <c r="AR89" s="975"/>
      <c r="AS89" s="975"/>
      <c r="AT89" s="975"/>
      <c r="AU89" s="975"/>
      <c r="AV89" s="975"/>
      <c r="AW89" s="975"/>
      <c r="AX89" s="975"/>
      <c r="AY89" s="975"/>
      <c r="AZ89" s="975"/>
      <c r="BA89" s="975"/>
      <c r="BB89" s="975"/>
      <c r="BC89" s="975"/>
      <c r="BD89" s="975"/>
      <c r="BE89" s="975"/>
      <c r="BF89" s="975"/>
      <c r="BG89" s="975"/>
      <c r="BH89" s="975"/>
      <c r="BI89" s="975"/>
    </row>
    <row r="90" spans="1:61" s="197" customFormat="1" ht="44.25" customHeight="1" x14ac:dyDescent="0.25">
      <c r="A90" s="1032">
        <v>3</v>
      </c>
      <c r="B90" s="529" t="s">
        <v>204</v>
      </c>
      <c r="C90" s="46" t="s">
        <v>13</v>
      </c>
      <c r="D90" s="46"/>
      <c r="E90" s="554">
        <f>E94+E95+0.025</f>
        <v>0.46362000000000003</v>
      </c>
      <c r="F90" s="46"/>
      <c r="G90" s="242"/>
      <c r="H90" s="557"/>
      <c r="I90" s="242"/>
      <c r="J90" s="557"/>
      <c r="K90" s="242"/>
      <c r="L90" s="1037"/>
      <c r="M90" s="137"/>
      <c r="N90" s="341"/>
      <c r="O90" s="341"/>
      <c r="P90" s="341"/>
      <c r="Q90" s="341"/>
      <c r="R90" s="341"/>
      <c r="S90" s="341"/>
      <c r="T90" s="341"/>
      <c r="U90" s="341"/>
      <c r="V90" s="341"/>
      <c r="W90" s="341"/>
      <c r="X90" s="341"/>
      <c r="Y90" s="341"/>
      <c r="Z90" s="341"/>
      <c r="AA90" s="341"/>
      <c r="AB90" s="341"/>
      <c r="AC90" s="341"/>
      <c r="AD90" s="341"/>
      <c r="AE90" s="341"/>
      <c r="AF90" s="341"/>
      <c r="AG90" s="341"/>
      <c r="AH90" s="341"/>
      <c r="AI90" s="341"/>
      <c r="AJ90" s="341"/>
      <c r="AK90" s="341"/>
      <c r="AL90" s="341"/>
      <c r="AM90" s="341"/>
      <c r="AN90" s="341"/>
      <c r="AO90" s="341"/>
      <c r="AP90" s="341"/>
      <c r="AQ90" s="341"/>
      <c r="AR90" s="341"/>
      <c r="AS90" s="341"/>
      <c r="AT90" s="341"/>
      <c r="AU90" s="341"/>
      <c r="AV90" s="341"/>
      <c r="AW90" s="341"/>
      <c r="AX90" s="341"/>
      <c r="AY90" s="341"/>
      <c r="AZ90" s="341"/>
      <c r="BA90" s="341"/>
      <c r="BB90" s="341"/>
      <c r="BC90" s="341"/>
      <c r="BD90" s="341"/>
      <c r="BE90" s="341"/>
      <c r="BF90" s="341"/>
      <c r="BG90" s="341"/>
      <c r="BH90" s="341"/>
      <c r="BI90" s="341"/>
    </row>
    <row r="91" spans="1:61" s="183" customFormat="1" ht="12.75" x14ac:dyDescent="0.25">
      <c r="A91" s="1034"/>
      <c r="B91" s="322" t="s">
        <v>36</v>
      </c>
      <c r="C91" s="366" t="s">
        <v>37</v>
      </c>
      <c r="D91" s="366">
        <v>53.8</v>
      </c>
      <c r="E91" s="368">
        <f>E90*D91</f>
        <v>24.942755999999999</v>
      </c>
      <c r="F91" s="1160"/>
      <c r="G91" s="368">
        <f>E91*F91</f>
        <v>0</v>
      </c>
      <c r="H91" s="367"/>
      <c r="I91" s="368"/>
      <c r="J91" s="367"/>
      <c r="K91" s="368"/>
      <c r="L91" s="1038">
        <f>G91+I91+K91</f>
        <v>0</v>
      </c>
      <c r="M91" s="118"/>
      <c r="N91" s="974"/>
      <c r="O91" s="974"/>
      <c r="P91" s="974"/>
      <c r="Q91" s="974"/>
      <c r="R91" s="974"/>
      <c r="S91" s="974"/>
      <c r="T91" s="974"/>
      <c r="U91" s="974"/>
      <c r="V91" s="974"/>
      <c r="W91" s="974"/>
      <c r="X91" s="974"/>
      <c r="Y91" s="974"/>
      <c r="Z91" s="974"/>
      <c r="AA91" s="974"/>
      <c r="AB91" s="974"/>
      <c r="AC91" s="974"/>
      <c r="AD91" s="974"/>
      <c r="AE91" s="974"/>
      <c r="AF91" s="974"/>
      <c r="AG91" s="974"/>
      <c r="AH91" s="974"/>
      <c r="AI91" s="974"/>
      <c r="AJ91" s="974"/>
      <c r="AK91" s="974"/>
      <c r="AL91" s="974"/>
      <c r="AM91" s="974"/>
      <c r="AN91" s="974"/>
      <c r="AO91" s="974"/>
      <c r="AP91" s="974"/>
      <c r="AQ91" s="974"/>
      <c r="AR91" s="974"/>
      <c r="AS91" s="974"/>
      <c r="AT91" s="974"/>
      <c r="AU91" s="974"/>
      <c r="AV91" s="974"/>
      <c r="AW91" s="974"/>
      <c r="AX91" s="974"/>
      <c r="AY91" s="974"/>
      <c r="AZ91" s="974"/>
      <c r="BA91" s="974"/>
      <c r="BB91" s="974"/>
      <c r="BC91" s="974"/>
      <c r="BD91" s="974"/>
      <c r="BE91" s="974"/>
      <c r="BF91" s="974"/>
      <c r="BG91" s="974"/>
      <c r="BH91" s="974"/>
      <c r="BI91" s="974"/>
    </row>
    <row r="92" spans="1:61" ht="12.75" x14ac:dyDescent="0.25">
      <c r="A92" s="597"/>
      <c r="B92" s="551" t="s">
        <v>165</v>
      </c>
      <c r="C92" s="550" t="s">
        <v>15</v>
      </c>
      <c r="D92" s="558">
        <v>0.35</v>
      </c>
      <c r="E92" s="553">
        <f>E90*D92</f>
        <v>0.16226699999999999</v>
      </c>
      <c r="F92" s="548"/>
      <c r="G92" s="548"/>
      <c r="H92" s="548"/>
      <c r="I92" s="548"/>
      <c r="J92" s="1185"/>
      <c r="K92" s="549">
        <f>ROUND(E92*J92,2)</f>
        <v>0</v>
      </c>
      <c r="L92" s="610">
        <f>K92</f>
        <v>0</v>
      </c>
      <c r="M92" s="598"/>
      <c r="N92" s="598"/>
      <c r="O92" s="598"/>
      <c r="P92" s="598"/>
      <c r="Q92" s="598"/>
      <c r="R92" s="598"/>
      <c r="S92" s="598"/>
      <c r="T92" s="598"/>
      <c r="U92" s="598"/>
      <c r="V92" s="598"/>
      <c r="W92" s="598"/>
      <c r="X92" s="598"/>
      <c r="Y92" s="598"/>
    </row>
    <row r="93" spans="1:61" s="183" customFormat="1" ht="12.75" x14ac:dyDescent="0.25">
      <c r="A93" s="1034"/>
      <c r="B93" s="322" t="s">
        <v>40</v>
      </c>
      <c r="C93" s="366" t="s">
        <v>15</v>
      </c>
      <c r="D93" s="366">
        <v>18.399999999999999</v>
      </c>
      <c r="E93" s="368">
        <f>E90*D93</f>
        <v>8.5306079999999991</v>
      </c>
      <c r="F93" s="366"/>
      <c r="G93" s="368"/>
      <c r="H93" s="367"/>
      <c r="I93" s="368"/>
      <c r="J93" s="1160"/>
      <c r="K93" s="368">
        <f>E93*J93</f>
        <v>0</v>
      </c>
      <c r="L93" s="1038">
        <f t="shared" ref="L93:L99" si="6">G93+I93+K93</f>
        <v>0</v>
      </c>
      <c r="M93" s="118"/>
      <c r="N93" s="974"/>
      <c r="O93" s="974"/>
      <c r="P93" s="974"/>
      <c r="Q93" s="974"/>
      <c r="R93" s="974"/>
      <c r="S93" s="974"/>
      <c r="T93" s="974"/>
      <c r="U93" s="974"/>
      <c r="V93" s="974"/>
      <c r="W93" s="974"/>
      <c r="X93" s="974"/>
      <c r="Y93" s="974"/>
      <c r="Z93" s="974"/>
      <c r="AA93" s="974"/>
      <c r="AB93" s="974"/>
      <c r="AC93" s="974"/>
      <c r="AD93" s="974"/>
      <c r="AE93" s="974"/>
      <c r="AF93" s="974"/>
      <c r="AG93" s="974"/>
      <c r="AH93" s="974"/>
      <c r="AI93" s="974"/>
      <c r="AJ93" s="974"/>
      <c r="AK93" s="974"/>
      <c r="AL93" s="974"/>
      <c r="AM93" s="974"/>
      <c r="AN93" s="974"/>
      <c r="AO93" s="974"/>
      <c r="AP93" s="974"/>
      <c r="AQ93" s="974"/>
      <c r="AR93" s="974"/>
      <c r="AS93" s="974"/>
      <c r="AT93" s="974"/>
      <c r="AU93" s="974"/>
      <c r="AV93" s="974"/>
      <c r="AW93" s="974"/>
      <c r="AX93" s="974"/>
      <c r="AY93" s="974"/>
      <c r="AZ93" s="974"/>
      <c r="BA93" s="974"/>
      <c r="BB93" s="974"/>
      <c r="BC93" s="974"/>
      <c r="BD93" s="974"/>
      <c r="BE93" s="974"/>
      <c r="BF93" s="974"/>
      <c r="BG93" s="974"/>
      <c r="BH93" s="974"/>
      <c r="BI93" s="974"/>
    </row>
    <row r="94" spans="1:61" s="183" customFormat="1" ht="12.75" x14ac:dyDescent="0.25">
      <c r="A94" s="1034"/>
      <c r="B94" s="322" t="s">
        <v>203</v>
      </c>
      <c r="C94" s="366" t="s">
        <v>13</v>
      </c>
      <c r="D94" s="366"/>
      <c r="E94" s="559">
        <f>0.38</f>
        <v>0.38</v>
      </c>
      <c r="F94" s="366"/>
      <c r="G94" s="368"/>
      <c r="H94" s="1160"/>
      <c r="I94" s="368">
        <f t="shared" ref="I94:I99" si="7">H94*E94</f>
        <v>0</v>
      </c>
      <c r="J94" s="367"/>
      <c r="K94" s="368"/>
      <c r="L94" s="1038">
        <f t="shared" si="6"/>
        <v>0</v>
      </c>
      <c r="M94" s="118"/>
      <c r="N94" s="974"/>
      <c r="O94" s="974"/>
      <c r="P94" s="974"/>
      <c r="Q94" s="974"/>
      <c r="R94" s="974"/>
      <c r="S94" s="974"/>
      <c r="T94" s="974"/>
      <c r="U94" s="974"/>
      <c r="V94" s="974"/>
      <c r="W94" s="974"/>
      <c r="X94" s="974"/>
      <c r="Y94" s="974"/>
      <c r="Z94" s="974"/>
      <c r="AA94" s="974"/>
      <c r="AB94" s="974"/>
      <c r="AC94" s="974"/>
      <c r="AD94" s="974"/>
      <c r="AE94" s="974"/>
      <c r="AF94" s="974"/>
      <c r="AG94" s="974"/>
      <c r="AH94" s="974"/>
      <c r="AI94" s="974"/>
      <c r="AJ94" s="974"/>
      <c r="AK94" s="974"/>
      <c r="AL94" s="974"/>
      <c r="AM94" s="974"/>
      <c r="AN94" s="974"/>
      <c r="AO94" s="974"/>
      <c r="AP94" s="974"/>
      <c r="AQ94" s="974"/>
      <c r="AR94" s="974"/>
      <c r="AS94" s="974"/>
      <c r="AT94" s="974"/>
      <c r="AU94" s="974"/>
      <c r="AV94" s="974"/>
      <c r="AW94" s="974"/>
      <c r="AX94" s="974"/>
      <c r="AY94" s="974"/>
      <c r="AZ94" s="974"/>
      <c r="BA94" s="974"/>
      <c r="BB94" s="974"/>
      <c r="BC94" s="974"/>
      <c r="BD94" s="974"/>
      <c r="BE94" s="974"/>
      <c r="BF94" s="974"/>
      <c r="BG94" s="974"/>
      <c r="BH94" s="974"/>
      <c r="BI94" s="974"/>
    </row>
    <row r="95" spans="1:61" s="183" customFormat="1" ht="12.75" x14ac:dyDescent="0.25">
      <c r="A95" s="1034"/>
      <c r="B95" s="322" t="s">
        <v>205</v>
      </c>
      <c r="C95" s="366" t="s">
        <v>13</v>
      </c>
      <c r="D95" s="366"/>
      <c r="E95" s="559">
        <f>(9.77*6)/1000</f>
        <v>5.8619999999999998E-2</v>
      </c>
      <c r="F95" s="366"/>
      <c r="G95" s="368"/>
      <c r="H95" s="1160"/>
      <c r="I95" s="368">
        <f t="shared" si="7"/>
        <v>0</v>
      </c>
      <c r="J95" s="367"/>
      <c r="K95" s="368"/>
      <c r="L95" s="1038">
        <f t="shared" si="6"/>
        <v>0</v>
      </c>
      <c r="M95" s="118"/>
      <c r="N95" s="974"/>
      <c r="O95" s="974"/>
      <c r="P95" s="974"/>
      <c r="Q95" s="974"/>
      <c r="R95" s="974"/>
      <c r="S95" s="974"/>
      <c r="T95" s="974"/>
      <c r="U95" s="974"/>
      <c r="V95" s="974"/>
      <c r="W95" s="974"/>
      <c r="X95" s="974"/>
      <c r="Y95" s="974"/>
      <c r="Z95" s="974"/>
      <c r="AA95" s="974"/>
      <c r="AB95" s="974"/>
      <c r="AC95" s="974"/>
      <c r="AD95" s="974"/>
      <c r="AE95" s="974"/>
      <c r="AF95" s="974"/>
      <c r="AG95" s="974"/>
      <c r="AH95" s="974"/>
      <c r="AI95" s="974"/>
      <c r="AJ95" s="974"/>
      <c r="AK95" s="974"/>
      <c r="AL95" s="974"/>
      <c r="AM95" s="974"/>
      <c r="AN95" s="974"/>
      <c r="AO95" s="974"/>
      <c r="AP95" s="974"/>
      <c r="AQ95" s="974"/>
      <c r="AR95" s="974"/>
      <c r="AS95" s="974"/>
      <c r="AT95" s="974"/>
      <c r="AU95" s="974"/>
      <c r="AV95" s="974"/>
      <c r="AW95" s="974"/>
      <c r="AX95" s="974"/>
      <c r="AY95" s="974"/>
      <c r="AZ95" s="974"/>
      <c r="BA95" s="974"/>
      <c r="BB95" s="974"/>
      <c r="BC95" s="974"/>
      <c r="BD95" s="974"/>
      <c r="BE95" s="974"/>
      <c r="BF95" s="974"/>
      <c r="BG95" s="974"/>
      <c r="BH95" s="974"/>
      <c r="BI95" s="974"/>
    </row>
    <row r="96" spans="1:61" s="183" customFormat="1" ht="12.75" x14ac:dyDescent="0.25">
      <c r="A96" s="1034"/>
      <c r="B96" s="322" t="s">
        <v>354</v>
      </c>
      <c r="C96" s="366" t="s">
        <v>17</v>
      </c>
      <c r="D96" s="366"/>
      <c r="E96" s="559">
        <f>0.62</f>
        <v>0.62</v>
      </c>
      <c r="F96" s="366"/>
      <c r="G96" s="368"/>
      <c r="H96" s="1160"/>
      <c r="I96" s="368">
        <f t="shared" si="7"/>
        <v>0</v>
      </c>
      <c r="J96" s="367"/>
      <c r="K96" s="368"/>
      <c r="L96" s="1038">
        <f t="shared" si="6"/>
        <v>0</v>
      </c>
      <c r="M96" s="118"/>
      <c r="N96" s="974"/>
      <c r="O96" s="974"/>
      <c r="P96" s="974"/>
      <c r="Q96" s="974"/>
      <c r="R96" s="974"/>
      <c r="S96" s="974"/>
      <c r="T96" s="974"/>
      <c r="U96" s="974"/>
      <c r="V96" s="974"/>
      <c r="W96" s="974"/>
      <c r="X96" s="974"/>
      <c r="Y96" s="974"/>
      <c r="Z96" s="974"/>
      <c r="AA96" s="974"/>
      <c r="AB96" s="974"/>
      <c r="AC96" s="974"/>
      <c r="AD96" s="974"/>
      <c r="AE96" s="974"/>
      <c r="AF96" s="974"/>
      <c r="AG96" s="974"/>
      <c r="AH96" s="974"/>
      <c r="AI96" s="974"/>
      <c r="AJ96" s="974"/>
      <c r="AK96" s="974"/>
      <c r="AL96" s="974"/>
      <c r="AM96" s="974"/>
      <c r="AN96" s="974"/>
      <c r="AO96" s="974"/>
      <c r="AP96" s="974"/>
      <c r="AQ96" s="974"/>
      <c r="AR96" s="974"/>
      <c r="AS96" s="974"/>
      <c r="AT96" s="974"/>
      <c r="AU96" s="974"/>
      <c r="AV96" s="974"/>
      <c r="AW96" s="974"/>
      <c r="AX96" s="974"/>
      <c r="AY96" s="974"/>
      <c r="AZ96" s="974"/>
      <c r="BA96" s="974"/>
      <c r="BB96" s="974"/>
      <c r="BC96" s="974"/>
      <c r="BD96" s="974"/>
      <c r="BE96" s="974"/>
      <c r="BF96" s="974"/>
      <c r="BG96" s="974"/>
      <c r="BH96" s="974"/>
      <c r="BI96" s="974"/>
    </row>
    <row r="97" spans="1:61" s="183" customFormat="1" x14ac:dyDescent="0.25">
      <c r="A97" s="1034"/>
      <c r="B97" s="322" t="s">
        <v>202</v>
      </c>
      <c r="C97" s="366" t="s">
        <v>18</v>
      </c>
      <c r="D97" s="366"/>
      <c r="E97" s="368">
        <f>7.6</f>
        <v>7.6</v>
      </c>
      <c r="F97" s="366"/>
      <c r="G97" s="368"/>
      <c r="H97" s="1128"/>
      <c r="I97" s="368">
        <f t="shared" si="7"/>
        <v>0</v>
      </c>
      <c r="J97" s="367"/>
      <c r="K97" s="368"/>
      <c r="L97" s="1038">
        <f t="shared" si="6"/>
        <v>0</v>
      </c>
      <c r="M97" s="118"/>
      <c r="N97" s="974"/>
      <c r="O97" s="974"/>
      <c r="P97" s="974"/>
      <c r="Q97" s="974"/>
      <c r="R97" s="974"/>
      <c r="S97" s="974"/>
      <c r="T97" s="974"/>
      <c r="U97" s="974"/>
      <c r="V97" s="974"/>
      <c r="W97" s="974"/>
      <c r="X97" s="974"/>
      <c r="Y97" s="974"/>
      <c r="Z97" s="974"/>
      <c r="AA97" s="974"/>
      <c r="AB97" s="974"/>
      <c r="AC97" s="974"/>
      <c r="AD97" s="974"/>
      <c r="AE97" s="974"/>
      <c r="AF97" s="974"/>
      <c r="AG97" s="974"/>
      <c r="AH97" s="974"/>
      <c r="AI97" s="974"/>
      <c r="AJ97" s="974"/>
      <c r="AK97" s="974"/>
      <c r="AL97" s="974"/>
      <c r="AM97" s="974"/>
      <c r="AN97" s="974"/>
      <c r="AO97" s="974"/>
      <c r="AP97" s="974"/>
      <c r="AQ97" s="974"/>
      <c r="AR97" s="974"/>
      <c r="AS97" s="974"/>
      <c r="AT97" s="974"/>
      <c r="AU97" s="974"/>
      <c r="AV97" s="974"/>
      <c r="AW97" s="974"/>
      <c r="AX97" s="974"/>
      <c r="AY97" s="974"/>
      <c r="AZ97" s="974"/>
      <c r="BA97" s="974"/>
      <c r="BB97" s="974"/>
      <c r="BC97" s="974"/>
      <c r="BD97" s="974"/>
      <c r="BE97" s="974"/>
      <c r="BF97" s="974"/>
      <c r="BG97" s="974"/>
      <c r="BH97" s="974"/>
      <c r="BI97" s="974"/>
    </row>
    <row r="98" spans="1:61" s="183" customFormat="1" x14ac:dyDescent="0.25">
      <c r="A98" s="1034"/>
      <c r="B98" s="322" t="s">
        <v>118</v>
      </c>
      <c r="C98" s="366" t="s">
        <v>18</v>
      </c>
      <c r="D98" s="366">
        <v>24.4</v>
      </c>
      <c r="E98" s="368">
        <f>E90*D98</f>
        <v>11.312328000000001</v>
      </c>
      <c r="F98" s="366"/>
      <c r="G98" s="368"/>
      <c r="H98" s="1124"/>
      <c r="I98" s="368">
        <f t="shared" si="7"/>
        <v>0</v>
      </c>
      <c r="J98" s="367"/>
      <c r="K98" s="368"/>
      <c r="L98" s="1038">
        <f t="shared" si="6"/>
        <v>0</v>
      </c>
      <c r="M98" s="118"/>
      <c r="N98" s="974"/>
      <c r="O98" s="974"/>
      <c r="P98" s="974"/>
      <c r="Q98" s="974"/>
      <c r="R98" s="974"/>
      <c r="S98" s="974"/>
      <c r="T98" s="974"/>
      <c r="U98" s="974"/>
      <c r="V98" s="974"/>
      <c r="W98" s="974"/>
      <c r="X98" s="974"/>
      <c r="Y98" s="974"/>
      <c r="Z98" s="974"/>
      <c r="AA98" s="974"/>
      <c r="AB98" s="974"/>
      <c r="AC98" s="974"/>
      <c r="AD98" s="974"/>
      <c r="AE98" s="974"/>
      <c r="AF98" s="974"/>
      <c r="AG98" s="974"/>
      <c r="AH98" s="974"/>
      <c r="AI98" s="974"/>
      <c r="AJ98" s="974"/>
      <c r="AK98" s="974"/>
      <c r="AL98" s="974"/>
      <c r="AM98" s="974"/>
      <c r="AN98" s="974"/>
      <c r="AO98" s="974"/>
      <c r="AP98" s="974"/>
      <c r="AQ98" s="974"/>
      <c r="AR98" s="974"/>
      <c r="AS98" s="974"/>
      <c r="AT98" s="974"/>
      <c r="AU98" s="974"/>
      <c r="AV98" s="974"/>
      <c r="AW98" s="974"/>
      <c r="AX98" s="974"/>
      <c r="AY98" s="974"/>
      <c r="AZ98" s="974"/>
      <c r="BA98" s="974"/>
      <c r="BB98" s="974"/>
      <c r="BC98" s="974"/>
      <c r="BD98" s="974"/>
      <c r="BE98" s="974"/>
      <c r="BF98" s="974"/>
      <c r="BG98" s="974"/>
      <c r="BH98" s="974"/>
      <c r="BI98" s="974"/>
    </row>
    <row r="99" spans="1:61" s="183" customFormat="1" ht="12.75" x14ac:dyDescent="0.25">
      <c r="A99" s="1034"/>
      <c r="B99" s="322" t="s">
        <v>42</v>
      </c>
      <c r="C99" s="366" t="s">
        <v>15</v>
      </c>
      <c r="D99" s="366">
        <v>2.78</v>
      </c>
      <c r="E99" s="368">
        <f>E90*D99</f>
        <v>1.2888636</v>
      </c>
      <c r="F99" s="366"/>
      <c r="G99" s="368"/>
      <c r="H99" s="1160"/>
      <c r="I99" s="368">
        <f t="shared" si="7"/>
        <v>0</v>
      </c>
      <c r="J99" s="367"/>
      <c r="K99" s="368"/>
      <c r="L99" s="1038">
        <f t="shared" si="6"/>
        <v>0</v>
      </c>
      <c r="M99" s="118"/>
      <c r="N99" s="974"/>
      <c r="O99" s="974"/>
      <c r="P99" s="974"/>
      <c r="Q99" s="974"/>
      <c r="R99" s="974"/>
      <c r="S99" s="974"/>
      <c r="T99" s="974"/>
      <c r="U99" s="974"/>
      <c r="V99" s="974"/>
      <c r="W99" s="974"/>
      <c r="X99" s="974"/>
      <c r="Y99" s="974"/>
      <c r="Z99" s="974"/>
      <c r="AA99" s="974"/>
      <c r="AB99" s="974"/>
      <c r="AC99" s="974"/>
      <c r="AD99" s="974"/>
      <c r="AE99" s="974"/>
      <c r="AF99" s="974"/>
      <c r="AG99" s="974"/>
      <c r="AH99" s="974"/>
      <c r="AI99" s="974"/>
      <c r="AJ99" s="974"/>
      <c r="AK99" s="974"/>
      <c r="AL99" s="974"/>
      <c r="AM99" s="974"/>
      <c r="AN99" s="974"/>
      <c r="AO99" s="974"/>
      <c r="AP99" s="974"/>
      <c r="AQ99" s="974"/>
      <c r="AR99" s="974"/>
      <c r="AS99" s="974"/>
      <c r="AT99" s="974"/>
      <c r="AU99" s="974"/>
      <c r="AV99" s="974"/>
      <c r="AW99" s="974"/>
      <c r="AX99" s="974"/>
      <c r="AY99" s="974"/>
      <c r="AZ99" s="974"/>
      <c r="BA99" s="974"/>
      <c r="BB99" s="974"/>
      <c r="BC99" s="974"/>
      <c r="BD99" s="974"/>
      <c r="BE99" s="974"/>
      <c r="BF99" s="974"/>
      <c r="BG99" s="974"/>
      <c r="BH99" s="974"/>
      <c r="BI99" s="974"/>
    </row>
    <row r="100" spans="1:61" s="345" customFormat="1" ht="27" customHeight="1" x14ac:dyDescent="0.25">
      <c r="A100" s="590">
        <v>4</v>
      </c>
      <c r="B100" s="174" t="s">
        <v>201</v>
      </c>
      <c r="C100" s="173" t="s">
        <v>17</v>
      </c>
      <c r="D100" s="173"/>
      <c r="E100" s="175">
        <v>10</v>
      </c>
      <c r="F100" s="63"/>
      <c r="G100" s="63"/>
      <c r="H100" s="63"/>
      <c r="I100" s="63"/>
      <c r="J100" s="63"/>
      <c r="K100" s="63"/>
      <c r="L100" s="611"/>
      <c r="M100" s="977"/>
      <c r="N100" s="977"/>
      <c r="O100" s="977"/>
      <c r="P100" s="977"/>
      <c r="Q100" s="977"/>
      <c r="R100" s="977"/>
      <c r="S100" s="977"/>
      <c r="T100" s="977"/>
      <c r="U100" s="977"/>
      <c r="V100" s="977"/>
      <c r="W100" s="977"/>
      <c r="X100" s="977"/>
      <c r="Y100" s="977"/>
      <c r="Z100" s="977"/>
      <c r="AA100" s="977"/>
      <c r="AB100" s="977"/>
      <c r="AC100" s="977"/>
      <c r="AD100" s="977"/>
      <c r="AE100" s="977"/>
      <c r="AF100" s="977"/>
      <c r="AG100" s="977"/>
      <c r="AH100" s="977"/>
      <c r="AI100" s="977"/>
      <c r="AJ100" s="977"/>
      <c r="AK100" s="977"/>
      <c r="AL100" s="977"/>
      <c r="AM100" s="977"/>
      <c r="AN100" s="977"/>
      <c r="AO100" s="977"/>
      <c r="AP100" s="977"/>
      <c r="AQ100" s="977"/>
      <c r="AR100" s="977"/>
      <c r="AS100" s="977"/>
      <c r="AT100" s="977"/>
      <c r="AU100" s="977"/>
      <c r="AV100" s="977"/>
      <c r="AW100" s="977"/>
      <c r="AX100" s="977"/>
      <c r="AY100" s="977"/>
      <c r="AZ100" s="977"/>
      <c r="BA100" s="977"/>
      <c r="BB100" s="977"/>
      <c r="BC100" s="977"/>
      <c r="BD100" s="977"/>
      <c r="BE100" s="977"/>
      <c r="BF100" s="977"/>
      <c r="BG100" s="977"/>
      <c r="BH100" s="977"/>
      <c r="BI100" s="977"/>
    </row>
    <row r="101" spans="1:61" s="71" customFormat="1" ht="12.75" x14ac:dyDescent="0.25">
      <c r="A101" s="504"/>
      <c r="B101" s="72" t="s">
        <v>27</v>
      </c>
      <c r="C101" s="70" t="s">
        <v>28</v>
      </c>
      <c r="D101" s="70">
        <v>0.68</v>
      </c>
      <c r="E101" s="73">
        <f>E100*D101</f>
        <v>6.8000000000000007</v>
      </c>
      <c r="F101" s="953"/>
      <c r="G101" s="73">
        <f>E101*F101</f>
        <v>0</v>
      </c>
      <c r="H101" s="63"/>
      <c r="I101" s="73"/>
      <c r="J101" s="73"/>
      <c r="K101" s="73"/>
      <c r="L101" s="505">
        <f>K101+I101+G101</f>
        <v>0</v>
      </c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  <c r="AI101" s="496"/>
      <c r="AJ101" s="496"/>
      <c r="AK101" s="496"/>
      <c r="AL101" s="496"/>
      <c r="AM101" s="496"/>
      <c r="AN101" s="496"/>
      <c r="AO101" s="496"/>
      <c r="AP101" s="496"/>
      <c r="AQ101" s="496"/>
      <c r="AR101" s="496"/>
      <c r="AS101" s="496"/>
      <c r="AT101" s="496"/>
      <c r="AU101" s="496"/>
      <c r="AV101" s="496"/>
      <c r="AW101" s="496"/>
      <c r="AX101" s="496"/>
      <c r="AY101" s="496"/>
      <c r="AZ101" s="496"/>
      <c r="BA101" s="496"/>
      <c r="BB101" s="496"/>
      <c r="BC101" s="496"/>
      <c r="BD101" s="496"/>
      <c r="BE101" s="496"/>
      <c r="BF101" s="496"/>
      <c r="BG101" s="496"/>
      <c r="BH101" s="496"/>
      <c r="BI101" s="496"/>
    </row>
    <row r="102" spans="1:61" s="71" customFormat="1" ht="12.75" x14ac:dyDescent="0.25">
      <c r="A102" s="504"/>
      <c r="B102" s="72" t="s">
        <v>30</v>
      </c>
      <c r="C102" s="70" t="s">
        <v>33</v>
      </c>
      <c r="D102" s="70">
        <v>2.9999999999999997E-4</v>
      </c>
      <c r="E102" s="73">
        <f>D102*E100</f>
        <v>2.9999999999999996E-3</v>
      </c>
      <c r="F102" s="73"/>
      <c r="G102" s="73"/>
      <c r="H102" s="63"/>
      <c r="I102" s="73"/>
      <c r="J102" s="953"/>
      <c r="K102" s="73">
        <f>J102*E102</f>
        <v>0</v>
      </c>
      <c r="L102" s="505">
        <f>K102+I102+G102</f>
        <v>0</v>
      </c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96"/>
      <c r="AE102" s="496"/>
      <c r="AF102" s="496"/>
      <c r="AG102" s="496"/>
      <c r="AH102" s="496"/>
      <c r="AI102" s="496"/>
      <c r="AJ102" s="496"/>
      <c r="AK102" s="496"/>
      <c r="AL102" s="496"/>
      <c r="AM102" s="496"/>
      <c r="AN102" s="496"/>
      <c r="AO102" s="496"/>
      <c r="AP102" s="496"/>
      <c r="AQ102" s="496"/>
      <c r="AR102" s="496"/>
      <c r="AS102" s="496"/>
      <c r="AT102" s="496"/>
      <c r="AU102" s="496"/>
      <c r="AV102" s="496"/>
      <c r="AW102" s="496"/>
      <c r="AX102" s="496"/>
      <c r="AY102" s="496"/>
      <c r="AZ102" s="496"/>
      <c r="BA102" s="496"/>
      <c r="BB102" s="496"/>
      <c r="BC102" s="496"/>
      <c r="BD102" s="496"/>
      <c r="BE102" s="496"/>
      <c r="BF102" s="496"/>
      <c r="BG102" s="496"/>
      <c r="BH102" s="496"/>
      <c r="BI102" s="496"/>
    </row>
    <row r="103" spans="1:61" s="71" customFormat="1" x14ac:dyDescent="0.25">
      <c r="A103" s="504"/>
      <c r="B103" s="39" t="s">
        <v>311</v>
      </c>
      <c r="C103" s="70" t="s">
        <v>18</v>
      </c>
      <c r="D103" s="70">
        <v>0.246</v>
      </c>
      <c r="E103" s="73">
        <f>D103*E100</f>
        <v>2.46</v>
      </c>
      <c r="F103" s="73"/>
      <c r="G103" s="73"/>
      <c r="H103" s="1120"/>
      <c r="I103" s="73">
        <f>H103*E103</f>
        <v>0</v>
      </c>
      <c r="J103" s="73"/>
      <c r="K103" s="73"/>
      <c r="L103" s="505">
        <f>K103+I103+G103</f>
        <v>0</v>
      </c>
      <c r="M103" s="496"/>
      <c r="N103" s="496"/>
      <c r="O103" s="496"/>
      <c r="P103" s="496"/>
      <c r="Q103" s="496"/>
      <c r="R103" s="496"/>
      <c r="S103" s="496"/>
      <c r="T103" s="496"/>
      <c r="U103" s="496"/>
      <c r="V103" s="496"/>
      <c r="W103" s="496"/>
      <c r="X103" s="496"/>
      <c r="Y103" s="496"/>
      <c r="Z103" s="496"/>
      <c r="AA103" s="496"/>
      <c r="AB103" s="496"/>
      <c r="AC103" s="496"/>
      <c r="AD103" s="496"/>
      <c r="AE103" s="496"/>
      <c r="AF103" s="496"/>
      <c r="AG103" s="496"/>
      <c r="AH103" s="496"/>
      <c r="AI103" s="496"/>
      <c r="AJ103" s="496"/>
      <c r="AK103" s="496"/>
      <c r="AL103" s="496"/>
      <c r="AM103" s="496"/>
      <c r="AN103" s="496"/>
      <c r="AO103" s="496"/>
      <c r="AP103" s="496"/>
      <c r="AQ103" s="496"/>
      <c r="AR103" s="496"/>
      <c r="AS103" s="496"/>
      <c r="AT103" s="496"/>
      <c r="AU103" s="496"/>
      <c r="AV103" s="496"/>
      <c r="AW103" s="496"/>
      <c r="AX103" s="496"/>
      <c r="AY103" s="496"/>
      <c r="AZ103" s="496"/>
      <c r="BA103" s="496"/>
      <c r="BB103" s="496"/>
      <c r="BC103" s="496"/>
      <c r="BD103" s="496"/>
      <c r="BE103" s="496"/>
      <c r="BF103" s="496"/>
      <c r="BG103" s="496"/>
      <c r="BH103" s="496"/>
      <c r="BI103" s="496"/>
    </row>
    <row r="104" spans="1:61" s="71" customFormat="1" ht="12.75" x14ac:dyDescent="0.25">
      <c r="A104" s="504"/>
      <c r="B104" s="72" t="s">
        <v>120</v>
      </c>
      <c r="C104" s="70" t="s">
        <v>98</v>
      </c>
      <c r="D104" s="73">
        <v>2.7E-2</v>
      </c>
      <c r="E104" s="178">
        <f>E100*D104</f>
        <v>0.27</v>
      </c>
      <c r="F104" s="73"/>
      <c r="G104" s="73"/>
      <c r="H104" s="1120"/>
      <c r="I104" s="73">
        <f>H104*E104</f>
        <v>0</v>
      </c>
      <c r="J104" s="73"/>
      <c r="K104" s="73"/>
      <c r="L104" s="505">
        <f>K104+I104+G104</f>
        <v>0</v>
      </c>
      <c r="M104" s="496"/>
      <c r="N104" s="496"/>
      <c r="O104" s="496"/>
      <c r="P104" s="496"/>
      <c r="Q104" s="496"/>
      <c r="R104" s="496"/>
      <c r="S104" s="496"/>
      <c r="T104" s="496"/>
      <c r="U104" s="496"/>
      <c r="V104" s="496"/>
      <c r="W104" s="496"/>
      <c r="X104" s="496"/>
      <c r="Y104" s="496"/>
      <c r="Z104" s="496"/>
      <c r="AA104" s="496"/>
      <c r="AB104" s="496"/>
      <c r="AC104" s="496"/>
      <c r="AD104" s="496"/>
      <c r="AE104" s="496"/>
      <c r="AF104" s="496"/>
      <c r="AG104" s="496"/>
      <c r="AH104" s="496"/>
      <c r="AI104" s="496"/>
      <c r="AJ104" s="496"/>
      <c r="AK104" s="496"/>
      <c r="AL104" s="496"/>
      <c r="AM104" s="496"/>
      <c r="AN104" s="496"/>
      <c r="AO104" s="496"/>
      <c r="AP104" s="496"/>
      <c r="AQ104" s="496"/>
      <c r="AR104" s="496"/>
      <c r="AS104" s="496"/>
      <c r="AT104" s="496"/>
      <c r="AU104" s="496"/>
      <c r="AV104" s="496"/>
      <c r="AW104" s="496"/>
      <c r="AX104" s="496"/>
      <c r="AY104" s="496"/>
      <c r="AZ104" s="496"/>
      <c r="BA104" s="496"/>
      <c r="BB104" s="496"/>
      <c r="BC104" s="496"/>
      <c r="BD104" s="496"/>
      <c r="BE104" s="496"/>
      <c r="BF104" s="496"/>
      <c r="BG104" s="496"/>
      <c r="BH104" s="496"/>
      <c r="BI104" s="496"/>
    </row>
    <row r="105" spans="1:61" s="71" customFormat="1" ht="12.75" x14ac:dyDescent="0.25">
      <c r="A105" s="504"/>
      <c r="B105" s="172" t="s">
        <v>16</v>
      </c>
      <c r="C105" s="70" t="s">
        <v>33</v>
      </c>
      <c r="D105" s="70">
        <v>1.9E-3</v>
      </c>
      <c r="E105" s="73">
        <f>E100*D105</f>
        <v>1.9E-2</v>
      </c>
      <c r="F105" s="73"/>
      <c r="G105" s="73"/>
      <c r="H105" s="1120"/>
      <c r="I105" s="73">
        <f>H105*E105</f>
        <v>0</v>
      </c>
      <c r="J105" s="73"/>
      <c r="K105" s="73"/>
      <c r="L105" s="505">
        <f>K105+I105+G105</f>
        <v>0</v>
      </c>
      <c r="M105" s="496"/>
      <c r="N105" s="496"/>
      <c r="O105" s="496"/>
      <c r="P105" s="496"/>
      <c r="Q105" s="496"/>
      <c r="R105" s="496"/>
      <c r="S105" s="496"/>
      <c r="T105" s="496"/>
      <c r="U105" s="496"/>
      <c r="V105" s="496"/>
      <c r="W105" s="496"/>
      <c r="X105" s="496"/>
      <c r="Y105" s="496"/>
      <c r="Z105" s="496"/>
      <c r="AA105" s="496"/>
      <c r="AB105" s="496"/>
      <c r="AC105" s="496"/>
      <c r="AD105" s="496"/>
      <c r="AE105" s="496"/>
      <c r="AF105" s="496"/>
      <c r="AG105" s="496"/>
      <c r="AH105" s="496"/>
      <c r="AI105" s="496"/>
      <c r="AJ105" s="496"/>
      <c r="AK105" s="496"/>
      <c r="AL105" s="496"/>
      <c r="AM105" s="496"/>
      <c r="AN105" s="496"/>
      <c r="AO105" s="496"/>
      <c r="AP105" s="496"/>
      <c r="AQ105" s="496"/>
      <c r="AR105" s="496"/>
      <c r="AS105" s="496"/>
      <c r="AT105" s="496"/>
      <c r="AU105" s="496"/>
      <c r="AV105" s="496"/>
      <c r="AW105" s="496"/>
      <c r="AX105" s="496"/>
      <c r="AY105" s="496"/>
      <c r="AZ105" s="496"/>
      <c r="BA105" s="496"/>
      <c r="BB105" s="496"/>
      <c r="BC105" s="496"/>
      <c r="BD105" s="496"/>
      <c r="BE105" s="496"/>
      <c r="BF105" s="496"/>
      <c r="BG105" s="496"/>
      <c r="BH105" s="496"/>
      <c r="BI105" s="496"/>
    </row>
    <row r="106" spans="1:61" s="336" customFormat="1" ht="56.25" customHeight="1" x14ac:dyDescent="0.25">
      <c r="A106" s="595">
        <v>5</v>
      </c>
      <c r="B106" s="546" t="s">
        <v>200</v>
      </c>
      <c r="C106" s="545" t="s">
        <v>121</v>
      </c>
      <c r="D106" s="547" t="s">
        <v>111</v>
      </c>
      <c r="E106" s="722">
        <f>(62+25+24+24+16+22+18+100+30+35+21+84+49+40+17+35+23)/100</f>
        <v>6.25</v>
      </c>
      <c r="F106" s="548"/>
      <c r="G106" s="548"/>
      <c r="H106" s="548"/>
      <c r="I106" s="548"/>
      <c r="J106" s="549"/>
      <c r="K106" s="549"/>
      <c r="L106" s="610"/>
      <c r="M106" s="596"/>
      <c r="N106" s="596"/>
      <c r="O106" s="596"/>
      <c r="P106" s="596"/>
      <c r="Q106" s="596"/>
      <c r="R106" s="596"/>
      <c r="S106" s="596"/>
      <c r="T106" s="596"/>
      <c r="U106" s="596"/>
      <c r="V106" s="596"/>
      <c r="W106" s="596"/>
      <c r="X106" s="596"/>
      <c r="Y106" s="596"/>
      <c r="Z106" s="596"/>
      <c r="AA106" s="596"/>
      <c r="AB106" s="596"/>
      <c r="AC106" s="596"/>
      <c r="AD106" s="596"/>
      <c r="AE106" s="596"/>
      <c r="AF106" s="596"/>
      <c r="AG106" s="596"/>
      <c r="AH106" s="596"/>
      <c r="AI106" s="596"/>
      <c r="AJ106" s="596"/>
      <c r="AK106" s="596"/>
      <c r="AL106" s="596"/>
      <c r="AM106" s="596"/>
      <c r="AN106" s="596"/>
      <c r="AO106" s="596"/>
      <c r="AP106" s="596"/>
      <c r="AQ106" s="596"/>
      <c r="AR106" s="596"/>
      <c r="AS106" s="596"/>
      <c r="AT106" s="596"/>
      <c r="AU106" s="596"/>
      <c r="AV106" s="596"/>
      <c r="AW106" s="596"/>
      <c r="AX106" s="596"/>
      <c r="AY106" s="596"/>
      <c r="AZ106" s="596"/>
      <c r="BA106" s="596"/>
      <c r="BB106" s="596"/>
      <c r="BC106" s="596"/>
      <c r="BD106" s="596"/>
      <c r="BE106" s="596"/>
      <c r="BF106" s="596"/>
      <c r="BG106" s="596"/>
      <c r="BH106" s="596"/>
      <c r="BI106" s="596"/>
    </row>
    <row r="107" spans="1:61" s="171" customFormat="1" ht="12.75" x14ac:dyDescent="0.25">
      <c r="A107" s="597"/>
      <c r="B107" s="551" t="s">
        <v>112</v>
      </c>
      <c r="C107" s="550" t="s">
        <v>28</v>
      </c>
      <c r="D107" s="552">
        <v>249</v>
      </c>
      <c r="E107" s="549">
        <f>E106*D107</f>
        <v>1556.25</v>
      </c>
      <c r="F107" s="1166"/>
      <c r="G107" s="548">
        <f>E107*F107</f>
        <v>0</v>
      </c>
      <c r="H107" s="549"/>
      <c r="I107" s="549"/>
      <c r="J107" s="548"/>
      <c r="K107" s="548"/>
      <c r="L107" s="610">
        <f>G107+I107+K107</f>
        <v>0</v>
      </c>
      <c r="M107" s="598"/>
      <c r="N107" s="598"/>
      <c r="O107" s="598"/>
      <c r="P107" s="598"/>
      <c r="Q107" s="598"/>
      <c r="R107" s="598"/>
      <c r="S107" s="598"/>
      <c r="T107" s="598"/>
      <c r="U107" s="598"/>
      <c r="V107" s="598"/>
      <c r="W107" s="598"/>
      <c r="X107" s="598"/>
      <c r="Y107" s="598"/>
      <c r="Z107" s="598"/>
      <c r="AA107" s="598"/>
      <c r="AB107" s="598"/>
      <c r="AC107" s="598"/>
      <c r="AD107" s="598"/>
      <c r="AE107" s="598"/>
      <c r="AF107" s="598"/>
      <c r="AG107" s="598"/>
      <c r="AH107" s="598"/>
      <c r="AI107" s="598"/>
      <c r="AJ107" s="598"/>
      <c r="AK107" s="598"/>
      <c r="AL107" s="598"/>
      <c r="AM107" s="598"/>
      <c r="AN107" s="598"/>
      <c r="AO107" s="598"/>
      <c r="AP107" s="598"/>
      <c r="AQ107" s="598"/>
      <c r="AR107" s="598"/>
      <c r="AS107" s="598"/>
      <c r="AT107" s="598"/>
      <c r="AU107" s="598"/>
      <c r="AV107" s="598"/>
      <c r="AW107" s="598"/>
      <c r="AX107" s="598"/>
      <c r="AY107" s="598"/>
      <c r="AZ107" s="598"/>
      <c r="BA107" s="598"/>
      <c r="BB107" s="598"/>
      <c r="BC107" s="598"/>
      <c r="BD107" s="598"/>
      <c r="BE107" s="598"/>
      <c r="BF107" s="598"/>
      <c r="BG107" s="598"/>
      <c r="BH107" s="598"/>
      <c r="BI107" s="598"/>
    </row>
    <row r="108" spans="1:61" s="171" customFormat="1" ht="12.75" x14ac:dyDescent="0.25">
      <c r="A108" s="597"/>
      <c r="B108" s="551" t="s">
        <v>320</v>
      </c>
      <c r="C108" s="70" t="s">
        <v>33</v>
      </c>
      <c r="D108" s="552">
        <v>18.100000000000001</v>
      </c>
      <c r="E108" s="549">
        <f>E106*D108</f>
        <v>113.12500000000001</v>
      </c>
      <c r="F108" s="548"/>
      <c r="G108" s="548"/>
      <c r="H108" s="548"/>
      <c r="I108" s="548"/>
      <c r="J108" s="1185"/>
      <c r="K108" s="549">
        <f>J108*E108</f>
        <v>0</v>
      </c>
      <c r="L108" s="610">
        <f>G108+I108+K108</f>
        <v>0</v>
      </c>
      <c r="M108" s="598"/>
      <c r="N108" s="598"/>
      <c r="O108" s="598"/>
      <c r="P108" s="598"/>
      <c r="Q108" s="598"/>
      <c r="R108" s="598"/>
      <c r="S108" s="598"/>
      <c r="T108" s="598"/>
      <c r="U108" s="598"/>
      <c r="V108" s="598"/>
      <c r="W108" s="598"/>
      <c r="X108" s="598"/>
      <c r="Y108" s="598"/>
      <c r="Z108" s="598"/>
      <c r="AA108" s="598"/>
      <c r="AB108" s="598"/>
      <c r="AC108" s="598"/>
      <c r="AD108" s="598"/>
      <c r="AE108" s="598"/>
      <c r="AF108" s="598"/>
      <c r="AG108" s="598"/>
      <c r="AH108" s="598"/>
      <c r="AI108" s="598"/>
      <c r="AJ108" s="598"/>
      <c r="AK108" s="598"/>
      <c r="AL108" s="598"/>
      <c r="AM108" s="598"/>
      <c r="AN108" s="598"/>
      <c r="AO108" s="598"/>
      <c r="AP108" s="598"/>
      <c r="AQ108" s="598"/>
      <c r="AR108" s="598"/>
      <c r="AS108" s="598"/>
      <c r="AT108" s="598"/>
      <c r="AU108" s="598"/>
      <c r="AV108" s="598"/>
      <c r="AW108" s="598"/>
      <c r="AX108" s="598"/>
      <c r="AY108" s="598"/>
      <c r="AZ108" s="598"/>
      <c r="BA108" s="598"/>
      <c r="BB108" s="598"/>
      <c r="BC108" s="598"/>
      <c r="BD108" s="598"/>
      <c r="BE108" s="598"/>
      <c r="BF108" s="598"/>
      <c r="BG108" s="598"/>
      <c r="BH108" s="598"/>
      <c r="BI108" s="598"/>
    </row>
    <row r="109" spans="1:61" s="171" customFormat="1" ht="12.75" x14ac:dyDescent="0.25">
      <c r="A109" s="597"/>
      <c r="B109" s="551" t="s">
        <v>144</v>
      </c>
      <c r="C109" s="550" t="s">
        <v>15</v>
      </c>
      <c r="D109" s="552">
        <v>6</v>
      </c>
      <c r="E109" s="553">
        <f>E106*D109</f>
        <v>37.5</v>
      </c>
      <c r="F109" s="548"/>
      <c r="G109" s="548"/>
      <c r="H109" s="549"/>
      <c r="I109" s="549"/>
      <c r="J109" s="1178"/>
      <c r="K109" s="548">
        <f>J109*E109</f>
        <v>0</v>
      </c>
      <c r="L109" s="610">
        <f>G109+I109+K109</f>
        <v>0</v>
      </c>
      <c r="M109" s="598"/>
      <c r="N109" s="598"/>
      <c r="O109" s="598"/>
      <c r="P109" s="598"/>
      <c r="Q109" s="598"/>
      <c r="R109" s="598"/>
      <c r="S109" s="598"/>
      <c r="T109" s="598"/>
      <c r="U109" s="598"/>
      <c r="V109" s="598"/>
      <c r="W109" s="598"/>
      <c r="X109" s="598"/>
      <c r="Y109" s="598"/>
      <c r="Z109" s="598"/>
      <c r="AA109" s="598"/>
      <c r="AB109" s="598"/>
      <c r="AC109" s="598"/>
      <c r="AD109" s="598"/>
      <c r="AE109" s="598"/>
      <c r="AF109" s="598"/>
      <c r="AG109" s="598"/>
      <c r="AH109" s="598"/>
      <c r="AI109" s="598"/>
      <c r="AJ109" s="598"/>
      <c r="AK109" s="598"/>
      <c r="AL109" s="598"/>
      <c r="AM109" s="598"/>
      <c r="AN109" s="598"/>
      <c r="AO109" s="598"/>
      <c r="AP109" s="598"/>
      <c r="AQ109" s="598"/>
      <c r="AR109" s="598"/>
      <c r="AS109" s="598"/>
      <c r="AT109" s="598"/>
      <c r="AU109" s="598"/>
      <c r="AV109" s="598"/>
      <c r="AW109" s="598"/>
      <c r="AX109" s="598"/>
      <c r="AY109" s="598"/>
      <c r="AZ109" s="598"/>
      <c r="BA109" s="598"/>
      <c r="BB109" s="598"/>
      <c r="BC109" s="598"/>
      <c r="BD109" s="598"/>
      <c r="BE109" s="598"/>
      <c r="BF109" s="598"/>
      <c r="BG109" s="598"/>
      <c r="BH109" s="598"/>
      <c r="BI109" s="598"/>
    </row>
    <row r="110" spans="1:61" s="171" customFormat="1" ht="12.75" x14ac:dyDescent="0.25">
      <c r="A110" s="597"/>
      <c r="B110" s="551" t="s">
        <v>199</v>
      </c>
      <c r="C110" s="550" t="s">
        <v>34</v>
      </c>
      <c r="D110" s="552">
        <v>100</v>
      </c>
      <c r="E110" s="549">
        <f>E106*D110</f>
        <v>625</v>
      </c>
      <c r="F110" s="548"/>
      <c r="G110" s="548"/>
      <c r="H110" s="1178"/>
      <c r="I110" s="548">
        <f>H110*E110</f>
        <v>0</v>
      </c>
      <c r="J110" s="549"/>
      <c r="K110" s="549"/>
      <c r="L110" s="610">
        <f>G110+I110+K110</f>
        <v>0</v>
      </c>
      <c r="M110" s="598"/>
      <c r="N110" s="598"/>
      <c r="O110" s="598"/>
      <c r="P110" s="598"/>
      <c r="Q110" s="598"/>
      <c r="R110" s="598"/>
      <c r="S110" s="598"/>
      <c r="T110" s="598"/>
      <c r="U110" s="598"/>
      <c r="V110" s="598"/>
      <c r="W110" s="598"/>
      <c r="X110" s="598"/>
      <c r="Y110" s="598"/>
      <c r="Z110" s="598"/>
      <c r="AA110" s="598"/>
      <c r="AB110" s="598"/>
      <c r="AC110" s="598"/>
      <c r="AD110" s="598"/>
      <c r="AE110" s="598"/>
      <c r="AF110" s="598"/>
      <c r="AG110" s="598"/>
      <c r="AH110" s="598"/>
      <c r="AI110" s="598"/>
      <c r="AJ110" s="598"/>
      <c r="AK110" s="598"/>
      <c r="AL110" s="598"/>
      <c r="AM110" s="598"/>
      <c r="AN110" s="598"/>
      <c r="AO110" s="598"/>
      <c r="AP110" s="598"/>
      <c r="AQ110" s="598"/>
      <c r="AR110" s="598"/>
      <c r="AS110" s="598"/>
      <c r="AT110" s="598"/>
      <c r="AU110" s="598"/>
      <c r="AV110" s="598"/>
      <c r="AW110" s="598"/>
      <c r="AX110" s="598"/>
      <c r="AY110" s="598"/>
      <c r="AZ110" s="598"/>
      <c r="BA110" s="598"/>
      <c r="BB110" s="598"/>
      <c r="BC110" s="598"/>
      <c r="BD110" s="598"/>
      <c r="BE110" s="598"/>
      <c r="BF110" s="598"/>
      <c r="BG110" s="598"/>
      <c r="BH110" s="598"/>
      <c r="BI110" s="598"/>
    </row>
    <row r="111" spans="1:61" s="171" customFormat="1" thickBot="1" x14ac:dyDescent="0.3">
      <c r="A111" s="1039"/>
      <c r="B111" s="583" t="s">
        <v>116</v>
      </c>
      <c r="C111" s="582" t="s">
        <v>15</v>
      </c>
      <c r="D111" s="584">
        <v>4</v>
      </c>
      <c r="E111" s="585">
        <f>D111*E106</f>
        <v>25</v>
      </c>
      <c r="F111" s="586"/>
      <c r="G111" s="586"/>
      <c r="H111" s="1186"/>
      <c r="I111" s="587">
        <f>H111*E111</f>
        <v>0</v>
      </c>
      <c r="J111" s="586"/>
      <c r="K111" s="586"/>
      <c r="L111" s="1040">
        <f>G111+I111+K111</f>
        <v>0</v>
      </c>
      <c r="M111" s="598"/>
      <c r="N111" s="598"/>
      <c r="O111" s="598"/>
      <c r="P111" s="598"/>
      <c r="Q111" s="598"/>
      <c r="R111" s="598"/>
      <c r="S111" s="598"/>
      <c r="T111" s="598"/>
      <c r="U111" s="598"/>
      <c r="V111" s="598"/>
      <c r="W111" s="598"/>
      <c r="X111" s="598"/>
      <c r="Y111" s="598"/>
      <c r="Z111" s="598"/>
      <c r="AA111" s="598"/>
      <c r="AB111" s="598"/>
      <c r="AC111" s="598"/>
      <c r="AD111" s="598"/>
      <c r="AE111" s="598"/>
      <c r="AF111" s="598"/>
      <c r="AG111" s="598"/>
      <c r="AH111" s="598"/>
      <c r="AI111" s="598"/>
      <c r="AJ111" s="598"/>
      <c r="AK111" s="598"/>
      <c r="AL111" s="598"/>
      <c r="AM111" s="598"/>
      <c r="AN111" s="598"/>
      <c r="AO111" s="598"/>
      <c r="AP111" s="598"/>
      <c r="AQ111" s="598"/>
      <c r="AR111" s="598"/>
      <c r="AS111" s="598"/>
      <c r="AT111" s="598"/>
      <c r="AU111" s="598"/>
      <c r="AV111" s="598"/>
      <c r="AW111" s="598"/>
      <c r="AX111" s="598"/>
      <c r="AY111" s="598"/>
      <c r="AZ111" s="598"/>
      <c r="BA111" s="598"/>
      <c r="BB111" s="598"/>
      <c r="BC111" s="598"/>
      <c r="BD111" s="598"/>
      <c r="BE111" s="598"/>
      <c r="BF111" s="598"/>
      <c r="BG111" s="598"/>
      <c r="BH111" s="598"/>
      <c r="BI111" s="598"/>
    </row>
    <row r="112" spans="1:61" s="732" customFormat="1" ht="18.75" customHeight="1" x14ac:dyDescent="0.25">
      <c r="A112" s="726"/>
      <c r="B112" s="728" t="s">
        <v>321</v>
      </c>
      <c r="C112" s="729"/>
      <c r="D112" s="729"/>
      <c r="E112" s="727"/>
      <c r="F112" s="727"/>
      <c r="G112" s="730"/>
      <c r="H112" s="727"/>
      <c r="I112" s="730"/>
      <c r="J112" s="727"/>
      <c r="K112" s="730"/>
      <c r="L112" s="731"/>
      <c r="M112" s="978"/>
      <c r="N112" s="978"/>
      <c r="O112" s="978"/>
      <c r="P112" s="978"/>
      <c r="Q112" s="978"/>
      <c r="R112" s="978"/>
      <c r="S112" s="978"/>
      <c r="T112" s="978"/>
      <c r="U112" s="978"/>
      <c r="V112" s="978"/>
      <c r="W112" s="978"/>
      <c r="X112" s="978"/>
      <c r="Y112" s="978"/>
      <c r="Z112" s="978"/>
      <c r="AA112" s="978"/>
      <c r="AB112" s="978"/>
      <c r="AC112" s="978"/>
      <c r="AD112" s="978"/>
      <c r="AE112" s="978"/>
      <c r="AF112" s="978"/>
      <c r="AG112" s="978"/>
      <c r="AH112" s="978"/>
      <c r="AI112" s="978"/>
      <c r="AJ112" s="978"/>
      <c r="AK112" s="978"/>
      <c r="AL112" s="978"/>
      <c r="AM112" s="978"/>
      <c r="AN112" s="978"/>
      <c r="AO112" s="978"/>
      <c r="AP112" s="978"/>
      <c r="AQ112" s="978"/>
      <c r="AR112" s="978"/>
      <c r="AS112" s="978"/>
      <c r="AT112" s="978"/>
      <c r="AU112" s="978"/>
      <c r="AV112" s="978"/>
      <c r="AW112" s="978"/>
      <c r="AX112" s="978"/>
      <c r="AY112" s="978"/>
      <c r="AZ112" s="978"/>
      <c r="BA112" s="978"/>
      <c r="BB112" s="978"/>
      <c r="BC112" s="978"/>
      <c r="BD112" s="978"/>
      <c r="BE112" s="978"/>
      <c r="BF112" s="978"/>
      <c r="BG112" s="978"/>
      <c r="BH112" s="978"/>
      <c r="BI112" s="978"/>
    </row>
    <row r="113" spans="1:252" s="563" customFormat="1" ht="30" customHeight="1" x14ac:dyDescent="0.25">
      <c r="A113" s="588">
        <v>1</v>
      </c>
      <c r="B113" s="283" t="s">
        <v>322</v>
      </c>
      <c r="C113" s="560" t="s">
        <v>234</v>
      </c>
      <c r="D113" s="561"/>
      <c r="E113" s="561">
        <f>520*0.4*0.4*0.6</f>
        <v>49.92</v>
      </c>
      <c r="F113" s="561"/>
      <c r="G113" s="561"/>
      <c r="H113" s="561"/>
      <c r="I113" s="561"/>
      <c r="J113" s="561"/>
      <c r="K113" s="561"/>
      <c r="L113" s="604"/>
      <c r="M113" s="979"/>
      <c r="N113" s="979"/>
      <c r="O113" s="979"/>
      <c r="P113" s="979"/>
      <c r="Q113" s="979"/>
      <c r="R113" s="979"/>
      <c r="S113" s="979"/>
      <c r="T113" s="979"/>
      <c r="U113" s="979"/>
      <c r="V113" s="979"/>
      <c r="W113" s="979"/>
      <c r="X113" s="979"/>
      <c r="Y113" s="979"/>
      <c r="Z113" s="979"/>
      <c r="AA113" s="979"/>
      <c r="AB113" s="979"/>
      <c r="AC113" s="979"/>
      <c r="AD113" s="979"/>
      <c r="AE113" s="979"/>
      <c r="AF113" s="979"/>
      <c r="AG113" s="979"/>
      <c r="AH113" s="979"/>
      <c r="AI113" s="979"/>
      <c r="AJ113" s="979"/>
      <c r="AK113" s="979"/>
      <c r="AL113" s="979"/>
      <c r="AM113" s="979"/>
      <c r="AN113" s="979"/>
      <c r="AO113" s="979"/>
      <c r="AP113" s="979"/>
      <c r="AQ113" s="979"/>
      <c r="AR113" s="979"/>
      <c r="AS113" s="979"/>
      <c r="AT113" s="979"/>
      <c r="AU113" s="979"/>
      <c r="AV113" s="979"/>
      <c r="AW113" s="979"/>
      <c r="AX113" s="979"/>
      <c r="AY113" s="979"/>
      <c r="AZ113" s="979"/>
      <c r="BA113" s="979"/>
      <c r="BB113" s="979"/>
      <c r="BC113" s="979"/>
      <c r="BD113" s="979"/>
      <c r="BE113" s="979"/>
      <c r="BF113" s="979"/>
      <c r="BG113" s="979"/>
      <c r="BH113" s="979"/>
      <c r="BI113" s="979"/>
      <c r="BJ113" s="562"/>
      <c r="BK113" s="562"/>
      <c r="BL113" s="562"/>
      <c r="BM113" s="562"/>
      <c r="BN113" s="562"/>
      <c r="BO113" s="562"/>
      <c r="BP113" s="562"/>
      <c r="BQ113" s="562"/>
      <c r="BR113" s="562"/>
      <c r="BS113" s="562"/>
      <c r="BT113" s="562"/>
      <c r="BU113" s="562"/>
      <c r="BV113" s="562"/>
      <c r="BW113" s="562"/>
      <c r="BX113" s="562"/>
      <c r="BY113" s="562"/>
      <c r="BZ113" s="562"/>
      <c r="CA113" s="562"/>
      <c r="CB113" s="562"/>
      <c r="CC113" s="562"/>
      <c r="CD113" s="562"/>
      <c r="CE113" s="562"/>
      <c r="CF113" s="562"/>
      <c r="CG113" s="562"/>
      <c r="CH113" s="562"/>
      <c r="CI113" s="562"/>
      <c r="CJ113" s="562"/>
      <c r="CK113" s="562"/>
      <c r="CL113" s="562"/>
      <c r="CM113" s="562"/>
      <c r="CN113" s="562"/>
      <c r="CO113" s="562"/>
      <c r="CP113" s="562"/>
      <c r="CQ113" s="562"/>
      <c r="CR113" s="562"/>
      <c r="CS113" s="562"/>
      <c r="CT113" s="562"/>
      <c r="CU113" s="562"/>
      <c r="CV113" s="562"/>
      <c r="CW113" s="562"/>
      <c r="CX113" s="562"/>
      <c r="CY113" s="562"/>
      <c r="CZ113" s="562"/>
      <c r="DA113" s="562"/>
      <c r="DB113" s="562"/>
      <c r="DC113" s="562"/>
      <c r="DD113" s="562"/>
      <c r="DE113" s="562"/>
      <c r="DF113" s="562"/>
      <c r="DG113" s="562"/>
      <c r="DH113" s="562"/>
      <c r="DI113" s="562"/>
      <c r="DJ113" s="562"/>
      <c r="DK113" s="562"/>
      <c r="DL113" s="562"/>
      <c r="DM113" s="562"/>
      <c r="DN113" s="562"/>
      <c r="DO113" s="562"/>
      <c r="DP113" s="562"/>
      <c r="DQ113" s="562"/>
      <c r="DR113" s="562"/>
      <c r="DS113" s="562"/>
      <c r="DT113" s="562"/>
      <c r="DU113" s="562"/>
      <c r="DV113" s="562"/>
      <c r="DW113" s="562"/>
      <c r="DX113" s="562"/>
      <c r="DY113" s="562"/>
      <c r="DZ113" s="562"/>
      <c r="EA113" s="562"/>
      <c r="EB113" s="562"/>
      <c r="EC113" s="562"/>
      <c r="ED113" s="562"/>
      <c r="EE113" s="562"/>
      <c r="EF113" s="562"/>
      <c r="EG113" s="562"/>
      <c r="EH113" s="562"/>
      <c r="EI113" s="562"/>
      <c r="EJ113" s="562"/>
      <c r="EK113" s="562"/>
      <c r="EL113" s="562"/>
      <c r="EM113" s="562"/>
      <c r="EN113" s="562"/>
      <c r="EO113" s="562"/>
      <c r="EP113" s="562"/>
      <c r="EQ113" s="562"/>
      <c r="ER113" s="562"/>
      <c r="ES113" s="562"/>
      <c r="ET113" s="562"/>
      <c r="EU113" s="562"/>
      <c r="EV113" s="562"/>
      <c r="EW113" s="562"/>
      <c r="EX113" s="562"/>
      <c r="EY113" s="562"/>
      <c r="EZ113" s="562"/>
      <c r="FA113" s="562"/>
      <c r="FB113" s="562"/>
      <c r="FC113" s="562"/>
      <c r="FD113" s="562"/>
      <c r="FE113" s="562"/>
      <c r="FF113" s="562"/>
      <c r="FG113" s="562"/>
      <c r="FH113" s="562"/>
      <c r="FI113" s="562"/>
      <c r="FJ113" s="562"/>
      <c r="FK113" s="562"/>
      <c r="FL113" s="562"/>
      <c r="FM113" s="562"/>
      <c r="FN113" s="562"/>
      <c r="FO113" s="562"/>
      <c r="FP113" s="562"/>
      <c r="FQ113" s="562"/>
      <c r="FR113" s="562"/>
      <c r="FS113" s="562"/>
      <c r="FT113" s="562"/>
      <c r="FU113" s="562"/>
      <c r="FV113" s="562"/>
      <c r="FW113" s="562"/>
      <c r="FX113" s="562"/>
      <c r="FY113" s="562"/>
      <c r="FZ113" s="562"/>
      <c r="GA113" s="562"/>
      <c r="GB113" s="562"/>
      <c r="GC113" s="562"/>
      <c r="GD113" s="562"/>
      <c r="GE113" s="562"/>
      <c r="GF113" s="562"/>
      <c r="GG113" s="562"/>
      <c r="GH113" s="562"/>
      <c r="GI113" s="562"/>
      <c r="GJ113" s="562"/>
      <c r="GK113" s="562"/>
      <c r="GL113" s="562"/>
      <c r="GM113" s="562"/>
      <c r="GN113" s="562"/>
      <c r="GO113" s="562"/>
      <c r="GP113" s="562"/>
      <c r="GQ113" s="562"/>
      <c r="GR113" s="562"/>
      <c r="GS113" s="562"/>
      <c r="GT113" s="562"/>
      <c r="GU113" s="562"/>
      <c r="GV113" s="562"/>
      <c r="GW113" s="562"/>
      <c r="GX113" s="562"/>
      <c r="GY113" s="562"/>
      <c r="GZ113" s="562"/>
      <c r="HA113" s="562"/>
      <c r="HB113" s="562"/>
      <c r="HC113" s="562"/>
      <c r="HD113" s="562"/>
      <c r="HE113" s="562"/>
      <c r="HF113" s="562"/>
      <c r="HG113" s="562"/>
      <c r="HH113" s="562"/>
      <c r="HI113" s="562"/>
      <c r="HJ113" s="562"/>
      <c r="HK113" s="562"/>
      <c r="HL113" s="562"/>
      <c r="HM113" s="562"/>
      <c r="HN113" s="562"/>
      <c r="HO113" s="562"/>
      <c r="HP113" s="562"/>
      <c r="HQ113" s="562"/>
      <c r="HR113" s="562"/>
      <c r="HS113" s="562"/>
      <c r="HT113" s="562"/>
      <c r="HU113" s="562"/>
      <c r="HV113" s="562"/>
      <c r="HW113" s="562"/>
      <c r="HX113" s="562"/>
      <c r="HY113" s="562"/>
      <c r="HZ113" s="562"/>
      <c r="IA113" s="562"/>
      <c r="IB113" s="562"/>
      <c r="IC113" s="562"/>
      <c r="ID113" s="562"/>
      <c r="IE113" s="562"/>
      <c r="IF113" s="562"/>
      <c r="IG113" s="562"/>
      <c r="IH113" s="562"/>
      <c r="II113" s="562"/>
      <c r="IJ113" s="562"/>
      <c r="IK113" s="562"/>
      <c r="IL113" s="562"/>
      <c r="IM113" s="562"/>
      <c r="IN113" s="562"/>
      <c r="IO113" s="562"/>
      <c r="IP113" s="562"/>
      <c r="IQ113" s="562"/>
    </row>
    <row r="114" spans="1:252" s="563" customFormat="1" ht="12.75" x14ac:dyDescent="0.25">
      <c r="A114" s="589"/>
      <c r="B114" s="564" t="s">
        <v>214</v>
      </c>
      <c r="C114" s="565" t="s">
        <v>28</v>
      </c>
      <c r="D114" s="565">
        <v>1.54E-2</v>
      </c>
      <c r="E114" s="566">
        <f>D114*E113</f>
        <v>0.76876800000000001</v>
      </c>
      <c r="F114" s="1179"/>
      <c r="G114" s="566">
        <f>F114*E114</f>
        <v>0</v>
      </c>
      <c r="H114" s="567"/>
      <c r="I114" s="567"/>
      <c r="J114" s="566"/>
      <c r="K114" s="566"/>
      <c r="L114" s="605">
        <f>K114+I114+G114</f>
        <v>0</v>
      </c>
      <c r="M114" s="979"/>
      <c r="N114" s="979"/>
      <c r="O114" s="979"/>
      <c r="P114" s="979"/>
      <c r="Q114" s="979"/>
      <c r="R114" s="979"/>
      <c r="S114" s="979"/>
      <c r="T114" s="979"/>
      <c r="U114" s="979"/>
      <c r="V114" s="979"/>
      <c r="W114" s="979"/>
      <c r="X114" s="979"/>
      <c r="Y114" s="979"/>
      <c r="Z114" s="979"/>
      <c r="AA114" s="979"/>
      <c r="AB114" s="979"/>
      <c r="AC114" s="979"/>
      <c r="AD114" s="979"/>
      <c r="AE114" s="979"/>
      <c r="AF114" s="979"/>
      <c r="AG114" s="979"/>
      <c r="AH114" s="979"/>
      <c r="AI114" s="979"/>
      <c r="AJ114" s="979"/>
      <c r="AK114" s="979"/>
      <c r="AL114" s="979"/>
      <c r="AM114" s="979"/>
      <c r="AN114" s="979"/>
      <c r="AO114" s="979"/>
      <c r="AP114" s="979"/>
      <c r="AQ114" s="979"/>
      <c r="AR114" s="979"/>
      <c r="AS114" s="979"/>
      <c r="AT114" s="979"/>
      <c r="AU114" s="979"/>
      <c r="AV114" s="979"/>
      <c r="AW114" s="979"/>
      <c r="AX114" s="979"/>
      <c r="AY114" s="979"/>
      <c r="AZ114" s="979"/>
      <c r="BA114" s="979"/>
      <c r="BB114" s="979"/>
      <c r="BC114" s="979"/>
      <c r="BD114" s="979"/>
      <c r="BE114" s="979"/>
      <c r="BF114" s="979"/>
      <c r="BG114" s="979"/>
      <c r="BH114" s="979"/>
      <c r="BI114" s="979"/>
      <c r="BJ114" s="562"/>
      <c r="BK114" s="562"/>
      <c r="BL114" s="562"/>
      <c r="BM114" s="562"/>
      <c r="BN114" s="562"/>
      <c r="BO114" s="562"/>
      <c r="BP114" s="562"/>
      <c r="BQ114" s="562"/>
      <c r="BR114" s="562"/>
      <c r="BS114" s="562"/>
      <c r="BT114" s="562"/>
      <c r="BU114" s="562"/>
      <c r="BV114" s="562"/>
      <c r="BW114" s="562"/>
      <c r="BX114" s="562"/>
      <c r="BY114" s="562"/>
      <c r="BZ114" s="562"/>
      <c r="CA114" s="562"/>
      <c r="CB114" s="562"/>
      <c r="CC114" s="562"/>
      <c r="CD114" s="562"/>
      <c r="CE114" s="562"/>
      <c r="CF114" s="562"/>
      <c r="CG114" s="562"/>
      <c r="CH114" s="562"/>
      <c r="CI114" s="562"/>
      <c r="CJ114" s="562"/>
      <c r="CK114" s="562"/>
      <c r="CL114" s="562"/>
      <c r="CM114" s="562"/>
      <c r="CN114" s="562"/>
      <c r="CO114" s="562"/>
      <c r="CP114" s="562"/>
      <c r="CQ114" s="562"/>
      <c r="CR114" s="562"/>
      <c r="CS114" s="562"/>
      <c r="CT114" s="562"/>
      <c r="CU114" s="562"/>
      <c r="CV114" s="562"/>
      <c r="CW114" s="562"/>
      <c r="CX114" s="562"/>
      <c r="CY114" s="562"/>
      <c r="CZ114" s="562"/>
      <c r="DA114" s="562"/>
      <c r="DB114" s="562"/>
      <c r="DC114" s="562"/>
      <c r="DD114" s="562"/>
      <c r="DE114" s="562"/>
      <c r="DF114" s="562"/>
      <c r="DG114" s="562"/>
      <c r="DH114" s="562"/>
      <c r="DI114" s="562"/>
      <c r="DJ114" s="562"/>
      <c r="DK114" s="562"/>
      <c r="DL114" s="562"/>
      <c r="DM114" s="562"/>
      <c r="DN114" s="562"/>
      <c r="DO114" s="562"/>
      <c r="DP114" s="562"/>
      <c r="DQ114" s="562"/>
      <c r="DR114" s="562"/>
      <c r="DS114" s="562"/>
      <c r="DT114" s="562"/>
      <c r="DU114" s="562"/>
      <c r="DV114" s="562"/>
      <c r="DW114" s="562"/>
      <c r="DX114" s="562"/>
      <c r="DY114" s="562"/>
      <c r="DZ114" s="562"/>
      <c r="EA114" s="562"/>
      <c r="EB114" s="562"/>
      <c r="EC114" s="562"/>
      <c r="ED114" s="562"/>
      <c r="EE114" s="562"/>
      <c r="EF114" s="562"/>
      <c r="EG114" s="562"/>
      <c r="EH114" s="562"/>
      <c r="EI114" s="562"/>
      <c r="EJ114" s="562"/>
      <c r="EK114" s="562"/>
      <c r="EL114" s="562"/>
      <c r="EM114" s="562"/>
      <c r="EN114" s="562"/>
      <c r="EO114" s="562"/>
      <c r="EP114" s="562"/>
      <c r="EQ114" s="562"/>
      <c r="ER114" s="562"/>
      <c r="ES114" s="562"/>
      <c r="ET114" s="562"/>
      <c r="EU114" s="562"/>
      <c r="EV114" s="562"/>
      <c r="EW114" s="562"/>
      <c r="EX114" s="562"/>
      <c r="EY114" s="562"/>
      <c r="EZ114" s="562"/>
      <c r="FA114" s="562"/>
      <c r="FB114" s="562"/>
      <c r="FC114" s="562"/>
      <c r="FD114" s="562"/>
      <c r="FE114" s="562"/>
      <c r="FF114" s="562"/>
      <c r="FG114" s="562"/>
      <c r="FH114" s="562"/>
      <c r="FI114" s="562"/>
      <c r="FJ114" s="562"/>
      <c r="FK114" s="562"/>
      <c r="FL114" s="562"/>
      <c r="FM114" s="562"/>
      <c r="FN114" s="562"/>
      <c r="FO114" s="562"/>
      <c r="FP114" s="562"/>
      <c r="FQ114" s="562"/>
      <c r="FR114" s="562"/>
      <c r="FS114" s="562"/>
      <c r="FT114" s="562"/>
      <c r="FU114" s="562"/>
      <c r="FV114" s="562"/>
      <c r="FW114" s="562"/>
      <c r="FX114" s="562"/>
      <c r="FY114" s="562"/>
      <c r="FZ114" s="562"/>
      <c r="GA114" s="562"/>
      <c r="GB114" s="562"/>
      <c r="GC114" s="562"/>
      <c r="GD114" s="562"/>
      <c r="GE114" s="562"/>
      <c r="GF114" s="562"/>
      <c r="GG114" s="562"/>
      <c r="GH114" s="562"/>
      <c r="GI114" s="562"/>
      <c r="GJ114" s="562"/>
      <c r="GK114" s="562"/>
      <c r="GL114" s="562"/>
      <c r="GM114" s="562"/>
      <c r="GN114" s="562"/>
      <c r="GO114" s="562"/>
      <c r="GP114" s="562"/>
      <c r="GQ114" s="562"/>
      <c r="GR114" s="562"/>
      <c r="GS114" s="562"/>
      <c r="GT114" s="562"/>
      <c r="GU114" s="562"/>
      <c r="GV114" s="562"/>
      <c r="GW114" s="562"/>
      <c r="GX114" s="562"/>
      <c r="GY114" s="562"/>
      <c r="GZ114" s="562"/>
      <c r="HA114" s="562"/>
      <c r="HB114" s="562"/>
      <c r="HC114" s="562"/>
      <c r="HD114" s="562"/>
      <c r="HE114" s="562"/>
      <c r="HF114" s="562"/>
      <c r="HG114" s="562"/>
      <c r="HH114" s="562"/>
      <c r="HI114" s="562"/>
      <c r="HJ114" s="562"/>
      <c r="HK114" s="562"/>
      <c r="HL114" s="562"/>
      <c r="HM114" s="562"/>
      <c r="HN114" s="562"/>
      <c r="HO114" s="562"/>
      <c r="HP114" s="562"/>
      <c r="HQ114" s="562"/>
      <c r="HR114" s="562"/>
      <c r="HS114" s="562"/>
      <c r="HT114" s="562"/>
      <c r="HU114" s="562"/>
      <c r="HV114" s="562"/>
      <c r="HW114" s="562"/>
      <c r="HX114" s="562"/>
      <c r="HY114" s="562"/>
      <c r="HZ114" s="562"/>
      <c r="IA114" s="562"/>
      <c r="IB114" s="562"/>
      <c r="IC114" s="562"/>
      <c r="ID114" s="562"/>
      <c r="IE114" s="562"/>
      <c r="IF114" s="562"/>
      <c r="IG114" s="562"/>
      <c r="IH114" s="562"/>
      <c r="II114" s="562"/>
      <c r="IJ114" s="562"/>
      <c r="IK114" s="562"/>
      <c r="IL114" s="562"/>
      <c r="IM114" s="562"/>
      <c r="IN114" s="562"/>
      <c r="IO114" s="562"/>
      <c r="IP114" s="562"/>
      <c r="IQ114" s="562"/>
    </row>
    <row r="115" spans="1:252" s="563" customFormat="1" ht="12.75" x14ac:dyDescent="0.25">
      <c r="A115" s="589"/>
      <c r="B115" s="564" t="s">
        <v>323</v>
      </c>
      <c r="C115" s="565" t="s">
        <v>134</v>
      </c>
      <c r="D115" s="565">
        <v>7.2599999999999998E-2</v>
      </c>
      <c r="E115" s="566">
        <f>D115*E113</f>
        <v>3.6241919999999999</v>
      </c>
      <c r="F115" s="566"/>
      <c r="G115" s="566"/>
      <c r="H115" s="567"/>
      <c r="I115" s="567"/>
      <c r="J115" s="1179"/>
      <c r="K115" s="566">
        <f>E115*J115</f>
        <v>0</v>
      </c>
      <c r="L115" s="605">
        <f>K115+I115+G115</f>
        <v>0</v>
      </c>
      <c r="M115" s="980"/>
      <c r="N115" s="980"/>
      <c r="O115" s="980"/>
      <c r="P115" s="980"/>
      <c r="Q115" s="980"/>
      <c r="R115" s="980"/>
      <c r="S115" s="980"/>
      <c r="T115" s="980"/>
      <c r="U115" s="980"/>
      <c r="V115" s="980"/>
      <c r="W115" s="980"/>
      <c r="X115" s="980"/>
      <c r="Y115" s="980"/>
      <c r="Z115" s="980"/>
      <c r="AA115" s="980"/>
      <c r="AB115" s="980"/>
      <c r="AC115" s="980"/>
      <c r="AD115" s="980"/>
      <c r="AE115" s="980"/>
      <c r="AF115" s="980"/>
      <c r="AG115" s="980"/>
      <c r="AH115" s="980"/>
      <c r="AI115" s="980"/>
      <c r="AJ115" s="980"/>
      <c r="AK115" s="980"/>
      <c r="AL115" s="980"/>
      <c r="AM115" s="980"/>
      <c r="AN115" s="980"/>
      <c r="AO115" s="980"/>
      <c r="AP115" s="980"/>
      <c r="AQ115" s="980"/>
      <c r="AR115" s="980"/>
      <c r="AS115" s="980"/>
      <c r="AT115" s="980"/>
      <c r="AU115" s="980"/>
      <c r="AV115" s="980"/>
      <c r="AW115" s="980"/>
      <c r="AX115" s="980"/>
      <c r="AY115" s="980"/>
      <c r="AZ115" s="980"/>
      <c r="BA115" s="980"/>
      <c r="BB115" s="980"/>
      <c r="BC115" s="980"/>
      <c r="BD115" s="980"/>
      <c r="BE115" s="980"/>
      <c r="BF115" s="980"/>
      <c r="BG115" s="980"/>
      <c r="BH115" s="980"/>
      <c r="BI115" s="980"/>
      <c r="BJ115" s="568"/>
      <c r="BK115" s="568"/>
      <c r="BL115" s="568"/>
      <c r="BM115" s="568"/>
      <c r="BN115" s="568"/>
      <c r="BO115" s="568"/>
      <c r="BP115" s="568"/>
      <c r="BQ115" s="568"/>
      <c r="BR115" s="568"/>
      <c r="BS115" s="568"/>
      <c r="BT115" s="568"/>
      <c r="BU115" s="568"/>
      <c r="BV115" s="568"/>
      <c r="BW115" s="568"/>
      <c r="BX115" s="568"/>
      <c r="BY115" s="568"/>
      <c r="BZ115" s="568"/>
      <c r="CA115" s="568"/>
      <c r="CB115" s="568"/>
      <c r="CC115" s="568"/>
      <c r="CD115" s="568"/>
      <c r="CE115" s="568"/>
      <c r="CF115" s="568"/>
      <c r="CG115" s="568"/>
      <c r="CH115" s="568"/>
      <c r="CI115" s="568"/>
      <c r="CJ115" s="568"/>
      <c r="CK115" s="568"/>
      <c r="CL115" s="568"/>
      <c r="CM115" s="568"/>
      <c r="CN115" s="568"/>
      <c r="CO115" s="568"/>
      <c r="CP115" s="568"/>
      <c r="CQ115" s="568"/>
      <c r="CR115" s="568"/>
      <c r="CS115" s="568"/>
      <c r="CT115" s="568"/>
      <c r="CU115" s="568"/>
      <c r="CV115" s="568"/>
      <c r="CW115" s="568"/>
      <c r="CX115" s="568"/>
      <c r="CY115" s="568"/>
      <c r="CZ115" s="568"/>
      <c r="DA115" s="568"/>
      <c r="DB115" s="568"/>
      <c r="DC115" s="568"/>
      <c r="DD115" s="568"/>
      <c r="DE115" s="568"/>
      <c r="DF115" s="568"/>
      <c r="DG115" s="568"/>
      <c r="DH115" s="568"/>
      <c r="DI115" s="568"/>
      <c r="DJ115" s="568"/>
      <c r="DK115" s="568"/>
      <c r="DL115" s="568"/>
      <c r="DM115" s="568"/>
      <c r="DN115" s="568"/>
      <c r="DO115" s="568"/>
      <c r="DP115" s="568"/>
      <c r="DQ115" s="568"/>
      <c r="DR115" s="568"/>
      <c r="DS115" s="568"/>
      <c r="DT115" s="568"/>
      <c r="DU115" s="568"/>
      <c r="DV115" s="568"/>
      <c r="DW115" s="568"/>
      <c r="DX115" s="568"/>
      <c r="DY115" s="568"/>
      <c r="DZ115" s="568"/>
      <c r="EA115" s="568"/>
      <c r="EB115" s="568"/>
      <c r="EC115" s="568"/>
      <c r="ED115" s="568"/>
      <c r="EE115" s="568"/>
      <c r="EF115" s="568"/>
      <c r="EG115" s="568"/>
      <c r="EH115" s="568"/>
      <c r="EI115" s="568"/>
      <c r="EJ115" s="568"/>
      <c r="EK115" s="568"/>
      <c r="EL115" s="568"/>
      <c r="EM115" s="568"/>
      <c r="EN115" s="568"/>
      <c r="EO115" s="568"/>
      <c r="EP115" s="568"/>
      <c r="EQ115" s="568"/>
      <c r="ER115" s="568"/>
      <c r="ES115" s="568"/>
      <c r="ET115" s="568"/>
      <c r="EU115" s="568"/>
      <c r="EV115" s="568"/>
      <c r="EW115" s="568"/>
      <c r="EX115" s="568"/>
      <c r="EY115" s="568"/>
      <c r="EZ115" s="568"/>
      <c r="FA115" s="568"/>
      <c r="FB115" s="568"/>
      <c r="FC115" s="568"/>
      <c r="FD115" s="568"/>
      <c r="FE115" s="568"/>
      <c r="FF115" s="568"/>
      <c r="FG115" s="568"/>
      <c r="FH115" s="568"/>
      <c r="FI115" s="568"/>
      <c r="FJ115" s="568"/>
      <c r="FK115" s="568"/>
      <c r="FL115" s="568"/>
      <c r="FM115" s="568"/>
      <c r="FN115" s="568"/>
      <c r="FO115" s="568"/>
      <c r="FP115" s="568"/>
      <c r="FQ115" s="568"/>
      <c r="FR115" s="568"/>
      <c r="FS115" s="568"/>
      <c r="FT115" s="568"/>
      <c r="FU115" s="568"/>
      <c r="FV115" s="568"/>
      <c r="FW115" s="568"/>
      <c r="FX115" s="568"/>
      <c r="FY115" s="568"/>
      <c r="FZ115" s="568"/>
      <c r="GA115" s="568"/>
      <c r="GB115" s="568"/>
      <c r="GC115" s="568"/>
      <c r="GD115" s="568"/>
      <c r="GE115" s="568"/>
      <c r="GF115" s="568"/>
      <c r="GG115" s="568"/>
      <c r="GH115" s="568"/>
      <c r="GI115" s="568"/>
      <c r="GJ115" s="568"/>
      <c r="GK115" s="568"/>
      <c r="GL115" s="568"/>
      <c r="GM115" s="568"/>
      <c r="GN115" s="568"/>
      <c r="GO115" s="568"/>
      <c r="GP115" s="568"/>
      <c r="GQ115" s="568"/>
      <c r="GR115" s="568"/>
      <c r="GS115" s="568"/>
      <c r="GT115" s="568"/>
      <c r="GU115" s="568"/>
      <c r="GV115" s="568"/>
      <c r="GW115" s="568"/>
      <c r="GX115" s="568"/>
      <c r="GY115" s="568"/>
      <c r="GZ115" s="568"/>
      <c r="HA115" s="568"/>
      <c r="HB115" s="568"/>
      <c r="HC115" s="568"/>
      <c r="HD115" s="568"/>
      <c r="HE115" s="568"/>
      <c r="HF115" s="568"/>
      <c r="HG115" s="568"/>
      <c r="HH115" s="568"/>
      <c r="HI115" s="568"/>
      <c r="HJ115" s="568"/>
      <c r="HK115" s="568"/>
      <c r="HL115" s="568"/>
      <c r="HM115" s="568"/>
      <c r="HN115" s="568"/>
      <c r="HO115" s="568"/>
      <c r="HP115" s="568"/>
      <c r="HQ115" s="568"/>
      <c r="HR115" s="568"/>
      <c r="HS115" s="568"/>
      <c r="HT115" s="568"/>
      <c r="HU115" s="568"/>
      <c r="HV115" s="568"/>
      <c r="HW115" s="568"/>
      <c r="HX115" s="568"/>
      <c r="HY115" s="568"/>
      <c r="HZ115" s="568"/>
      <c r="IA115" s="568"/>
      <c r="IB115" s="568"/>
      <c r="IC115" s="568"/>
      <c r="ID115" s="568"/>
      <c r="IE115" s="568"/>
      <c r="IF115" s="568"/>
      <c r="IG115" s="568"/>
      <c r="IH115" s="568"/>
      <c r="II115" s="568"/>
      <c r="IJ115" s="568"/>
      <c r="IK115" s="568"/>
      <c r="IL115" s="568"/>
      <c r="IM115" s="568"/>
      <c r="IN115" s="568"/>
      <c r="IO115" s="568"/>
      <c r="IP115" s="568"/>
      <c r="IQ115" s="568"/>
    </row>
    <row r="116" spans="1:252" s="563" customFormat="1" ht="15" x14ac:dyDescent="0.25">
      <c r="A116" s="590">
        <v>2</v>
      </c>
      <c r="B116" s="529" t="s">
        <v>324</v>
      </c>
      <c r="C116" s="173" t="s">
        <v>234</v>
      </c>
      <c r="D116" s="175"/>
      <c r="E116" s="175">
        <v>8</v>
      </c>
      <c r="F116" s="175"/>
      <c r="G116" s="175"/>
      <c r="H116" s="567"/>
      <c r="I116" s="567"/>
      <c r="J116" s="175"/>
      <c r="K116" s="175"/>
      <c r="L116" s="606"/>
      <c r="M116" s="979"/>
      <c r="N116" s="979"/>
      <c r="O116" s="979"/>
      <c r="P116" s="979"/>
      <c r="Q116" s="979"/>
      <c r="R116" s="979"/>
      <c r="S116" s="979"/>
      <c r="T116" s="979"/>
      <c r="U116" s="979"/>
      <c r="V116" s="979"/>
      <c r="W116" s="979"/>
      <c r="X116" s="979"/>
      <c r="Y116" s="979"/>
      <c r="Z116" s="979"/>
      <c r="AA116" s="979"/>
      <c r="AB116" s="979"/>
      <c r="AC116" s="979"/>
      <c r="AD116" s="979"/>
      <c r="AE116" s="979"/>
      <c r="AF116" s="979"/>
      <c r="AG116" s="979"/>
      <c r="AH116" s="979"/>
      <c r="AI116" s="979"/>
      <c r="AJ116" s="979"/>
      <c r="AK116" s="979"/>
      <c r="AL116" s="979"/>
      <c r="AM116" s="979"/>
      <c r="AN116" s="979"/>
      <c r="AO116" s="979"/>
      <c r="AP116" s="979"/>
      <c r="AQ116" s="979"/>
      <c r="AR116" s="979"/>
      <c r="AS116" s="979"/>
      <c r="AT116" s="979"/>
      <c r="AU116" s="979"/>
      <c r="AV116" s="979"/>
      <c r="AW116" s="979"/>
      <c r="AX116" s="979"/>
      <c r="AY116" s="979"/>
      <c r="AZ116" s="979"/>
      <c r="BA116" s="979"/>
      <c r="BB116" s="979"/>
      <c r="BC116" s="979"/>
      <c r="BD116" s="979"/>
      <c r="BE116" s="979"/>
      <c r="BF116" s="979"/>
      <c r="BG116" s="979"/>
      <c r="BH116" s="979"/>
      <c r="BI116" s="979"/>
      <c r="BJ116" s="562"/>
      <c r="BK116" s="562"/>
      <c r="BL116" s="562"/>
      <c r="BM116" s="562"/>
      <c r="BN116" s="562"/>
      <c r="BO116" s="562"/>
      <c r="BP116" s="562"/>
      <c r="BQ116" s="562"/>
      <c r="BR116" s="562"/>
      <c r="BS116" s="562"/>
      <c r="BT116" s="562"/>
      <c r="BU116" s="562"/>
      <c r="BV116" s="562"/>
      <c r="BW116" s="562"/>
      <c r="BX116" s="562"/>
      <c r="BY116" s="562"/>
      <c r="BZ116" s="562"/>
      <c r="CA116" s="562"/>
      <c r="CB116" s="562"/>
      <c r="CC116" s="562"/>
      <c r="CD116" s="562"/>
      <c r="CE116" s="562"/>
      <c r="CF116" s="562"/>
      <c r="CG116" s="562"/>
      <c r="CH116" s="562"/>
      <c r="CI116" s="562"/>
      <c r="CJ116" s="562"/>
      <c r="CK116" s="562"/>
      <c r="CL116" s="562"/>
      <c r="CM116" s="562"/>
      <c r="CN116" s="562"/>
      <c r="CO116" s="562"/>
      <c r="CP116" s="562"/>
      <c r="CQ116" s="562"/>
      <c r="CR116" s="562"/>
      <c r="CS116" s="562"/>
      <c r="CT116" s="562"/>
      <c r="CU116" s="562"/>
      <c r="CV116" s="562"/>
      <c r="CW116" s="562"/>
      <c r="CX116" s="562"/>
      <c r="CY116" s="562"/>
      <c r="CZ116" s="562"/>
      <c r="DA116" s="562"/>
      <c r="DB116" s="562"/>
      <c r="DC116" s="562"/>
      <c r="DD116" s="562"/>
      <c r="DE116" s="562"/>
      <c r="DF116" s="562"/>
      <c r="DG116" s="562"/>
      <c r="DH116" s="562"/>
      <c r="DI116" s="562"/>
      <c r="DJ116" s="562"/>
      <c r="DK116" s="562"/>
      <c r="DL116" s="562"/>
      <c r="DM116" s="562"/>
      <c r="DN116" s="562"/>
      <c r="DO116" s="562"/>
      <c r="DP116" s="562"/>
      <c r="DQ116" s="562"/>
      <c r="DR116" s="562"/>
      <c r="DS116" s="562"/>
      <c r="DT116" s="562"/>
      <c r="DU116" s="562"/>
      <c r="DV116" s="562"/>
      <c r="DW116" s="562"/>
      <c r="DX116" s="562"/>
      <c r="DY116" s="562"/>
      <c r="DZ116" s="562"/>
      <c r="EA116" s="562"/>
      <c r="EB116" s="562"/>
      <c r="EC116" s="562"/>
      <c r="ED116" s="562"/>
      <c r="EE116" s="562"/>
      <c r="EF116" s="562"/>
      <c r="EG116" s="562"/>
      <c r="EH116" s="562"/>
      <c r="EI116" s="562"/>
      <c r="EJ116" s="562"/>
      <c r="EK116" s="562"/>
      <c r="EL116" s="562"/>
      <c r="EM116" s="562"/>
      <c r="EN116" s="562"/>
      <c r="EO116" s="562"/>
      <c r="EP116" s="562"/>
      <c r="EQ116" s="562"/>
      <c r="ER116" s="562"/>
      <c r="ES116" s="562"/>
      <c r="ET116" s="562"/>
      <c r="EU116" s="562"/>
      <c r="EV116" s="562"/>
      <c r="EW116" s="562"/>
      <c r="EX116" s="562"/>
      <c r="EY116" s="562"/>
      <c r="EZ116" s="562"/>
      <c r="FA116" s="562"/>
      <c r="FB116" s="562"/>
      <c r="FC116" s="562"/>
      <c r="FD116" s="562"/>
      <c r="FE116" s="562"/>
      <c r="FF116" s="562"/>
      <c r="FG116" s="562"/>
      <c r="FH116" s="562"/>
      <c r="FI116" s="562"/>
      <c r="FJ116" s="562"/>
      <c r="FK116" s="562"/>
      <c r="FL116" s="562"/>
      <c r="FM116" s="562"/>
      <c r="FN116" s="562"/>
      <c r="FO116" s="562"/>
      <c r="FP116" s="562"/>
      <c r="FQ116" s="562"/>
      <c r="FR116" s="562"/>
      <c r="FS116" s="562"/>
      <c r="FT116" s="562"/>
      <c r="FU116" s="562"/>
      <c r="FV116" s="562"/>
      <c r="FW116" s="562"/>
      <c r="FX116" s="562"/>
      <c r="FY116" s="562"/>
      <c r="FZ116" s="562"/>
      <c r="GA116" s="562"/>
      <c r="GB116" s="562"/>
      <c r="GC116" s="562"/>
      <c r="GD116" s="562"/>
      <c r="GE116" s="562"/>
      <c r="GF116" s="562"/>
      <c r="GG116" s="562"/>
      <c r="GH116" s="562"/>
      <c r="GI116" s="562"/>
      <c r="GJ116" s="562"/>
      <c r="GK116" s="562"/>
      <c r="GL116" s="562"/>
      <c r="GM116" s="562"/>
      <c r="GN116" s="562"/>
      <c r="GO116" s="562"/>
      <c r="GP116" s="562"/>
      <c r="GQ116" s="562"/>
      <c r="GR116" s="562"/>
      <c r="GS116" s="562"/>
      <c r="GT116" s="562"/>
      <c r="GU116" s="562"/>
      <c r="GV116" s="562"/>
      <c r="GW116" s="562"/>
      <c r="GX116" s="562"/>
      <c r="GY116" s="562"/>
      <c r="GZ116" s="562"/>
      <c r="HA116" s="562"/>
      <c r="HB116" s="562"/>
      <c r="HC116" s="562"/>
      <c r="HD116" s="562"/>
      <c r="HE116" s="562"/>
      <c r="HF116" s="562"/>
      <c r="HG116" s="562"/>
      <c r="HH116" s="562"/>
      <c r="HI116" s="562"/>
      <c r="HJ116" s="562"/>
      <c r="HK116" s="562"/>
      <c r="HL116" s="562"/>
      <c r="HM116" s="562"/>
      <c r="HN116" s="562"/>
      <c r="HO116" s="562"/>
      <c r="HP116" s="562"/>
      <c r="HQ116" s="562"/>
      <c r="HR116" s="562"/>
      <c r="HS116" s="562"/>
      <c r="HT116" s="562"/>
      <c r="HU116" s="562"/>
      <c r="HV116" s="562"/>
      <c r="HW116" s="562"/>
      <c r="HX116" s="562"/>
      <c r="HY116" s="562"/>
      <c r="HZ116" s="562"/>
      <c r="IA116" s="562"/>
      <c r="IB116" s="562"/>
      <c r="IC116" s="562"/>
      <c r="ID116" s="562"/>
      <c r="IE116" s="562"/>
      <c r="IF116" s="562"/>
      <c r="IG116" s="562"/>
      <c r="IH116" s="562"/>
      <c r="II116" s="562"/>
      <c r="IJ116" s="562"/>
      <c r="IK116" s="562"/>
      <c r="IL116" s="562"/>
      <c r="IM116" s="562"/>
      <c r="IN116" s="562"/>
      <c r="IO116" s="562"/>
      <c r="IP116" s="562"/>
      <c r="IQ116" s="562"/>
    </row>
    <row r="117" spans="1:252" s="563" customFormat="1" ht="12.75" x14ac:dyDescent="0.25">
      <c r="A117" s="591"/>
      <c r="B117" s="570" t="s">
        <v>214</v>
      </c>
      <c r="C117" s="358" t="s">
        <v>28</v>
      </c>
      <c r="D117" s="359">
        <v>2.06</v>
      </c>
      <c r="E117" s="359">
        <f>D117*E116</f>
        <v>16.48</v>
      </c>
      <c r="F117" s="1179"/>
      <c r="G117" s="566">
        <f>F117*E117</f>
        <v>0</v>
      </c>
      <c r="H117" s="567"/>
      <c r="I117" s="567"/>
      <c r="J117" s="566"/>
      <c r="K117" s="566"/>
      <c r="L117" s="605">
        <f>K117+I117+G117</f>
        <v>0</v>
      </c>
      <c r="M117" s="981"/>
      <c r="N117" s="981"/>
      <c r="O117" s="981"/>
      <c r="P117" s="981"/>
      <c r="Q117" s="981"/>
      <c r="R117" s="981"/>
      <c r="S117" s="981"/>
      <c r="T117" s="981"/>
      <c r="U117" s="981"/>
      <c r="V117" s="981"/>
      <c r="W117" s="981"/>
      <c r="X117" s="981"/>
      <c r="Y117" s="981"/>
      <c r="Z117" s="981"/>
      <c r="AA117" s="981"/>
      <c r="AB117" s="981"/>
      <c r="AC117" s="981"/>
      <c r="AD117" s="981"/>
      <c r="AE117" s="981"/>
      <c r="AF117" s="981"/>
      <c r="AG117" s="981"/>
      <c r="AH117" s="981"/>
      <c r="AI117" s="981"/>
      <c r="AJ117" s="981"/>
      <c r="AK117" s="981"/>
      <c r="AL117" s="981"/>
      <c r="AM117" s="981"/>
      <c r="AN117" s="981"/>
      <c r="AO117" s="981"/>
      <c r="AP117" s="981"/>
      <c r="AQ117" s="981"/>
      <c r="AR117" s="981"/>
      <c r="AS117" s="981"/>
      <c r="AT117" s="981"/>
      <c r="AU117" s="981"/>
      <c r="AV117" s="981"/>
      <c r="AW117" s="981"/>
      <c r="AX117" s="981"/>
      <c r="AY117" s="981"/>
      <c r="AZ117" s="981"/>
      <c r="BA117" s="981"/>
      <c r="BB117" s="981"/>
      <c r="BC117" s="981"/>
      <c r="BD117" s="981"/>
      <c r="BE117" s="981"/>
      <c r="BF117" s="981"/>
      <c r="BG117" s="981"/>
      <c r="BH117" s="981"/>
      <c r="BI117" s="981"/>
      <c r="BJ117" s="571"/>
      <c r="BK117" s="571"/>
      <c r="BL117" s="571"/>
      <c r="BM117" s="571"/>
      <c r="BN117" s="571"/>
      <c r="BO117" s="571"/>
      <c r="BP117" s="571"/>
      <c r="BQ117" s="571"/>
      <c r="BR117" s="571"/>
      <c r="BS117" s="571"/>
      <c r="BT117" s="571"/>
      <c r="BU117" s="571"/>
      <c r="BV117" s="571"/>
      <c r="BW117" s="571"/>
      <c r="BX117" s="571"/>
      <c r="BY117" s="571"/>
      <c r="BZ117" s="571"/>
      <c r="CA117" s="571"/>
      <c r="CB117" s="571"/>
      <c r="CC117" s="571"/>
      <c r="CD117" s="571"/>
      <c r="CE117" s="571"/>
      <c r="CF117" s="571"/>
      <c r="CG117" s="571"/>
      <c r="CH117" s="571"/>
      <c r="CI117" s="571"/>
      <c r="CJ117" s="571"/>
      <c r="CK117" s="571"/>
      <c r="CL117" s="571"/>
      <c r="CM117" s="571"/>
      <c r="CN117" s="571"/>
      <c r="CO117" s="571"/>
      <c r="CP117" s="571"/>
      <c r="CQ117" s="571"/>
      <c r="CR117" s="571"/>
      <c r="CS117" s="571"/>
      <c r="CT117" s="571"/>
      <c r="CU117" s="571"/>
      <c r="CV117" s="571"/>
      <c r="CW117" s="571"/>
      <c r="CX117" s="571"/>
      <c r="CY117" s="571"/>
      <c r="CZ117" s="571"/>
      <c r="DA117" s="571"/>
      <c r="DB117" s="571"/>
      <c r="DC117" s="571"/>
      <c r="DD117" s="571"/>
      <c r="DE117" s="571"/>
      <c r="DF117" s="571"/>
      <c r="DG117" s="571"/>
      <c r="DH117" s="571"/>
      <c r="DI117" s="571"/>
      <c r="DJ117" s="571"/>
      <c r="DK117" s="571"/>
      <c r="DL117" s="571"/>
      <c r="DM117" s="571"/>
      <c r="DN117" s="571"/>
      <c r="DO117" s="571"/>
      <c r="DP117" s="571"/>
      <c r="DQ117" s="571"/>
      <c r="DR117" s="571"/>
      <c r="DS117" s="571"/>
      <c r="DT117" s="571"/>
      <c r="DU117" s="571"/>
      <c r="DV117" s="571"/>
      <c r="DW117" s="571"/>
      <c r="DX117" s="571"/>
      <c r="DY117" s="571"/>
      <c r="DZ117" s="571"/>
      <c r="EA117" s="571"/>
      <c r="EB117" s="571"/>
      <c r="EC117" s="571"/>
      <c r="ED117" s="571"/>
      <c r="EE117" s="571"/>
      <c r="EF117" s="571"/>
      <c r="EG117" s="571"/>
      <c r="EH117" s="571"/>
      <c r="EI117" s="571"/>
      <c r="EJ117" s="571"/>
      <c r="EK117" s="571"/>
      <c r="EL117" s="571"/>
      <c r="EM117" s="571"/>
      <c r="EN117" s="571"/>
      <c r="EO117" s="571"/>
      <c r="EP117" s="571"/>
      <c r="EQ117" s="571"/>
      <c r="ER117" s="571"/>
      <c r="ES117" s="571"/>
      <c r="ET117" s="571"/>
      <c r="EU117" s="571"/>
      <c r="EV117" s="571"/>
      <c r="EW117" s="571"/>
      <c r="EX117" s="571"/>
      <c r="EY117" s="571"/>
      <c r="EZ117" s="571"/>
      <c r="FA117" s="571"/>
      <c r="FB117" s="571"/>
      <c r="FC117" s="571"/>
      <c r="FD117" s="571"/>
      <c r="FE117" s="571"/>
      <c r="FF117" s="571"/>
      <c r="FG117" s="571"/>
      <c r="FH117" s="571"/>
      <c r="FI117" s="571"/>
      <c r="FJ117" s="571"/>
      <c r="FK117" s="571"/>
      <c r="FL117" s="571"/>
      <c r="FM117" s="571"/>
      <c r="FN117" s="571"/>
      <c r="FO117" s="571"/>
      <c r="FP117" s="571"/>
      <c r="FQ117" s="571"/>
      <c r="FR117" s="571"/>
      <c r="FS117" s="571"/>
      <c r="FT117" s="571"/>
      <c r="FU117" s="571"/>
      <c r="FV117" s="571"/>
      <c r="FW117" s="571"/>
      <c r="FX117" s="571"/>
      <c r="FY117" s="571"/>
      <c r="FZ117" s="571"/>
      <c r="GA117" s="571"/>
      <c r="GB117" s="571"/>
      <c r="GC117" s="571"/>
      <c r="GD117" s="571"/>
      <c r="GE117" s="571"/>
      <c r="GF117" s="571"/>
      <c r="GG117" s="571"/>
      <c r="GH117" s="571"/>
      <c r="GI117" s="571"/>
      <c r="GJ117" s="571"/>
      <c r="GK117" s="571"/>
      <c r="GL117" s="571"/>
      <c r="GM117" s="571"/>
      <c r="GN117" s="571"/>
      <c r="GO117" s="571"/>
      <c r="GP117" s="571"/>
      <c r="GQ117" s="571"/>
      <c r="GR117" s="571"/>
      <c r="GS117" s="571"/>
      <c r="GT117" s="571"/>
      <c r="GU117" s="571"/>
      <c r="GV117" s="571"/>
      <c r="GW117" s="571"/>
      <c r="GX117" s="571"/>
      <c r="GY117" s="571"/>
      <c r="GZ117" s="571"/>
      <c r="HA117" s="571"/>
      <c r="HB117" s="571"/>
      <c r="HC117" s="571"/>
      <c r="HD117" s="571"/>
      <c r="HE117" s="571"/>
      <c r="HF117" s="571"/>
      <c r="HG117" s="571"/>
      <c r="HH117" s="571"/>
      <c r="HI117" s="571"/>
      <c r="HJ117" s="571"/>
      <c r="HK117" s="571"/>
      <c r="HL117" s="571"/>
      <c r="HM117" s="571"/>
      <c r="HN117" s="571"/>
      <c r="HO117" s="571"/>
      <c r="HP117" s="571"/>
      <c r="HQ117" s="571"/>
      <c r="HR117" s="571"/>
      <c r="HS117" s="571"/>
      <c r="HT117" s="571"/>
      <c r="HU117" s="571"/>
      <c r="HV117" s="571"/>
      <c r="HW117" s="571"/>
      <c r="HX117" s="571"/>
      <c r="HY117" s="571"/>
      <c r="HZ117" s="571"/>
      <c r="IA117" s="571"/>
      <c r="IB117" s="571"/>
      <c r="IC117" s="571"/>
      <c r="ID117" s="571"/>
      <c r="IE117" s="571"/>
      <c r="IF117" s="571"/>
      <c r="IG117" s="571"/>
      <c r="IH117" s="571"/>
      <c r="II117" s="571"/>
      <c r="IJ117" s="571"/>
      <c r="IK117" s="571"/>
      <c r="IL117" s="571"/>
      <c r="IM117" s="571"/>
      <c r="IN117" s="571"/>
      <c r="IO117" s="571"/>
      <c r="IP117" s="571"/>
      <c r="IQ117" s="571"/>
    </row>
    <row r="118" spans="1:252" s="563" customFormat="1" ht="15" x14ac:dyDescent="0.25">
      <c r="A118" s="592">
        <v>3</v>
      </c>
      <c r="B118" s="573" t="s">
        <v>325</v>
      </c>
      <c r="C118" s="572" t="s">
        <v>234</v>
      </c>
      <c r="D118" s="574"/>
      <c r="E118" s="574">
        <f>E113+E116</f>
        <v>57.92</v>
      </c>
      <c r="F118" s="575"/>
      <c r="G118" s="575"/>
      <c r="H118" s="567"/>
      <c r="I118" s="567"/>
      <c r="J118" s="575"/>
      <c r="K118" s="575"/>
      <c r="L118" s="607"/>
      <c r="M118" s="979"/>
      <c r="N118" s="979"/>
      <c r="O118" s="979"/>
      <c r="P118" s="979"/>
      <c r="Q118" s="979"/>
      <c r="R118" s="979"/>
      <c r="S118" s="979"/>
      <c r="T118" s="979"/>
      <c r="U118" s="979"/>
      <c r="V118" s="979"/>
      <c r="W118" s="979"/>
      <c r="X118" s="979"/>
      <c r="Y118" s="979"/>
      <c r="Z118" s="979"/>
      <c r="AA118" s="979"/>
      <c r="AB118" s="979"/>
      <c r="AC118" s="979"/>
      <c r="AD118" s="979"/>
      <c r="AE118" s="979"/>
      <c r="AF118" s="979"/>
      <c r="AG118" s="979"/>
      <c r="AH118" s="979"/>
      <c r="AI118" s="979"/>
      <c r="AJ118" s="979"/>
      <c r="AK118" s="979"/>
      <c r="AL118" s="979"/>
      <c r="AM118" s="979"/>
      <c r="AN118" s="979"/>
      <c r="AO118" s="979"/>
      <c r="AP118" s="979"/>
      <c r="AQ118" s="979"/>
      <c r="AR118" s="979"/>
      <c r="AS118" s="979"/>
      <c r="AT118" s="979"/>
      <c r="AU118" s="979"/>
      <c r="AV118" s="979"/>
      <c r="AW118" s="979"/>
      <c r="AX118" s="979"/>
      <c r="AY118" s="979"/>
      <c r="AZ118" s="979"/>
      <c r="BA118" s="979"/>
      <c r="BB118" s="979"/>
      <c r="BC118" s="979"/>
      <c r="BD118" s="979"/>
      <c r="BE118" s="979"/>
      <c r="BF118" s="979"/>
      <c r="BG118" s="979"/>
      <c r="BH118" s="979"/>
      <c r="BI118" s="979"/>
      <c r="BJ118" s="562"/>
      <c r="BK118" s="562"/>
      <c r="BL118" s="562"/>
      <c r="BM118" s="562"/>
      <c r="BN118" s="562"/>
      <c r="BO118" s="562"/>
      <c r="BP118" s="562"/>
      <c r="BQ118" s="562"/>
      <c r="BR118" s="562"/>
      <c r="BS118" s="562"/>
      <c r="BT118" s="562"/>
      <c r="BU118" s="562"/>
      <c r="BV118" s="562"/>
      <c r="BW118" s="562"/>
      <c r="BX118" s="562"/>
      <c r="BY118" s="562"/>
      <c r="BZ118" s="562"/>
      <c r="CA118" s="562"/>
      <c r="CB118" s="562"/>
      <c r="CC118" s="562"/>
      <c r="CD118" s="562"/>
      <c r="CE118" s="562"/>
      <c r="CF118" s="562"/>
      <c r="CG118" s="562"/>
      <c r="CH118" s="562"/>
      <c r="CI118" s="562"/>
      <c r="CJ118" s="562"/>
      <c r="CK118" s="562"/>
      <c r="CL118" s="562"/>
      <c r="CM118" s="562"/>
      <c r="CN118" s="562"/>
      <c r="CO118" s="562"/>
      <c r="CP118" s="562"/>
      <c r="CQ118" s="562"/>
      <c r="CR118" s="562"/>
      <c r="CS118" s="562"/>
      <c r="CT118" s="562"/>
      <c r="CU118" s="562"/>
      <c r="CV118" s="562"/>
      <c r="CW118" s="562"/>
      <c r="CX118" s="562"/>
      <c r="CY118" s="562"/>
      <c r="CZ118" s="562"/>
      <c r="DA118" s="562"/>
      <c r="DB118" s="562"/>
      <c r="DC118" s="562"/>
      <c r="DD118" s="562"/>
      <c r="DE118" s="562"/>
      <c r="DF118" s="562"/>
      <c r="DG118" s="562"/>
      <c r="DH118" s="562"/>
      <c r="DI118" s="562"/>
      <c r="DJ118" s="562"/>
      <c r="DK118" s="562"/>
      <c r="DL118" s="562"/>
      <c r="DM118" s="562"/>
      <c r="DN118" s="562"/>
      <c r="DO118" s="562"/>
      <c r="DP118" s="562"/>
      <c r="DQ118" s="562"/>
      <c r="DR118" s="562"/>
      <c r="DS118" s="562"/>
      <c r="DT118" s="562"/>
      <c r="DU118" s="562"/>
      <c r="DV118" s="562"/>
      <c r="DW118" s="562"/>
      <c r="DX118" s="562"/>
      <c r="DY118" s="562"/>
      <c r="DZ118" s="562"/>
      <c r="EA118" s="562"/>
      <c r="EB118" s="562"/>
      <c r="EC118" s="562"/>
      <c r="ED118" s="562"/>
      <c r="EE118" s="562"/>
      <c r="EF118" s="562"/>
      <c r="EG118" s="562"/>
      <c r="EH118" s="562"/>
      <c r="EI118" s="562"/>
      <c r="EJ118" s="562"/>
      <c r="EK118" s="562"/>
      <c r="EL118" s="562"/>
      <c r="EM118" s="562"/>
      <c r="EN118" s="562"/>
      <c r="EO118" s="562"/>
      <c r="EP118" s="562"/>
      <c r="EQ118" s="562"/>
      <c r="ER118" s="562"/>
      <c r="ES118" s="562"/>
      <c r="ET118" s="562"/>
      <c r="EU118" s="562"/>
      <c r="EV118" s="562"/>
      <c r="EW118" s="562"/>
      <c r="EX118" s="562"/>
      <c r="EY118" s="562"/>
      <c r="EZ118" s="562"/>
      <c r="FA118" s="562"/>
      <c r="FB118" s="562"/>
      <c r="FC118" s="562"/>
      <c r="FD118" s="562"/>
      <c r="FE118" s="562"/>
      <c r="FF118" s="562"/>
      <c r="FG118" s="562"/>
      <c r="FH118" s="562"/>
      <c r="FI118" s="562"/>
      <c r="FJ118" s="562"/>
      <c r="FK118" s="562"/>
      <c r="FL118" s="562"/>
      <c r="FM118" s="562"/>
      <c r="FN118" s="562"/>
      <c r="FO118" s="562"/>
      <c r="FP118" s="562"/>
      <c r="FQ118" s="562"/>
      <c r="FR118" s="562"/>
      <c r="FS118" s="562"/>
      <c r="FT118" s="562"/>
      <c r="FU118" s="562"/>
      <c r="FV118" s="562"/>
      <c r="FW118" s="562"/>
      <c r="FX118" s="562"/>
      <c r="FY118" s="562"/>
      <c r="FZ118" s="562"/>
      <c r="GA118" s="562"/>
      <c r="GB118" s="562"/>
      <c r="GC118" s="562"/>
      <c r="GD118" s="562"/>
      <c r="GE118" s="562"/>
      <c r="GF118" s="562"/>
      <c r="GG118" s="562"/>
      <c r="GH118" s="562"/>
      <c r="GI118" s="562"/>
      <c r="GJ118" s="562"/>
      <c r="GK118" s="562"/>
      <c r="GL118" s="562"/>
      <c r="GM118" s="562"/>
      <c r="GN118" s="562"/>
      <c r="GO118" s="562"/>
      <c r="GP118" s="562"/>
      <c r="GQ118" s="562"/>
      <c r="GR118" s="562"/>
      <c r="GS118" s="562"/>
      <c r="GT118" s="562"/>
      <c r="GU118" s="562"/>
      <c r="GV118" s="562"/>
      <c r="GW118" s="562"/>
      <c r="GX118" s="562"/>
      <c r="GY118" s="562"/>
      <c r="GZ118" s="562"/>
      <c r="HA118" s="562"/>
      <c r="HB118" s="562"/>
      <c r="HC118" s="562"/>
      <c r="HD118" s="562"/>
      <c r="HE118" s="562"/>
      <c r="HF118" s="562"/>
      <c r="HG118" s="562"/>
      <c r="HH118" s="562"/>
      <c r="HI118" s="562"/>
      <c r="HJ118" s="562"/>
      <c r="HK118" s="562"/>
      <c r="HL118" s="562"/>
      <c r="HM118" s="562"/>
      <c r="HN118" s="562"/>
      <c r="HO118" s="562"/>
      <c r="HP118" s="562"/>
      <c r="HQ118" s="562"/>
      <c r="HR118" s="562"/>
      <c r="HS118" s="562"/>
      <c r="HT118" s="562"/>
      <c r="HU118" s="562"/>
      <c r="HV118" s="562"/>
      <c r="HW118" s="562"/>
      <c r="HX118" s="562"/>
      <c r="HY118" s="562"/>
      <c r="HZ118" s="562"/>
      <c r="IA118" s="562"/>
      <c r="IB118" s="562"/>
      <c r="IC118" s="562"/>
      <c r="ID118" s="562"/>
      <c r="IE118" s="562"/>
      <c r="IF118" s="562"/>
      <c r="IG118" s="562"/>
      <c r="IH118" s="562"/>
      <c r="II118" s="562"/>
      <c r="IJ118" s="562"/>
      <c r="IK118" s="562"/>
      <c r="IL118" s="562"/>
      <c r="IM118" s="562"/>
      <c r="IN118" s="562"/>
      <c r="IO118" s="562"/>
      <c r="IP118" s="562"/>
      <c r="IQ118" s="562"/>
    </row>
    <row r="119" spans="1:252" s="563" customFormat="1" ht="12.75" x14ac:dyDescent="0.25">
      <c r="A119" s="593"/>
      <c r="B119" s="577" t="s">
        <v>214</v>
      </c>
      <c r="C119" s="576" t="s">
        <v>28</v>
      </c>
      <c r="D119" s="569">
        <v>1.21</v>
      </c>
      <c r="E119" s="578">
        <f>D119*E118</f>
        <v>70.083200000000005</v>
      </c>
      <c r="F119" s="1179"/>
      <c r="G119" s="566">
        <f>F119*E119</f>
        <v>0</v>
      </c>
      <c r="H119" s="567"/>
      <c r="I119" s="567"/>
      <c r="J119" s="566"/>
      <c r="K119" s="566"/>
      <c r="L119" s="605">
        <f>K119+I119+G119</f>
        <v>0</v>
      </c>
      <c r="M119" s="979"/>
      <c r="N119" s="979"/>
      <c r="O119" s="979"/>
      <c r="P119" s="979"/>
      <c r="Q119" s="979"/>
      <c r="R119" s="979"/>
      <c r="S119" s="979"/>
      <c r="T119" s="979"/>
      <c r="U119" s="979"/>
      <c r="V119" s="979"/>
      <c r="W119" s="979"/>
      <c r="X119" s="979"/>
      <c r="Y119" s="979"/>
      <c r="Z119" s="979"/>
      <c r="AA119" s="979"/>
      <c r="AB119" s="979"/>
      <c r="AC119" s="979"/>
      <c r="AD119" s="979"/>
      <c r="AE119" s="979"/>
      <c r="AF119" s="979"/>
      <c r="AG119" s="979"/>
      <c r="AH119" s="979"/>
      <c r="AI119" s="979"/>
      <c r="AJ119" s="979"/>
      <c r="AK119" s="979"/>
      <c r="AL119" s="979"/>
      <c r="AM119" s="979"/>
      <c r="AN119" s="979"/>
      <c r="AO119" s="979"/>
      <c r="AP119" s="979"/>
      <c r="AQ119" s="979"/>
      <c r="AR119" s="979"/>
      <c r="AS119" s="979"/>
      <c r="AT119" s="979"/>
      <c r="AU119" s="979"/>
      <c r="AV119" s="979"/>
      <c r="AW119" s="979"/>
      <c r="AX119" s="979"/>
      <c r="AY119" s="979"/>
      <c r="AZ119" s="979"/>
      <c r="BA119" s="979"/>
      <c r="BB119" s="979"/>
      <c r="BC119" s="979"/>
      <c r="BD119" s="979"/>
      <c r="BE119" s="979"/>
      <c r="BF119" s="979"/>
      <c r="BG119" s="979"/>
      <c r="BH119" s="979"/>
      <c r="BI119" s="979"/>
      <c r="BJ119" s="562"/>
      <c r="BK119" s="562"/>
      <c r="BL119" s="562"/>
      <c r="BM119" s="562"/>
      <c r="BN119" s="562"/>
      <c r="BO119" s="562"/>
      <c r="BP119" s="562"/>
      <c r="BQ119" s="562"/>
      <c r="BR119" s="562"/>
      <c r="BS119" s="562"/>
      <c r="BT119" s="562"/>
      <c r="BU119" s="562"/>
      <c r="BV119" s="562"/>
      <c r="BW119" s="562"/>
      <c r="BX119" s="562"/>
      <c r="BY119" s="562"/>
      <c r="BZ119" s="562"/>
      <c r="CA119" s="562"/>
      <c r="CB119" s="562"/>
      <c r="CC119" s="562"/>
      <c r="CD119" s="562"/>
      <c r="CE119" s="562"/>
      <c r="CF119" s="562"/>
      <c r="CG119" s="562"/>
      <c r="CH119" s="562"/>
      <c r="CI119" s="562"/>
      <c r="CJ119" s="562"/>
      <c r="CK119" s="562"/>
      <c r="CL119" s="562"/>
      <c r="CM119" s="562"/>
      <c r="CN119" s="562"/>
      <c r="CO119" s="562"/>
      <c r="CP119" s="562"/>
      <c r="CQ119" s="562"/>
      <c r="CR119" s="562"/>
      <c r="CS119" s="562"/>
      <c r="CT119" s="562"/>
      <c r="CU119" s="562"/>
      <c r="CV119" s="562"/>
      <c r="CW119" s="562"/>
      <c r="CX119" s="562"/>
      <c r="CY119" s="562"/>
      <c r="CZ119" s="562"/>
      <c r="DA119" s="562"/>
      <c r="DB119" s="562"/>
      <c r="DC119" s="562"/>
      <c r="DD119" s="562"/>
      <c r="DE119" s="562"/>
      <c r="DF119" s="562"/>
      <c r="DG119" s="562"/>
      <c r="DH119" s="562"/>
      <c r="DI119" s="562"/>
      <c r="DJ119" s="562"/>
      <c r="DK119" s="562"/>
      <c r="DL119" s="562"/>
      <c r="DM119" s="562"/>
      <c r="DN119" s="562"/>
      <c r="DO119" s="562"/>
      <c r="DP119" s="562"/>
      <c r="DQ119" s="562"/>
      <c r="DR119" s="562"/>
      <c r="DS119" s="562"/>
      <c r="DT119" s="562"/>
      <c r="DU119" s="562"/>
      <c r="DV119" s="562"/>
      <c r="DW119" s="562"/>
      <c r="DX119" s="562"/>
      <c r="DY119" s="562"/>
      <c r="DZ119" s="562"/>
      <c r="EA119" s="562"/>
      <c r="EB119" s="562"/>
      <c r="EC119" s="562"/>
      <c r="ED119" s="562"/>
      <c r="EE119" s="562"/>
      <c r="EF119" s="562"/>
      <c r="EG119" s="562"/>
      <c r="EH119" s="562"/>
      <c r="EI119" s="562"/>
      <c r="EJ119" s="562"/>
      <c r="EK119" s="562"/>
      <c r="EL119" s="562"/>
      <c r="EM119" s="562"/>
      <c r="EN119" s="562"/>
      <c r="EO119" s="562"/>
      <c r="EP119" s="562"/>
      <c r="EQ119" s="562"/>
      <c r="ER119" s="562"/>
      <c r="ES119" s="562"/>
      <c r="ET119" s="562"/>
      <c r="EU119" s="562"/>
      <c r="EV119" s="562"/>
      <c r="EW119" s="562"/>
      <c r="EX119" s="562"/>
      <c r="EY119" s="562"/>
      <c r="EZ119" s="562"/>
      <c r="FA119" s="562"/>
      <c r="FB119" s="562"/>
      <c r="FC119" s="562"/>
      <c r="FD119" s="562"/>
      <c r="FE119" s="562"/>
      <c r="FF119" s="562"/>
      <c r="FG119" s="562"/>
      <c r="FH119" s="562"/>
      <c r="FI119" s="562"/>
      <c r="FJ119" s="562"/>
      <c r="FK119" s="562"/>
      <c r="FL119" s="562"/>
      <c r="FM119" s="562"/>
      <c r="FN119" s="562"/>
      <c r="FO119" s="562"/>
      <c r="FP119" s="562"/>
      <c r="FQ119" s="562"/>
      <c r="FR119" s="562"/>
      <c r="FS119" s="562"/>
      <c r="FT119" s="562"/>
      <c r="FU119" s="562"/>
      <c r="FV119" s="562"/>
      <c r="FW119" s="562"/>
      <c r="FX119" s="562"/>
      <c r="FY119" s="562"/>
      <c r="FZ119" s="562"/>
      <c r="GA119" s="562"/>
      <c r="GB119" s="562"/>
      <c r="GC119" s="562"/>
      <c r="GD119" s="562"/>
      <c r="GE119" s="562"/>
      <c r="GF119" s="562"/>
      <c r="GG119" s="562"/>
      <c r="GH119" s="562"/>
      <c r="GI119" s="562"/>
      <c r="GJ119" s="562"/>
      <c r="GK119" s="562"/>
      <c r="GL119" s="562"/>
      <c r="GM119" s="562"/>
      <c r="GN119" s="562"/>
      <c r="GO119" s="562"/>
      <c r="GP119" s="562"/>
      <c r="GQ119" s="562"/>
      <c r="GR119" s="562"/>
      <c r="GS119" s="562"/>
      <c r="GT119" s="562"/>
      <c r="GU119" s="562"/>
      <c r="GV119" s="562"/>
      <c r="GW119" s="562"/>
      <c r="GX119" s="562"/>
      <c r="GY119" s="562"/>
      <c r="GZ119" s="562"/>
      <c r="HA119" s="562"/>
      <c r="HB119" s="562"/>
      <c r="HC119" s="562"/>
      <c r="HD119" s="562"/>
      <c r="HE119" s="562"/>
      <c r="HF119" s="562"/>
      <c r="HG119" s="562"/>
      <c r="HH119" s="562"/>
      <c r="HI119" s="562"/>
      <c r="HJ119" s="562"/>
      <c r="HK119" s="562"/>
      <c r="HL119" s="562"/>
      <c r="HM119" s="562"/>
      <c r="HN119" s="562"/>
      <c r="HO119" s="562"/>
      <c r="HP119" s="562"/>
      <c r="HQ119" s="562"/>
      <c r="HR119" s="562"/>
      <c r="HS119" s="562"/>
      <c r="HT119" s="562"/>
      <c r="HU119" s="562"/>
      <c r="HV119" s="562"/>
      <c r="HW119" s="562"/>
      <c r="HX119" s="562"/>
      <c r="HY119" s="562"/>
      <c r="HZ119" s="562"/>
      <c r="IA119" s="562"/>
      <c r="IB119" s="562"/>
      <c r="IC119" s="562"/>
      <c r="ID119" s="562"/>
      <c r="IE119" s="562"/>
      <c r="IF119" s="562"/>
      <c r="IG119" s="562"/>
      <c r="IH119" s="562"/>
      <c r="II119" s="562"/>
      <c r="IJ119" s="562"/>
      <c r="IK119" s="562"/>
      <c r="IL119" s="562"/>
      <c r="IM119" s="562"/>
      <c r="IN119" s="562"/>
      <c r="IO119" s="562"/>
      <c r="IP119" s="562"/>
      <c r="IQ119" s="562"/>
    </row>
    <row r="120" spans="1:252" s="563" customFormat="1" ht="12.75" x14ac:dyDescent="0.25">
      <c r="A120" s="588">
        <v>4</v>
      </c>
      <c r="B120" s="283" t="s">
        <v>328</v>
      </c>
      <c r="C120" s="560" t="s">
        <v>34</v>
      </c>
      <c r="D120" s="560"/>
      <c r="E120" s="561">
        <v>520</v>
      </c>
      <c r="F120" s="561"/>
      <c r="G120" s="561"/>
      <c r="H120" s="567"/>
      <c r="I120" s="567"/>
      <c r="J120" s="561"/>
      <c r="K120" s="561"/>
      <c r="L120" s="604"/>
      <c r="M120" s="980"/>
      <c r="N120" s="980"/>
      <c r="O120" s="980"/>
      <c r="P120" s="980"/>
      <c r="Q120" s="980"/>
      <c r="R120" s="980"/>
      <c r="S120" s="980"/>
      <c r="T120" s="980"/>
      <c r="U120" s="980"/>
      <c r="V120" s="980"/>
      <c r="W120" s="980"/>
      <c r="X120" s="980"/>
      <c r="Y120" s="980"/>
      <c r="Z120" s="980"/>
      <c r="AA120" s="980"/>
      <c r="AB120" s="980"/>
      <c r="AC120" s="980"/>
      <c r="AD120" s="980"/>
      <c r="AE120" s="980"/>
      <c r="AF120" s="980"/>
      <c r="AG120" s="980"/>
      <c r="AH120" s="980"/>
      <c r="AI120" s="980"/>
      <c r="AJ120" s="980"/>
      <c r="AK120" s="980"/>
      <c r="AL120" s="980"/>
      <c r="AM120" s="980"/>
      <c r="AN120" s="980"/>
      <c r="AO120" s="980"/>
      <c r="AP120" s="980"/>
      <c r="AQ120" s="980"/>
      <c r="AR120" s="980"/>
      <c r="AS120" s="980"/>
      <c r="AT120" s="980"/>
      <c r="AU120" s="980"/>
      <c r="AV120" s="980"/>
      <c r="AW120" s="980"/>
      <c r="AX120" s="980"/>
      <c r="AY120" s="980"/>
      <c r="AZ120" s="980"/>
      <c r="BA120" s="980"/>
      <c r="BB120" s="980"/>
      <c r="BC120" s="980"/>
      <c r="BD120" s="980"/>
      <c r="BE120" s="980"/>
      <c r="BF120" s="980"/>
      <c r="BG120" s="980"/>
      <c r="BH120" s="980"/>
      <c r="BI120" s="980"/>
      <c r="BJ120" s="568"/>
      <c r="BK120" s="568"/>
      <c r="BL120" s="568"/>
      <c r="BM120" s="568"/>
      <c r="BN120" s="568"/>
      <c r="BO120" s="568"/>
      <c r="BP120" s="568"/>
      <c r="BQ120" s="568"/>
      <c r="BR120" s="568"/>
      <c r="BS120" s="568"/>
      <c r="BT120" s="568"/>
      <c r="BU120" s="568"/>
      <c r="BV120" s="568"/>
      <c r="BW120" s="568"/>
      <c r="BX120" s="568"/>
      <c r="BY120" s="568"/>
      <c r="BZ120" s="568"/>
      <c r="CA120" s="568"/>
      <c r="CB120" s="568"/>
      <c r="CC120" s="568"/>
      <c r="CD120" s="568"/>
      <c r="CE120" s="568"/>
      <c r="CF120" s="568"/>
      <c r="CG120" s="568"/>
      <c r="CH120" s="568"/>
      <c r="CI120" s="568"/>
      <c r="CJ120" s="568"/>
      <c r="CK120" s="568"/>
      <c r="CL120" s="568"/>
      <c r="CM120" s="568"/>
      <c r="CN120" s="568"/>
      <c r="CO120" s="568"/>
      <c r="CP120" s="568"/>
      <c r="CQ120" s="568"/>
      <c r="CR120" s="568"/>
      <c r="CS120" s="568"/>
      <c r="CT120" s="568"/>
      <c r="CU120" s="568"/>
      <c r="CV120" s="568"/>
      <c r="CW120" s="568"/>
      <c r="CX120" s="568"/>
      <c r="CY120" s="568"/>
      <c r="CZ120" s="568"/>
      <c r="DA120" s="568"/>
      <c r="DB120" s="568"/>
      <c r="DC120" s="568"/>
      <c r="DD120" s="568"/>
      <c r="DE120" s="568"/>
      <c r="DF120" s="568"/>
      <c r="DG120" s="568"/>
      <c r="DH120" s="568"/>
      <c r="DI120" s="568"/>
      <c r="DJ120" s="568"/>
      <c r="DK120" s="568"/>
      <c r="DL120" s="568"/>
      <c r="DM120" s="568"/>
      <c r="DN120" s="568"/>
      <c r="DO120" s="568"/>
      <c r="DP120" s="568"/>
      <c r="DQ120" s="568"/>
      <c r="DR120" s="568"/>
      <c r="DS120" s="568"/>
      <c r="DT120" s="568"/>
      <c r="DU120" s="568"/>
      <c r="DV120" s="568"/>
      <c r="DW120" s="568"/>
      <c r="DX120" s="568"/>
      <c r="DY120" s="568"/>
      <c r="DZ120" s="568"/>
      <c r="EA120" s="568"/>
      <c r="EB120" s="568"/>
      <c r="EC120" s="568"/>
      <c r="ED120" s="568"/>
      <c r="EE120" s="568"/>
      <c r="EF120" s="568"/>
      <c r="EG120" s="568"/>
      <c r="EH120" s="568"/>
      <c r="EI120" s="568"/>
      <c r="EJ120" s="568"/>
      <c r="EK120" s="568"/>
      <c r="EL120" s="568"/>
      <c r="EM120" s="568"/>
      <c r="EN120" s="568"/>
      <c r="EO120" s="568"/>
      <c r="EP120" s="568"/>
      <c r="EQ120" s="568"/>
      <c r="ER120" s="568"/>
      <c r="ES120" s="568"/>
      <c r="ET120" s="568"/>
      <c r="EU120" s="568"/>
      <c r="EV120" s="568"/>
      <c r="EW120" s="568"/>
      <c r="EX120" s="568"/>
      <c r="EY120" s="568"/>
      <c r="EZ120" s="568"/>
      <c r="FA120" s="568"/>
      <c r="FB120" s="568"/>
      <c r="FC120" s="568"/>
      <c r="FD120" s="568"/>
      <c r="FE120" s="568"/>
      <c r="FF120" s="568"/>
      <c r="FG120" s="568"/>
      <c r="FH120" s="568"/>
      <c r="FI120" s="568"/>
      <c r="FJ120" s="568"/>
      <c r="FK120" s="568"/>
      <c r="FL120" s="568"/>
      <c r="FM120" s="568"/>
      <c r="FN120" s="568"/>
      <c r="FO120" s="568"/>
      <c r="FP120" s="568"/>
      <c r="FQ120" s="568"/>
      <c r="FR120" s="568"/>
      <c r="FS120" s="568"/>
      <c r="FT120" s="568"/>
      <c r="FU120" s="568"/>
      <c r="FV120" s="568"/>
      <c r="FW120" s="568"/>
      <c r="FX120" s="568"/>
      <c r="FY120" s="568"/>
      <c r="FZ120" s="568"/>
      <c r="GA120" s="568"/>
      <c r="GB120" s="568"/>
      <c r="GC120" s="568"/>
      <c r="GD120" s="568"/>
      <c r="GE120" s="568"/>
      <c r="GF120" s="568"/>
      <c r="GG120" s="568"/>
      <c r="GH120" s="568"/>
      <c r="GI120" s="568"/>
      <c r="GJ120" s="568"/>
      <c r="GK120" s="568"/>
      <c r="GL120" s="568"/>
      <c r="GM120" s="568"/>
      <c r="GN120" s="568"/>
      <c r="GO120" s="568"/>
      <c r="GP120" s="568"/>
      <c r="GQ120" s="568"/>
      <c r="GR120" s="568"/>
      <c r="GS120" s="568"/>
      <c r="GT120" s="568"/>
      <c r="GU120" s="568"/>
      <c r="GV120" s="568"/>
      <c r="GW120" s="568"/>
      <c r="GX120" s="568"/>
      <c r="GY120" s="568"/>
      <c r="GZ120" s="568"/>
      <c r="HA120" s="568"/>
      <c r="HB120" s="568"/>
      <c r="HC120" s="568"/>
      <c r="HD120" s="568"/>
      <c r="HE120" s="568"/>
      <c r="HF120" s="568"/>
      <c r="HG120" s="568"/>
      <c r="HH120" s="568"/>
      <c r="HI120" s="568"/>
      <c r="HJ120" s="568"/>
      <c r="HK120" s="568"/>
      <c r="HL120" s="568"/>
      <c r="HM120" s="568"/>
      <c r="HN120" s="568"/>
      <c r="HO120" s="568"/>
      <c r="HP120" s="568"/>
      <c r="HQ120" s="568"/>
      <c r="HR120" s="568"/>
      <c r="HS120" s="568"/>
      <c r="HT120" s="568"/>
      <c r="HU120" s="568"/>
      <c r="HV120" s="568"/>
      <c r="HW120" s="568"/>
      <c r="HX120" s="568"/>
      <c r="HY120" s="568"/>
      <c r="HZ120" s="568"/>
      <c r="IA120" s="568"/>
      <c r="IB120" s="568"/>
      <c r="IC120" s="568"/>
      <c r="ID120" s="568"/>
      <c r="IE120" s="568"/>
      <c r="IF120" s="568"/>
      <c r="IG120" s="568"/>
      <c r="IH120" s="568"/>
      <c r="II120" s="568"/>
      <c r="IJ120" s="568"/>
      <c r="IK120" s="568"/>
      <c r="IL120" s="568"/>
      <c r="IM120" s="568"/>
      <c r="IN120" s="568"/>
      <c r="IO120" s="568"/>
      <c r="IP120" s="568"/>
      <c r="IQ120" s="568"/>
      <c r="IR120" s="568"/>
    </row>
    <row r="121" spans="1:252" s="563" customFormat="1" ht="12.75" x14ac:dyDescent="0.25">
      <c r="A121" s="594"/>
      <c r="B121" s="564" t="s">
        <v>214</v>
      </c>
      <c r="C121" s="565" t="s">
        <v>28</v>
      </c>
      <c r="D121" s="565">
        <f>245/1000</f>
        <v>0.245</v>
      </c>
      <c r="E121" s="566">
        <f>D121*E120</f>
        <v>127.39999999999999</v>
      </c>
      <c r="F121" s="1180"/>
      <c r="G121" s="579">
        <f>E121*F121</f>
        <v>0</v>
      </c>
      <c r="H121" s="567"/>
      <c r="I121" s="567"/>
      <c r="J121" s="579"/>
      <c r="K121" s="579"/>
      <c r="L121" s="608">
        <f>K121+I121+G121</f>
        <v>0</v>
      </c>
      <c r="M121" s="982"/>
      <c r="N121" s="982"/>
      <c r="O121" s="982"/>
      <c r="P121" s="982"/>
      <c r="Q121" s="982"/>
      <c r="R121" s="982"/>
      <c r="S121" s="982"/>
      <c r="T121" s="982"/>
      <c r="U121" s="982"/>
      <c r="V121" s="982"/>
      <c r="W121" s="982"/>
      <c r="X121" s="982"/>
      <c r="Y121" s="982"/>
      <c r="Z121" s="982"/>
      <c r="AA121" s="982"/>
      <c r="AB121" s="982"/>
      <c r="AC121" s="982"/>
      <c r="AD121" s="982"/>
      <c r="AE121" s="982"/>
      <c r="AF121" s="982"/>
      <c r="AG121" s="982"/>
      <c r="AH121" s="982"/>
      <c r="AI121" s="982"/>
      <c r="AJ121" s="982"/>
      <c r="AK121" s="982"/>
      <c r="AL121" s="982"/>
      <c r="AM121" s="982"/>
      <c r="AN121" s="982"/>
      <c r="AO121" s="982"/>
      <c r="AP121" s="982"/>
      <c r="AQ121" s="982"/>
      <c r="AR121" s="982"/>
      <c r="AS121" s="982"/>
      <c r="AT121" s="982"/>
      <c r="AU121" s="982"/>
      <c r="AV121" s="982"/>
      <c r="AW121" s="982"/>
      <c r="AX121" s="982"/>
      <c r="AY121" s="982"/>
      <c r="AZ121" s="982"/>
      <c r="BA121" s="982"/>
      <c r="BB121" s="982"/>
      <c r="BC121" s="982"/>
      <c r="BD121" s="982"/>
      <c r="BE121" s="982"/>
      <c r="BF121" s="982"/>
      <c r="BG121" s="982"/>
      <c r="BH121" s="982"/>
      <c r="BI121" s="982"/>
    </row>
    <row r="122" spans="1:252" s="563" customFormat="1" thickBot="1" x14ac:dyDescent="0.3">
      <c r="A122" s="599"/>
      <c r="B122" s="600" t="s">
        <v>14</v>
      </c>
      <c r="C122" s="601" t="s">
        <v>15</v>
      </c>
      <c r="D122" s="601">
        <f>109/1000</f>
        <v>0.109</v>
      </c>
      <c r="E122" s="602">
        <f>D122*E120</f>
        <v>56.68</v>
      </c>
      <c r="F122" s="602"/>
      <c r="G122" s="602"/>
      <c r="H122" s="602"/>
      <c r="I122" s="603"/>
      <c r="J122" s="1191"/>
      <c r="K122" s="602">
        <f>J122*E122</f>
        <v>0</v>
      </c>
      <c r="L122" s="609">
        <f>K122+I122+G122</f>
        <v>0</v>
      </c>
      <c r="M122" s="983"/>
      <c r="N122" s="983"/>
      <c r="O122" s="983"/>
      <c r="P122" s="983"/>
      <c r="Q122" s="983"/>
      <c r="R122" s="983"/>
      <c r="S122" s="983"/>
      <c r="T122" s="983"/>
      <c r="U122" s="983"/>
      <c r="V122" s="983"/>
      <c r="W122" s="983"/>
      <c r="X122" s="983"/>
      <c r="Y122" s="983"/>
      <c r="Z122" s="983"/>
      <c r="AA122" s="983"/>
      <c r="AB122" s="983"/>
      <c r="AC122" s="983"/>
      <c r="AD122" s="983"/>
      <c r="AE122" s="983"/>
      <c r="AF122" s="983"/>
      <c r="AG122" s="983"/>
      <c r="AH122" s="983"/>
      <c r="AI122" s="983"/>
      <c r="AJ122" s="983"/>
      <c r="AK122" s="983"/>
      <c r="AL122" s="983"/>
      <c r="AM122" s="983"/>
      <c r="AN122" s="983"/>
      <c r="AO122" s="983"/>
      <c r="AP122" s="983"/>
      <c r="AQ122" s="983"/>
      <c r="AR122" s="983"/>
      <c r="AS122" s="983"/>
      <c r="AT122" s="983"/>
      <c r="AU122" s="983"/>
      <c r="AV122" s="983"/>
      <c r="AW122" s="983"/>
      <c r="AX122" s="983"/>
      <c r="AY122" s="983"/>
      <c r="AZ122" s="983"/>
      <c r="BA122" s="983"/>
      <c r="BB122" s="983"/>
      <c r="BC122" s="983"/>
      <c r="BD122" s="983"/>
      <c r="BE122" s="983"/>
      <c r="BF122" s="983"/>
      <c r="BG122" s="983"/>
      <c r="BH122" s="983"/>
      <c r="BI122" s="983"/>
      <c r="BJ122" s="580"/>
      <c r="BK122" s="580"/>
      <c r="BL122" s="580"/>
      <c r="BM122" s="580"/>
      <c r="BN122" s="580"/>
      <c r="BO122" s="580"/>
      <c r="BP122" s="580"/>
      <c r="BQ122" s="580"/>
      <c r="BR122" s="580"/>
      <c r="BS122" s="580"/>
      <c r="BT122" s="580"/>
      <c r="BU122" s="580"/>
      <c r="BV122" s="580"/>
      <c r="BW122" s="580"/>
      <c r="BX122" s="580"/>
      <c r="BY122" s="580"/>
      <c r="BZ122" s="580"/>
      <c r="CA122" s="580"/>
      <c r="CB122" s="580"/>
      <c r="CC122" s="580"/>
      <c r="CD122" s="580"/>
      <c r="CE122" s="580"/>
      <c r="CF122" s="580"/>
      <c r="CG122" s="580"/>
      <c r="CH122" s="580"/>
      <c r="CI122" s="580"/>
      <c r="CJ122" s="580"/>
      <c r="CK122" s="580"/>
      <c r="CL122" s="580"/>
      <c r="CM122" s="580"/>
      <c r="CN122" s="580"/>
      <c r="CO122" s="580"/>
      <c r="CP122" s="580"/>
      <c r="CQ122" s="580"/>
      <c r="CR122" s="580"/>
      <c r="CS122" s="580"/>
      <c r="CT122" s="580"/>
      <c r="CU122" s="580"/>
      <c r="CV122" s="580"/>
      <c r="CW122" s="580"/>
      <c r="CX122" s="580"/>
      <c r="CY122" s="580"/>
      <c r="CZ122" s="580"/>
      <c r="DA122" s="580"/>
      <c r="DB122" s="580"/>
      <c r="DC122" s="580"/>
      <c r="DD122" s="580"/>
      <c r="DE122" s="580"/>
      <c r="DF122" s="580"/>
      <c r="DG122" s="580"/>
      <c r="DH122" s="580"/>
      <c r="DI122" s="580"/>
      <c r="DJ122" s="580"/>
      <c r="DK122" s="580"/>
      <c r="DL122" s="580"/>
      <c r="DM122" s="580"/>
      <c r="DN122" s="580"/>
      <c r="DO122" s="580"/>
      <c r="DP122" s="580"/>
      <c r="DQ122" s="580"/>
      <c r="DR122" s="580"/>
      <c r="DS122" s="580"/>
      <c r="DT122" s="580"/>
      <c r="DU122" s="580"/>
      <c r="DV122" s="580"/>
      <c r="DW122" s="580"/>
      <c r="DX122" s="580"/>
      <c r="DY122" s="580"/>
      <c r="DZ122" s="580"/>
      <c r="EA122" s="580"/>
      <c r="EB122" s="580"/>
      <c r="EC122" s="580"/>
      <c r="ED122" s="580"/>
      <c r="EE122" s="580"/>
      <c r="EF122" s="580"/>
      <c r="EG122" s="580"/>
      <c r="EH122" s="580"/>
      <c r="EI122" s="580"/>
      <c r="EJ122" s="580"/>
      <c r="EK122" s="580"/>
      <c r="EL122" s="580"/>
      <c r="EM122" s="580"/>
      <c r="EN122" s="580"/>
      <c r="EO122" s="580"/>
      <c r="EP122" s="580"/>
      <c r="EQ122" s="580"/>
      <c r="ER122" s="580"/>
      <c r="ES122" s="580"/>
      <c r="ET122" s="580"/>
      <c r="EU122" s="580"/>
      <c r="EV122" s="580"/>
      <c r="EW122" s="580"/>
      <c r="EX122" s="580"/>
      <c r="EY122" s="580"/>
      <c r="EZ122" s="580"/>
      <c r="FA122" s="580"/>
      <c r="FB122" s="580"/>
      <c r="FC122" s="580"/>
      <c r="FD122" s="580"/>
      <c r="FE122" s="580"/>
      <c r="FF122" s="580"/>
      <c r="FG122" s="580"/>
      <c r="FH122" s="580"/>
      <c r="FI122" s="580"/>
      <c r="FJ122" s="580"/>
      <c r="FK122" s="580"/>
      <c r="FL122" s="580"/>
      <c r="FM122" s="580"/>
      <c r="FN122" s="580"/>
      <c r="FO122" s="580"/>
      <c r="FP122" s="580"/>
      <c r="FQ122" s="580"/>
      <c r="FR122" s="580"/>
      <c r="FS122" s="580"/>
      <c r="FT122" s="580"/>
      <c r="FU122" s="580"/>
      <c r="FV122" s="580"/>
      <c r="FW122" s="580"/>
      <c r="FX122" s="580"/>
      <c r="FY122" s="580"/>
      <c r="FZ122" s="580"/>
      <c r="GA122" s="580"/>
      <c r="GB122" s="580"/>
      <c r="GC122" s="580"/>
      <c r="GD122" s="580"/>
      <c r="GE122" s="580"/>
      <c r="GF122" s="580"/>
      <c r="GG122" s="580"/>
      <c r="GH122" s="580"/>
      <c r="GI122" s="580"/>
      <c r="GJ122" s="580"/>
      <c r="GK122" s="580"/>
      <c r="GL122" s="580"/>
      <c r="GM122" s="580"/>
      <c r="GN122" s="580"/>
      <c r="GO122" s="580"/>
      <c r="GP122" s="580"/>
      <c r="GQ122" s="580"/>
      <c r="GR122" s="580"/>
      <c r="GS122" s="580"/>
      <c r="GT122" s="580"/>
      <c r="GU122" s="580"/>
      <c r="GV122" s="580"/>
      <c r="GW122" s="580"/>
      <c r="GX122" s="580"/>
      <c r="GY122" s="580"/>
      <c r="GZ122" s="580"/>
      <c r="HA122" s="580"/>
      <c r="HB122" s="580"/>
      <c r="HC122" s="580"/>
      <c r="HD122" s="580"/>
      <c r="HE122" s="580"/>
      <c r="HF122" s="580"/>
      <c r="HG122" s="580"/>
      <c r="HH122" s="580"/>
      <c r="HI122" s="580"/>
      <c r="HJ122" s="580"/>
      <c r="HK122" s="580"/>
      <c r="HL122" s="580"/>
      <c r="HM122" s="580"/>
      <c r="HN122" s="580"/>
      <c r="HO122" s="580"/>
      <c r="HP122" s="580"/>
      <c r="HQ122" s="580"/>
      <c r="HR122" s="580"/>
      <c r="HS122" s="580"/>
      <c r="HT122" s="580"/>
      <c r="HU122" s="580"/>
      <c r="HV122" s="580"/>
      <c r="HW122" s="580"/>
      <c r="HX122" s="580"/>
      <c r="HY122" s="580"/>
      <c r="HZ122" s="580"/>
      <c r="IA122" s="580"/>
      <c r="IB122" s="580"/>
      <c r="IC122" s="580"/>
      <c r="ID122" s="580"/>
      <c r="IE122" s="580"/>
      <c r="IF122" s="580"/>
      <c r="IG122" s="580"/>
      <c r="IH122" s="580"/>
      <c r="II122" s="580"/>
      <c r="IJ122" s="580"/>
      <c r="IK122" s="580"/>
      <c r="IL122" s="580"/>
      <c r="IM122" s="580"/>
      <c r="IN122" s="580"/>
      <c r="IO122" s="580"/>
      <c r="IP122" s="580"/>
      <c r="IQ122" s="580"/>
      <c r="IR122" s="580"/>
    </row>
    <row r="123" spans="1:252" s="732" customFormat="1" ht="18.75" customHeight="1" x14ac:dyDescent="0.25">
      <c r="A123" s="726"/>
      <c r="B123" s="728" t="s">
        <v>329</v>
      </c>
      <c r="C123" s="729"/>
      <c r="D123" s="729"/>
      <c r="E123" s="727"/>
      <c r="F123" s="727"/>
      <c r="G123" s="730"/>
      <c r="H123" s="727"/>
      <c r="I123" s="730"/>
      <c r="J123" s="727"/>
      <c r="K123" s="730"/>
      <c r="L123" s="731"/>
      <c r="M123" s="978"/>
      <c r="N123" s="978"/>
      <c r="O123" s="978"/>
      <c r="P123" s="978"/>
      <c r="Q123" s="978"/>
      <c r="R123" s="978"/>
      <c r="S123" s="978"/>
      <c r="T123" s="978"/>
      <c r="U123" s="978"/>
      <c r="V123" s="978"/>
      <c r="W123" s="978"/>
      <c r="X123" s="978"/>
      <c r="Y123" s="978"/>
      <c r="Z123" s="978"/>
      <c r="AA123" s="978"/>
      <c r="AB123" s="978"/>
      <c r="AC123" s="978"/>
      <c r="AD123" s="978"/>
      <c r="AE123" s="978"/>
      <c r="AF123" s="978"/>
      <c r="AG123" s="978"/>
      <c r="AH123" s="978"/>
      <c r="AI123" s="978"/>
      <c r="AJ123" s="978"/>
      <c r="AK123" s="978"/>
      <c r="AL123" s="978"/>
      <c r="AM123" s="978"/>
      <c r="AN123" s="978"/>
      <c r="AO123" s="978"/>
      <c r="AP123" s="978"/>
      <c r="AQ123" s="978"/>
      <c r="AR123" s="978"/>
      <c r="AS123" s="978"/>
      <c r="AT123" s="978"/>
      <c r="AU123" s="978"/>
      <c r="AV123" s="978"/>
      <c r="AW123" s="978"/>
      <c r="AX123" s="978"/>
      <c r="AY123" s="978"/>
      <c r="AZ123" s="978"/>
      <c r="BA123" s="978"/>
      <c r="BB123" s="978"/>
      <c r="BC123" s="978"/>
      <c r="BD123" s="978"/>
      <c r="BE123" s="978"/>
      <c r="BF123" s="978"/>
      <c r="BG123" s="978"/>
      <c r="BH123" s="978"/>
      <c r="BI123" s="978"/>
    </row>
    <row r="124" spans="1:252" s="336" customFormat="1" ht="33" customHeight="1" x14ac:dyDescent="0.25">
      <c r="A124" s="595">
        <v>1</v>
      </c>
      <c r="B124" s="546" t="s">
        <v>355</v>
      </c>
      <c r="C124" s="545" t="s">
        <v>10</v>
      </c>
      <c r="D124" s="547" t="s">
        <v>111</v>
      </c>
      <c r="E124" s="722">
        <f>0.6*1*0.6*12</f>
        <v>4.32</v>
      </c>
      <c r="F124" s="548"/>
      <c r="G124" s="548"/>
      <c r="H124" s="549"/>
      <c r="I124" s="549"/>
      <c r="J124" s="548"/>
      <c r="K124" s="548"/>
      <c r="L124" s="610"/>
      <c r="M124" s="596"/>
      <c r="N124" s="596"/>
      <c r="O124" s="596"/>
      <c r="P124" s="596"/>
      <c r="Q124" s="596"/>
      <c r="R124" s="596"/>
      <c r="S124" s="596"/>
      <c r="T124" s="596"/>
      <c r="U124" s="596"/>
      <c r="V124" s="596"/>
      <c r="W124" s="596"/>
      <c r="X124" s="596"/>
      <c r="Y124" s="596"/>
      <c r="Z124" s="596"/>
      <c r="AA124" s="596"/>
      <c r="AB124" s="596"/>
      <c r="AC124" s="596"/>
      <c r="AD124" s="596"/>
      <c r="AE124" s="596"/>
      <c r="AF124" s="596"/>
      <c r="AG124" s="596"/>
      <c r="AH124" s="596"/>
      <c r="AI124" s="596"/>
      <c r="AJ124" s="596"/>
      <c r="AK124" s="596"/>
      <c r="AL124" s="596"/>
      <c r="AM124" s="596"/>
      <c r="AN124" s="596"/>
      <c r="AO124" s="596"/>
      <c r="AP124" s="596"/>
      <c r="AQ124" s="596"/>
      <c r="AR124" s="596"/>
      <c r="AS124" s="596"/>
      <c r="AT124" s="596"/>
      <c r="AU124" s="596"/>
      <c r="AV124" s="596"/>
      <c r="AW124" s="596"/>
      <c r="AX124" s="596"/>
      <c r="AY124" s="596"/>
      <c r="AZ124" s="596"/>
      <c r="BA124" s="596"/>
      <c r="BB124" s="596"/>
      <c r="BC124" s="596"/>
      <c r="BD124" s="596"/>
      <c r="BE124" s="596"/>
      <c r="BF124" s="596"/>
      <c r="BG124" s="596"/>
      <c r="BH124" s="596"/>
      <c r="BI124" s="596"/>
    </row>
    <row r="125" spans="1:252" s="171" customFormat="1" ht="12.75" x14ac:dyDescent="0.25">
      <c r="A125" s="597"/>
      <c r="B125" s="551" t="s">
        <v>112</v>
      </c>
      <c r="C125" s="550" t="s">
        <v>29</v>
      </c>
      <c r="D125" s="552">
        <v>2.06</v>
      </c>
      <c r="E125" s="553">
        <f>E124*D125</f>
        <v>8.8992000000000004</v>
      </c>
      <c r="F125" s="1177"/>
      <c r="G125" s="548">
        <f>E125*F125</f>
        <v>0</v>
      </c>
      <c r="H125" s="548"/>
      <c r="I125" s="549"/>
      <c r="J125" s="549"/>
      <c r="K125" s="548"/>
      <c r="L125" s="610">
        <f>K125+I125+G125</f>
        <v>0</v>
      </c>
      <c r="M125" s="598"/>
      <c r="N125" s="598"/>
      <c r="O125" s="598"/>
      <c r="P125" s="598"/>
      <c r="Q125" s="598"/>
      <c r="R125" s="598"/>
      <c r="S125" s="598"/>
      <c r="T125" s="598"/>
      <c r="U125" s="598"/>
      <c r="V125" s="598"/>
      <c r="W125" s="598"/>
      <c r="X125" s="598"/>
      <c r="Y125" s="598"/>
      <c r="Z125" s="598"/>
      <c r="AA125" s="598"/>
      <c r="AB125" s="598"/>
      <c r="AC125" s="598"/>
      <c r="AD125" s="598"/>
      <c r="AE125" s="598"/>
      <c r="AF125" s="598"/>
      <c r="AG125" s="598"/>
      <c r="AH125" s="598"/>
      <c r="AI125" s="598"/>
      <c r="AJ125" s="598"/>
      <c r="AK125" s="598"/>
      <c r="AL125" s="598"/>
      <c r="AM125" s="598"/>
      <c r="AN125" s="598"/>
      <c r="AO125" s="598"/>
      <c r="AP125" s="598"/>
      <c r="AQ125" s="598"/>
      <c r="AR125" s="598"/>
      <c r="AS125" s="598"/>
      <c r="AT125" s="598"/>
      <c r="AU125" s="598"/>
      <c r="AV125" s="598"/>
      <c r="AW125" s="598"/>
      <c r="AX125" s="598"/>
      <c r="AY125" s="598"/>
      <c r="AZ125" s="598"/>
      <c r="BA125" s="598"/>
      <c r="BB125" s="598"/>
      <c r="BC125" s="598"/>
      <c r="BD125" s="598"/>
      <c r="BE125" s="598"/>
      <c r="BF125" s="598"/>
      <c r="BG125" s="598"/>
      <c r="BH125" s="598"/>
      <c r="BI125" s="598"/>
    </row>
    <row r="126" spans="1:252" s="336" customFormat="1" ht="25.5" x14ac:dyDescent="0.25">
      <c r="A126" s="595">
        <v>2</v>
      </c>
      <c r="B126" s="546" t="s">
        <v>356</v>
      </c>
      <c r="C126" s="545" t="s">
        <v>26</v>
      </c>
      <c r="D126" s="547" t="s">
        <v>111</v>
      </c>
      <c r="E126" s="733">
        <f>E124/100</f>
        <v>4.3200000000000002E-2</v>
      </c>
      <c r="F126" s="548"/>
      <c r="G126" s="548"/>
      <c r="H126" s="548"/>
      <c r="I126" s="549"/>
      <c r="J126" s="549"/>
      <c r="K126" s="548"/>
      <c r="L126" s="610"/>
      <c r="M126" s="596"/>
      <c r="N126" s="596"/>
      <c r="O126" s="596"/>
      <c r="P126" s="596"/>
      <c r="Q126" s="596"/>
      <c r="R126" s="596"/>
      <c r="S126" s="596"/>
      <c r="T126" s="596"/>
      <c r="U126" s="596"/>
      <c r="V126" s="596"/>
      <c r="W126" s="596"/>
      <c r="X126" s="596"/>
      <c r="Y126" s="596"/>
      <c r="Z126" s="596"/>
      <c r="AA126" s="596"/>
      <c r="AB126" s="596"/>
      <c r="AC126" s="596"/>
      <c r="AD126" s="596"/>
      <c r="AE126" s="596"/>
      <c r="AF126" s="596"/>
      <c r="AG126" s="596"/>
      <c r="AH126" s="596"/>
      <c r="AI126" s="596"/>
      <c r="AJ126" s="596"/>
      <c r="AK126" s="596"/>
      <c r="AL126" s="596"/>
      <c r="AM126" s="596"/>
      <c r="AN126" s="596"/>
      <c r="AO126" s="596"/>
      <c r="AP126" s="596"/>
      <c r="AQ126" s="596"/>
      <c r="AR126" s="596"/>
      <c r="AS126" s="596"/>
      <c r="AT126" s="596"/>
      <c r="AU126" s="596"/>
      <c r="AV126" s="596"/>
      <c r="AW126" s="596"/>
      <c r="AX126" s="596"/>
      <c r="AY126" s="596"/>
      <c r="AZ126" s="596"/>
      <c r="BA126" s="596"/>
      <c r="BB126" s="596"/>
      <c r="BC126" s="596"/>
      <c r="BD126" s="596"/>
      <c r="BE126" s="596"/>
      <c r="BF126" s="596"/>
      <c r="BG126" s="596"/>
      <c r="BH126" s="596"/>
      <c r="BI126" s="596"/>
    </row>
    <row r="127" spans="1:252" s="171" customFormat="1" ht="12.75" x14ac:dyDescent="0.25">
      <c r="A127" s="597"/>
      <c r="B127" s="551" t="s">
        <v>112</v>
      </c>
      <c r="C127" s="550" t="s">
        <v>28</v>
      </c>
      <c r="D127" s="552">
        <v>450</v>
      </c>
      <c r="E127" s="553">
        <f>E126*D127</f>
        <v>19.440000000000001</v>
      </c>
      <c r="F127" s="1177"/>
      <c r="G127" s="548">
        <f>E127*F127</f>
        <v>0</v>
      </c>
      <c r="H127" s="549"/>
      <c r="I127" s="549"/>
      <c r="J127" s="548"/>
      <c r="K127" s="548"/>
      <c r="L127" s="610">
        <f t="shared" ref="L127:L141" si="8">K127+I127+G127</f>
        <v>0</v>
      </c>
      <c r="M127" s="598"/>
      <c r="N127" s="598"/>
      <c r="O127" s="598"/>
      <c r="P127" s="598"/>
      <c r="Q127" s="598"/>
      <c r="R127" s="598"/>
      <c r="S127" s="598"/>
      <c r="T127" s="598"/>
      <c r="U127" s="598"/>
      <c r="V127" s="598"/>
      <c r="W127" s="598"/>
      <c r="X127" s="598"/>
      <c r="Y127" s="598"/>
      <c r="Z127" s="598"/>
      <c r="AA127" s="598"/>
      <c r="AB127" s="598"/>
      <c r="AC127" s="598"/>
      <c r="AD127" s="598"/>
      <c r="AE127" s="598"/>
      <c r="AF127" s="598"/>
      <c r="AG127" s="598"/>
      <c r="AH127" s="598"/>
      <c r="AI127" s="598"/>
      <c r="AJ127" s="598"/>
      <c r="AK127" s="598"/>
      <c r="AL127" s="598"/>
      <c r="AM127" s="598"/>
      <c r="AN127" s="598"/>
      <c r="AO127" s="598"/>
      <c r="AP127" s="598"/>
      <c r="AQ127" s="598"/>
      <c r="AR127" s="598"/>
      <c r="AS127" s="598"/>
      <c r="AT127" s="598"/>
      <c r="AU127" s="598"/>
      <c r="AV127" s="598"/>
      <c r="AW127" s="598"/>
      <c r="AX127" s="598"/>
      <c r="AY127" s="598"/>
      <c r="AZ127" s="598"/>
      <c r="BA127" s="598"/>
      <c r="BB127" s="598"/>
      <c r="BC127" s="598"/>
      <c r="BD127" s="598"/>
      <c r="BE127" s="598"/>
      <c r="BF127" s="598"/>
      <c r="BG127" s="598"/>
      <c r="BH127" s="598"/>
      <c r="BI127" s="598"/>
    </row>
    <row r="128" spans="1:252" s="171" customFormat="1" ht="12.75" x14ac:dyDescent="0.25">
      <c r="A128" s="597"/>
      <c r="B128" s="551" t="s">
        <v>24</v>
      </c>
      <c r="C128" s="550" t="s">
        <v>33</v>
      </c>
      <c r="D128" s="552">
        <v>37</v>
      </c>
      <c r="E128" s="553">
        <f>E126*D128</f>
        <v>1.5984</v>
      </c>
      <c r="F128" s="548"/>
      <c r="G128" s="548"/>
      <c r="H128" s="548"/>
      <c r="I128" s="549"/>
      <c r="J128" s="1178"/>
      <c r="K128" s="548">
        <f>J128*E128</f>
        <v>0</v>
      </c>
      <c r="L128" s="610">
        <f t="shared" si="8"/>
        <v>0</v>
      </c>
      <c r="M128" s="598"/>
      <c r="N128" s="598"/>
      <c r="O128" s="598"/>
      <c r="P128" s="598"/>
      <c r="Q128" s="598"/>
      <c r="R128" s="598"/>
      <c r="S128" s="598"/>
      <c r="T128" s="598"/>
      <c r="U128" s="598"/>
      <c r="V128" s="598"/>
      <c r="W128" s="598"/>
      <c r="X128" s="598"/>
      <c r="Y128" s="598"/>
      <c r="Z128" s="598"/>
      <c r="AA128" s="598"/>
      <c r="AB128" s="598"/>
      <c r="AC128" s="598"/>
      <c r="AD128" s="598"/>
      <c r="AE128" s="598"/>
      <c r="AF128" s="598"/>
      <c r="AG128" s="598"/>
      <c r="AH128" s="598"/>
      <c r="AI128" s="598"/>
      <c r="AJ128" s="598"/>
      <c r="AK128" s="598"/>
      <c r="AL128" s="598"/>
      <c r="AM128" s="598"/>
      <c r="AN128" s="598"/>
      <c r="AO128" s="598"/>
      <c r="AP128" s="598"/>
      <c r="AQ128" s="598"/>
      <c r="AR128" s="598"/>
      <c r="AS128" s="598"/>
      <c r="AT128" s="598"/>
      <c r="AU128" s="598"/>
      <c r="AV128" s="598"/>
      <c r="AW128" s="598"/>
      <c r="AX128" s="598"/>
      <c r="AY128" s="598"/>
      <c r="AZ128" s="598"/>
      <c r="BA128" s="598"/>
      <c r="BB128" s="598"/>
      <c r="BC128" s="598"/>
      <c r="BD128" s="598"/>
      <c r="BE128" s="598"/>
      <c r="BF128" s="598"/>
      <c r="BG128" s="598"/>
      <c r="BH128" s="598"/>
      <c r="BI128" s="598"/>
    </row>
    <row r="129" spans="1:61" s="171" customFormat="1" ht="12.75" x14ac:dyDescent="0.25">
      <c r="A129" s="597"/>
      <c r="B129" s="551" t="s">
        <v>113</v>
      </c>
      <c r="C129" s="550" t="s">
        <v>10</v>
      </c>
      <c r="D129" s="552">
        <v>102</v>
      </c>
      <c r="E129" s="553">
        <f>E126*D129</f>
        <v>4.4064000000000005</v>
      </c>
      <c r="F129" s="548"/>
      <c r="G129" s="548"/>
      <c r="H129" s="1185"/>
      <c r="I129" s="549">
        <f>H129*E129</f>
        <v>0</v>
      </c>
      <c r="J129" s="548"/>
      <c r="K129" s="548"/>
      <c r="L129" s="610">
        <f t="shared" si="8"/>
        <v>0</v>
      </c>
      <c r="M129" s="598"/>
      <c r="N129" s="598"/>
      <c r="O129" s="598"/>
      <c r="P129" s="598"/>
      <c r="Q129" s="598"/>
      <c r="R129" s="598"/>
      <c r="S129" s="598"/>
      <c r="T129" s="598"/>
      <c r="U129" s="598"/>
      <c r="V129" s="598"/>
      <c r="W129" s="598"/>
      <c r="X129" s="598"/>
      <c r="Y129" s="598"/>
      <c r="Z129" s="598"/>
      <c r="AA129" s="598"/>
      <c r="AB129" s="598"/>
      <c r="AC129" s="598"/>
      <c r="AD129" s="598"/>
      <c r="AE129" s="598"/>
      <c r="AF129" s="598"/>
      <c r="AG129" s="598"/>
      <c r="AH129" s="598"/>
      <c r="AI129" s="598"/>
      <c r="AJ129" s="598"/>
      <c r="AK129" s="598"/>
      <c r="AL129" s="598"/>
      <c r="AM129" s="598"/>
      <c r="AN129" s="598"/>
      <c r="AO129" s="598"/>
      <c r="AP129" s="598"/>
      <c r="AQ129" s="598"/>
      <c r="AR129" s="598"/>
      <c r="AS129" s="598"/>
      <c r="AT129" s="598"/>
      <c r="AU129" s="598"/>
      <c r="AV129" s="598"/>
      <c r="AW129" s="598"/>
      <c r="AX129" s="598"/>
      <c r="AY129" s="598"/>
      <c r="AZ129" s="598"/>
      <c r="BA129" s="598"/>
      <c r="BB129" s="598"/>
      <c r="BC129" s="598"/>
      <c r="BD129" s="598"/>
      <c r="BE129" s="598"/>
      <c r="BF129" s="598"/>
      <c r="BG129" s="598"/>
      <c r="BH129" s="598"/>
      <c r="BI129" s="598"/>
    </row>
    <row r="130" spans="1:61" s="171" customFormat="1" x14ac:dyDescent="0.25">
      <c r="A130" s="597"/>
      <c r="B130" s="361" t="s">
        <v>221</v>
      </c>
      <c r="C130" s="550" t="s">
        <v>17</v>
      </c>
      <c r="D130" s="552">
        <v>161</v>
      </c>
      <c r="E130" s="553">
        <f>D130*E126</f>
        <v>6.9552000000000005</v>
      </c>
      <c r="F130" s="548"/>
      <c r="G130" s="548"/>
      <c r="H130" s="1121"/>
      <c r="I130" s="549">
        <f>H130*E130</f>
        <v>0</v>
      </c>
      <c r="J130" s="549"/>
      <c r="K130" s="548"/>
      <c r="L130" s="610">
        <f t="shared" si="8"/>
        <v>0</v>
      </c>
      <c r="M130" s="598"/>
      <c r="N130" s="598"/>
      <c r="O130" s="598"/>
      <c r="P130" s="598"/>
      <c r="Q130" s="598"/>
      <c r="R130" s="598"/>
      <c r="S130" s="598"/>
      <c r="T130" s="598"/>
      <c r="U130" s="598"/>
      <c r="V130" s="598"/>
      <c r="W130" s="598"/>
      <c r="X130" s="598"/>
      <c r="Y130" s="598"/>
      <c r="Z130" s="598"/>
      <c r="AA130" s="598"/>
      <c r="AB130" s="598"/>
      <c r="AC130" s="598"/>
      <c r="AD130" s="598"/>
      <c r="AE130" s="598"/>
      <c r="AF130" s="598"/>
      <c r="AG130" s="598"/>
      <c r="AH130" s="598"/>
      <c r="AI130" s="598"/>
      <c r="AJ130" s="598"/>
      <c r="AK130" s="598"/>
      <c r="AL130" s="598"/>
      <c r="AM130" s="598"/>
      <c r="AN130" s="598"/>
      <c r="AO130" s="598"/>
      <c r="AP130" s="598"/>
      <c r="AQ130" s="598"/>
      <c r="AR130" s="598"/>
      <c r="AS130" s="598"/>
      <c r="AT130" s="598"/>
      <c r="AU130" s="598"/>
      <c r="AV130" s="598"/>
      <c r="AW130" s="598"/>
      <c r="AX130" s="598"/>
      <c r="AY130" s="598"/>
      <c r="AZ130" s="598"/>
      <c r="BA130" s="598"/>
      <c r="BB130" s="598"/>
      <c r="BC130" s="598"/>
      <c r="BD130" s="598"/>
      <c r="BE130" s="598"/>
      <c r="BF130" s="598"/>
      <c r="BG130" s="598"/>
      <c r="BH130" s="598"/>
      <c r="BI130" s="598"/>
    </row>
    <row r="131" spans="1:61" s="171" customFormat="1" ht="12.75" x14ac:dyDescent="0.25">
      <c r="A131" s="597"/>
      <c r="B131" s="362" t="s">
        <v>225</v>
      </c>
      <c r="C131" s="550" t="s">
        <v>115</v>
      </c>
      <c r="D131" s="552">
        <v>1.72</v>
      </c>
      <c r="E131" s="553">
        <f>D131*E126</f>
        <v>7.4304000000000009E-2</v>
      </c>
      <c r="F131" s="548"/>
      <c r="G131" s="548"/>
      <c r="H131" s="1187"/>
      <c r="I131" s="549">
        <f>H131*E131</f>
        <v>0</v>
      </c>
      <c r="J131" s="549"/>
      <c r="K131" s="548"/>
      <c r="L131" s="610">
        <f t="shared" si="8"/>
        <v>0</v>
      </c>
      <c r="M131" s="598"/>
      <c r="N131" s="598"/>
      <c r="O131" s="598"/>
      <c r="P131" s="598"/>
      <c r="Q131" s="598"/>
      <c r="R131" s="598"/>
      <c r="S131" s="598"/>
      <c r="T131" s="598"/>
      <c r="U131" s="598"/>
      <c r="V131" s="598"/>
      <c r="W131" s="598"/>
      <c r="X131" s="598"/>
      <c r="Y131" s="598"/>
      <c r="Z131" s="598"/>
      <c r="AA131" s="598"/>
      <c r="AB131" s="598"/>
      <c r="AC131" s="598"/>
      <c r="AD131" s="598"/>
      <c r="AE131" s="598"/>
      <c r="AF131" s="598"/>
      <c r="AG131" s="598"/>
      <c r="AH131" s="598"/>
      <c r="AI131" s="598"/>
      <c r="AJ131" s="598"/>
      <c r="AK131" s="598"/>
      <c r="AL131" s="598"/>
      <c r="AM131" s="598"/>
      <c r="AN131" s="598"/>
      <c r="AO131" s="598"/>
      <c r="AP131" s="598"/>
      <c r="AQ131" s="598"/>
      <c r="AR131" s="598"/>
      <c r="AS131" s="598"/>
      <c r="AT131" s="598"/>
      <c r="AU131" s="598"/>
      <c r="AV131" s="598"/>
      <c r="AW131" s="598"/>
      <c r="AX131" s="598"/>
      <c r="AY131" s="598"/>
      <c r="AZ131" s="598"/>
      <c r="BA131" s="598"/>
      <c r="BB131" s="598"/>
      <c r="BC131" s="598"/>
      <c r="BD131" s="598"/>
      <c r="BE131" s="598"/>
      <c r="BF131" s="598"/>
      <c r="BG131" s="598"/>
      <c r="BH131" s="598"/>
      <c r="BI131" s="598"/>
    </row>
    <row r="132" spans="1:61" s="171" customFormat="1" ht="12.75" x14ac:dyDescent="0.25">
      <c r="A132" s="597"/>
      <c r="B132" s="551" t="s">
        <v>116</v>
      </c>
      <c r="C132" s="550" t="s">
        <v>15</v>
      </c>
      <c r="D132" s="552">
        <v>28</v>
      </c>
      <c r="E132" s="553">
        <f>D132*E126</f>
        <v>1.2096</v>
      </c>
      <c r="F132" s="548"/>
      <c r="G132" s="548"/>
      <c r="H132" s="1185"/>
      <c r="I132" s="549">
        <f>H132*E132</f>
        <v>0</v>
      </c>
      <c r="J132" s="548"/>
      <c r="K132" s="548"/>
      <c r="L132" s="610">
        <f t="shared" si="8"/>
        <v>0</v>
      </c>
      <c r="M132" s="598"/>
      <c r="N132" s="598"/>
      <c r="O132" s="598"/>
      <c r="P132" s="598"/>
      <c r="Q132" s="598"/>
      <c r="R132" s="598"/>
      <c r="S132" s="598"/>
      <c r="T132" s="598"/>
      <c r="U132" s="598"/>
      <c r="V132" s="598"/>
      <c r="W132" s="598"/>
      <c r="X132" s="598"/>
      <c r="Y132" s="598"/>
      <c r="Z132" s="598"/>
      <c r="AA132" s="598"/>
      <c r="AB132" s="598"/>
      <c r="AC132" s="598"/>
      <c r="AD132" s="598"/>
      <c r="AE132" s="598"/>
      <c r="AF132" s="598"/>
      <c r="AG132" s="598"/>
      <c r="AH132" s="598"/>
      <c r="AI132" s="598"/>
      <c r="AJ132" s="598"/>
      <c r="AK132" s="598"/>
      <c r="AL132" s="598"/>
      <c r="AM132" s="598"/>
      <c r="AN132" s="598"/>
      <c r="AO132" s="598"/>
      <c r="AP132" s="598"/>
      <c r="AQ132" s="598"/>
      <c r="AR132" s="598"/>
      <c r="AS132" s="598"/>
      <c r="AT132" s="598"/>
      <c r="AU132" s="598"/>
      <c r="AV132" s="598"/>
      <c r="AW132" s="598"/>
      <c r="AX132" s="598"/>
      <c r="AY132" s="598"/>
      <c r="AZ132" s="598"/>
      <c r="BA132" s="598"/>
      <c r="BB132" s="598"/>
      <c r="BC132" s="598"/>
      <c r="BD132" s="598"/>
      <c r="BE132" s="598"/>
      <c r="BF132" s="598"/>
      <c r="BG132" s="598"/>
      <c r="BH132" s="598"/>
      <c r="BI132" s="598"/>
    </row>
    <row r="133" spans="1:61" s="177" customFormat="1" ht="15" x14ac:dyDescent="0.25">
      <c r="A133" s="502">
        <v>3</v>
      </c>
      <c r="B133" s="581" t="s">
        <v>350</v>
      </c>
      <c r="C133" s="45" t="s">
        <v>13</v>
      </c>
      <c r="D133" s="318"/>
      <c r="E133" s="734">
        <f>(((E136*31.4)/1000)+E135)</f>
        <v>0.91577600000000003</v>
      </c>
      <c r="F133" s="73"/>
      <c r="G133" s="73"/>
      <c r="H133" s="63"/>
      <c r="I133" s="73"/>
      <c r="J133" s="73"/>
      <c r="K133" s="73"/>
      <c r="L133" s="505"/>
      <c r="M133" s="984"/>
      <c r="N133" s="984"/>
      <c r="O133" s="984"/>
      <c r="P133" s="984"/>
      <c r="Q133" s="985"/>
      <c r="R133" s="985"/>
      <c r="S133" s="985"/>
      <c r="T133" s="985"/>
      <c r="U133" s="985"/>
      <c r="V133" s="985"/>
      <c r="W133" s="985"/>
      <c r="X133" s="985"/>
      <c r="Y133" s="985"/>
      <c r="Z133" s="985"/>
      <c r="AA133" s="985"/>
      <c r="AB133" s="985"/>
      <c r="AC133" s="985"/>
      <c r="AD133" s="985"/>
      <c r="AE133" s="985"/>
      <c r="AF133" s="985"/>
      <c r="AG133" s="985"/>
      <c r="AH133" s="985"/>
      <c r="AI133" s="985"/>
      <c r="AJ133" s="985"/>
      <c r="AK133" s="985"/>
      <c r="AL133" s="985"/>
      <c r="AM133" s="985"/>
      <c r="AN133" s="985"/>
      <c r="AO133" s="985"/>
      <c r="AP133" s="985"/>
      <c r="AQ133" s="985"/>
      <c r="AR133" s="985"/>
      <c r="AS133" s="985"/>
      <c r="AT133" s="985"/>
      <c r="AU133" s="985"/>
      <c r="AV133" s="985"/>
      <c r="AW133" s="985"/>
      <c r="AX133" s="985"/>
      <c r="AY133" s="985"/>
      <c r="AZ133" s="985"/>
      <c r="BA133" s="985"/>
      <c r="BB133" s="985"/>
      <c r="BC133" s="985"/>
      <c r="BD133" s="985"/>
      <c r="BE133" s="985"/>
      <c r="BF133" s="985"/>
      <c r="BG133" s="985"/>
      <c r="BH133" s="985"/>
      <c r="BI133" s="985"/>
    </row>
    <row r="134" spans="1:61" s="166" customFormat="1" ht="15" x14ac:dyDescent="0.25">
      <c r="A134" s="504"/>
      <c r="B134" s="72" t="s">
        <v>122</v>
      </c>
      <c r="C134" s="70" t="s">
        <v>28</v>
      </c>
      <c r="D134" s="73">
        <v>9.15</v>
      </c>
      <c r="E134" s="73">
        <f>E133*D134</f>
        <v>8.3793503999999999</v>
      </c>
      <c r="F134" s="1166"/>
      <c r="G134" s="73">
        <f>E134*F134</f>
        <v>0</v>
      </c>
      <c r="H134" s="63"/>
      <c r="I134" s="73"/>
      <c r="J134" s="73"/>
      <c r="K134" s="73"/>
      <c r="L134" s="505">
        <f t="shared" si="8"/>
        <v>0</v>
      </c>
      <c r="M134" s="986"/>
      <c r="N134" s="986"/>
      <c r="O134" s="986"/>
      <c r="P134" s="986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5"/>
      <c r="AO134" s="135"/>
      <c r="AP134" s="135"/>
      <c r="AQ134" s="135"/>
      <c r="AR134" s="135"/>
      <c r="AS134" s="135"/>
      <c r="AT134" s="135"/>
      <c r="AU134" s="135"/>
      <c r="AV134" s="135"/>
      <c r="AW134" s="135"/>
      <c r="AX134" s="135"/>
      <c r="AY134" s="135"/>
      <c r="AZ134" s="135"/>
      <c r="BA134" s="135"/>
      <c r="BB134" s="135"/>
      <c r="BC134" s="135"/>
      <c r="BD134" s="135"/>
      <c r="BE134" s="135"/>
      <c r="BF134" s="135"/>
      <c r="BG134" s="135"/>
      <c r="BH134" s="135"/>
      <c r="BI134" s="135"/>
    </row>
    <row r="135" spans="1:61" s="183" customFormat="1" ht="12.75" x14ac:dyDescent="0.25">
      <c r="A135" s="1034"/>
      <c r="B135" s="322" t="s">
        <v>357</v>
      </c>
      <c r="C135" s="366" t="s">
        <v>13</v>
      </c>
      <c r="D135" s="366"/>
      <c r="E135" s="559">
        <f>((57.24+10.8+6.6)*12)/1000</f>
        <v>0.89568000000000003</v>
      </c>
      <c r="F135" s="366"/>
      <c r="G135" s="368"/>
      <c r="H135" s="1160"/>
      <c r="I135" s="368">
        <f t="shared" ref="I135:I140" si="9">H135*E135</f>
        <v>0</v>
      </c>
      <c r="J135" s="367"/>
      <c r="K135" s="368"/>
      <c r="L135" s="1038">
        <f>G135+I135+K135</f>
        <v>0</v>
      </c>
      <c r="M135" s="118"/>
      <c r="N135" s="974"/>
      <c r="O135" s="974"/>
      <c r="P135" s="974"/>
      <c r="Q135" s="974"/>
      <c r="R135" s="974"/>
      <c r="S135" s="974"/>
      <c r="T135" s="974"/>
      <c r="U135" s="974"/>
      <c r="V135" s="974"/>
      <c r="W135" s="974"/>
      <c r="X135" s="974"/>
      <c r="Y135" s="974"/>
      <c r="Z135" s="974"/>
      <c r="AA135" s="974"/>
      <c r="AB135" s="974"/>
      <c r="AC135" s="974"/>
      <c r="AD135" s="974"/>
      <c r="AE135" s="974"/>
      <c r="AF135" s="974"/>
      <c r="AG135" s="974"/>
      <c r="AH135" s="974"/>
      <c r="AI135" s="974"/>
      <c r="AJ135" s="974"/>
      <c r="AK135" s="974"/>
      <c r="AL135" s="974"/>
      <c r="AM135" s="974"/>
      <c r="AN135" s="974"/>
      <c r="AO135" s="974"/>
      <c r="AP135" s="974"/>
      <c r="AQ135" s="974"/>
      <c r="AR135" s="974"/>
      <c r="AS135" s="974"/>
      <c r="AT135" s="974"/>
      <c r="AU135" s="974"/>
      <c r="AV135" s="974"/>
      <c r="AW135" s="974"/>
      <c r="AX135" s="974"/>
      <c r="AY135" s="974"/>
      <c r="AZ135" s="974"/>
      <c r="BA135" s="974"/>
      <c r="BB135" s="974"/>
      <c r="BC135" s="974"/>
      <c r="BD135" s="974"/>
      <c r="BE135" s="974"/>
      <c r="BF135" s="974"/>
      <c r="BG135" s="974"/>
      <c r="BH135" s="974"/>
      <c r="BI135" s="974"/>
    </row>
    <row r="136" spans="1:61" s="183" customFormat="1" ht="12.75" x14ac:dyDescent="0.25">
      <c r="A136" s="1034"/>
      <c r="B136" s="322" t="s">
        <v>358</v>
      </c>
      <c r="C136" s="366" t="s">
        <v>17</v>
      </c>
      <c r="D136" s="366"/>
      <c r="E136" s="559">
        <v>0.64</v>
      </c>
      <c r="F136" s="366"/>
      <c r="G136" s="368"/>
      <c r="H136" s="1160"/>
      <c r="I136" s="368">
        <f t="shared" si="9"/>
        <v>0</v>
      </c>
      <c r="J136" s="367"/>
      <c r="K136" s="368"/>
      <c r="L136" s="1038">
        <f>G136+I136+K136</f>
        <v>0</v>
      </c>
      <c r="M136" s="118"/>
      <c r="N136" s="974"/>
      <c r="O136" s="974"/>
      <c r="P136" s="974"/>
      <c r="Q136" s="974"/>
      <c r="R136" s="974"/>
      <c r="S136" s="974"/>
      <c r="T136" s="974"/>
      <c r="U136" s="974"/>
      <c r="V136" s="974"/>
      <c r="W136" s="974"/>
      <c r="X136" s="974"/>
      <c r="Y136" s="974"/>
      <c r="Z136" s="974"/>
      <c r="AA136" s="974"/>
      <c r="AB136" s="974"/>
      <c r="AC136" s="974"/>
      <c r="AD136" s="974"/>
      <c r="AE136" s="974"/>
      <c r="AF136" s="974"/>
      <c r="AG136" s="974"/>
      <c r="AH136" s="974"/>
      <c r="AI136" s="974"/>
      <c r="AJ136" s="974"/>
      <c r="AK136" s="974"/>
      <c r="AL136" s="974"/>
      <c r="AM136" s="974"/>
      <c r="AN136" s="974"/>
      <c r="AO136" s="974"/>
      <c r="AP136" s="974"/>
      <c r="AQ136" s="974"/>
      <c r="AR136" s="974"/>
      <c r="AS136" s="974"/>
      <c r="AT136" s="974"/>
      <c r="AU136" s="974"/>
      <c r="AV136" s="974"/>
      <c r="AW136" s="974"/>
      <c r="AX136" s="974"/>
      <c r="AY136" s="974"/>
      <c r="AZ136" s="974"/>
      <c r="BA136" s="974"/>
      <c r="BB136" s="974"/>
      <c r="BC136" s="974"/>
      <c r="BD136" s="974"/>
      <c r="BE136" s="974"/>
      <c r="BF136" s="974"/>
      <c r="BG136" s="974"/>
      <c r="BH136" s="974"/>
      <c r="BI136" s="974"/>
    </row>
    <row r="137" spans="1:61" s="183" customFormat="1" ht="12.75" x14ac:dyDescent="0.25">
      <c r="A137" s="1034"/>
      <c r="B137" s="322" t="s">
        <v>359</v>
      </c>
      <c r="C137" s="366" t="s">
        <v>20</v>
      </c>
      <c r="D137" s="366"/>
      <c r="E137" s="559">
        <v>12</v>
      </c>
      <c r="F137" s="366"/>
      <c r="G137" s="368"/>
      <c r="H137" s="1160"/>
      <c r="I137" s="368">
        <f>H137*E137</f>
        <v>0</v>
      </c>
      <c r="J137" s="367"/>
      <c r="K137" s="368"/>
      <c r="L137" s="1038">
        <f>G137+I137+K137</f>
        <v>0</v>
      </c>
      <c r="M137" s="118"/>
      <c r="N137" s="974"/>
      <c r="O137" s="974"/>
      <c r="P137" s="974"/>
      <c r="Q137" s="974"/>
      <c r="R137" s="974"/>
      <c r="S137" s="974"/>
      <c r="T137" s="974"/>
      <c r="U137" s="974"/>
      <c r="V137" s="974"/>
      <c r="W137" s="974"/>
      <c r="X137" s="974"/>
      <c r="Y137" s="974"/>
      <c r="Z137" s="974"/>
      <c r="AA137" s="974"/>
      <c r="AB137" s="974"/>
      <c r="AC137" s="974"/>
      <c r="AD137" s="974"/>
      <c r="AE137" s="974"/>
      <c r="AF137" s="974"/>
      <c r="AG137" s="974"/>
      <c r="AH137" s="974"/>
      <c r="AI137" s="974"/>
      <c r="AJ137" s="974"/>
      <c r="AK137" s="974"/>
      <c r="AL137" s="974"/>
      <c r="AM137" s="974"/>
      <c r="AN137" s="974"/>
      <c r="AO137" s="974"/>
      <c r="AP137" s="974"/>
      <c r="AQ137" s="974"/>
      <c r="AR137" s="974"/>
      <c r="AS137" s="974"/>
      <c r="AT137" s="974"/>
      <c r="AU137" s="974"/>
      <c r="AV137" s="974"/>
      <c r="AW137" s="974"/>
      <c r="AX137" s="974"/>
      <c r="AY137" s="974"/>
      <c r="AZ137" s="974"/>
      <c r="BA137" s="974"/>
      <c r="BB137" s="974"/>
      <c r="BC137" s="974"/>
      <c r="BD137" s="974"/>
      <c r="BE137" s="974"/>
      <c r="BF137" s="974"/>
      <c r="BG137" s="974"/>
      <c r="BH137" s="974"/>
      <c r="BI137" s="974"/>
    </row>
    <row r="138" spans="1:61" s="183" customFormat="1" x14ac:dyDescent="0.25">
      <c r="A138" s="1034"/>
      <c r="B138" s="322" t="s">
        <v>202</v>
      </c>
      <c r="C138" s="366" t="s">
        <v>18</v>
      </c>
      <c r="D138" s="368">
        <f>7.6</f>
        <v>7.6</v>
      </c>
      <c r="E138" s="368">
        <f>E133*D138</f>
        <v>6.9598975999999997</v>
      </c>
      <c r="F138" s="366"/>
      <c r="G138" s="368"/>
      <c r="H138" s="1128"/>
      <c r="I138" s="368">
        <f>H138*E138</f>
        <v>0</v>
      </c>
      <c r="J138" s="367"/>
      <c r="K138" s="368"/>
      <c r="L138" s="1038">
        <f>G138+I138+K138</f>
        <v>0</v>
      </c>
      <c r="M138" s="118"/>
      <c r="N138" s="974"/>
      <c r="O138" s="974"/>
      <c r="P138" s="974"/>
      <c r="Q138" s="974"/>
      <c r="R138" s="974"/>
      <c r="S138" s="974"/>
      <c r="T138" s="974"/>
      <c r="U138" s="974"/>
      <c r="V138" s="974"/>
      <c r="W138" s="974"/>
      <c r="X138" s="974"/>
      <c r="Y138" s="974"/>
      <c r="Z138" s="974"/>
      <c r="AA138" s="974"/>
      <c r="AB138" s="974"/>
      <c r="AC138" s="974"/>
      <c r="AD138" s="974"/>
      <c r="AE138" s="974"/>
      <c r="AF138" s="974"/>
      <c r="AG138" s="974"/>
      <c r="AH138" s="974"/>
      <c r="AI138" s="974"/>
      <c r="AJ138" s="974"/>
      <c r="AK138" s="974"/>
      <c r="AL138" s="974"/>
      <c r="AM138" s="974"/>
      <c r="AN138" s="974"/>
      <c r="AO138" s="974"/>
      <c r="AP138" s="974"/>
      <c r="AQ138" s="974"/>
      <c r="AR138" s="974"/>
      <c r="AS138" s="974"/>
      <c r="AT138" s="974"/>
      <c r="AU138" s="974"/>
      <c r="AV138" s="974"/>
      <c r="AW138" s="974"/>
      <c r="AX138" s="974"/>
      <c r="AY138" s="974"/>
      <c r="AZ138" s="974"/>
      <c r="BA138" s="974"/>
      <c r="BB138" s="974"/>
      <c r="BC138" s="974"/>
      <c r="BD138" s="974"/>
      <c r="BE138" s="974"/>
      <c r="BF138" s="974"/>
      <c r="BG138" s="974"/>
      <c r="BH138" s="974"/>
      <c r="BI138" s="974"/>
    </row>
    <row r="139" spans="1:61" s="166" customFormat="1" ht="15" x14ac:dyDescent="0.25">
      <c r="A139" s="504"/>
      <c r="B139" s="723" t="s">
        <v>298</v>
      </c>
      <c r="C139" s="179" t="s">
        <v>172</v>
      </c>
      <c r="D139" s="73"/>
      <c r="E139" s="198">
        <f>(0.6*24)/1000</f>
        <v>1.4399999999999998E-2</v>
      </c>
      <c r="F139" s="73"/>
      <c r="G139" s="73"/>
      <c r="H139" s="1121"/>
      <c r="I139" s="73">
        <f t="shared" si="9"/>
        <v>0</v>
      </c>
      <c r="J139" s="73"/>
      <c r="K139" s="73"/>
      <c r="L139" s="505">
        <f t="shared" si="8"/>
        <v>0</v>
      </c>
      <c r="M139" s="986"/>
      <c r="N139" s="986"/>
      <c r="O139" s="986"/>
      <c r="P139" s="986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</row>
    <row r="140" spans="1:61" s="166" customFormat="1" ht="15" x14ac:dyDescent="0.25">
      <c r="A140" s="504"/>
      <c r="B140" s="72" t="s">
        <v>118</v>
      </c>
      <c r="C140" s="70" t="s">
        <v>18</v>
      </c>
      <c r="D140" s="73">
        <v>3.3</v>
      </c>
      <c r="E140" s="73">
        <f>D140*E133</f>
        <v>3.0220607999999998</v>
      </c>
      <c r="F140" s="73"/>
      <c r="G140" s="73"/>
      <c r="H140" s="1124"/>
      <c r="I140" s="73">
        <f t="shared" si="9"/>
        <v>0</v>
      </c>
      <c r="J140" s="73"/>
      <c r="K140" s="73"/>
      <c r="L140" s="505">
        <f t="shared" si="8"/>
        <v>0</v>
      </c>
      <c r="M140" s="986"/>
      <c r="N140" s="986"/>
      <c r="O140" s="986"/>
      <c r="P140" s="986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</row>
    <row r="141" spans="1:61" s="166" customFormat="1" ht="15" x14ac:dyDescent="0.25">
      <c r="A141" s="504"/>
      <c r="B141" s="72" t="s">
        <v>123</v>
      </c>
      <c r="C141" s="70" t="s">
        <v>33</v>
      </c>
      <c r="D141" s="73">
        <v>2.78</v>
      </c>
      <c r="E141" s="73">
        <f>E133*D141</f>
        <v>2.5458572799999999</v>
      </c>
      <c r="F141" s="73"/>
      <c r="G141" s="73"/>
      <c r="H141" s="63"/>
      <c r="I141" s="73"/>
      <c r="J141" s="953"/>
      <c r="K141" s="73">
        <f>J141*E141</f>
        <v>0</v>
      </c>
      <c r="L141" s="505">
        <f t="shared" si="8"/>
        <v>0</v>
      </c>
      <c r="M141" s="986"/>
      <c r="N141" s="986"/>
      <c r="O141" s="986"/>
      <c r="P141" s="986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</row>
    <row r="142" spans="1:61" s="345" customFormat="1" ht="27" customHeight="1" x14ac:dyDescent="0.25">
      <c r="A142" s="590">
        <v>4</v>
      </c>
      <c r="B142" s="174" t="s">
        <v>160</v>
      </c>
      <c r="C142" s="173" t="s">
        <v>17</v>
      </c>
      <c r="D142" s="173"/>
      <c r="E142" s="175">
        <f>0.1*4*7*12</f>
        <v>33.6</v>
      </c>
      <c r="F142" s="63"/>
      <c r="G142" s="63"/>
      <c r="H142" s="63"/>
      <c r="I142" s="63"/>
      <c r="J142" s="63"/>
      <c r="K142" s="63"/>
      <c r="L142" s="611"/>
      <c r="M142" s="977"/>
      <c r="N142" s="977"/>
      <c r="O142" s="977"/>
      <c r="P142" s="977"/>
      <c r="Q142" s="977"/>
      <c r="R142" s="977"/>
      <c r="S142" s="977"/>
      <c r="T142" s="977"/>
      <c r="U142" s="977"/>
      <c r="V142" s="977"/>
      <c r="W142" s="977"/>
      <c r="X142" s="977"/>
      <c r="Y142" s="977"/>
      <c r="Z142" s="977"/>
      <c r="AA142" s="977"/>
      <c r="AB142" s="977"/>
      <c r="AC142" s="977"/>
      <c r="AD142" s="977"/>
      <c r="AE142" s="977"/>
      <c r="AF142" s="977"/>
      <c r="AG142" s="977"/>
      <c r="AH142" s="977"/>
      <c r="AI142" s="977"/>
      <c r="AJ142" s="977"/>
      <c r="AK142" s="977"/>
      <c r="AL142" s="977"/>
      <c r="AM142" s="977"/>
      <c r="AN142" s="977"/>
      <c r="AO142" s="977"/>
      <c r="AP142" s="977"/>
      <c r="AQ142" s="977"/>
      <c r="AR142" s="977"/>
      <c r="AS142" s="977"/>
      <c r="AT142" s="977"/>
      <c r="AU142" s="977"/>
      <c r="AV142" s="977"/>
      <c r="AW142" s="977"/>
      <c r="AX142" s="977"/>
      <c r="AY142" s="977"/>
      <c r="AZ142" s="977"/>
      <c r="BA142" s="977"/>
      <c r="BB142" s="977"/>
      <c r="BC142" s="977"/>
      <c r="BD142" s="977"/>
      <c r="BE142" s="977"/>
      <c r="BF142" s="977"/>
      <c r="BG142" s="977"/>
      <c r="BH142" s="977"/>
      <c r="BI142" s="977"/>
    </row>
    <row r="143" spans="1:61" s="71" customFormat="1" ht="12.75" x14ac:dyDescent="0.25">
      <c r="A143" s="504"/>
      <c r="B143" s="72" t="s">
        <v>27</v>
      </c>
      <c r="C143" s="70" t="s">
        <v>28</v>
      </c>
      <c r="D143" s="70">
        <v>0.68</v>
      </c>
      <c r="E143" s="73">
        <f>E142*D143</f>
        <v>22.848000000000003</v>
      </c>
      <c r="F143" s="1166"/>
      <c r="G143" s="73">
        <f>E143*F143</f>
        <v>0</v>
      </c>
      <c r="H143" s="63"/>
      <c r="I143" s="73"/>
      <c r="J143" s="73"/>
      <c r="K143" s="73"/>
      <c r="L143" s="505">
        <f>K143+I143+G143</f>
        <v>0</v>
      </c>
      <c r="M143" s="496"/>
      <c r="N143" s="496"/>
      <c r="O143" s="496"/>
      <c r="P143" s="496"/>
      <c r="Q143" s="496"/>
      <c r="R143" s="496"/>
      <c r="S143" s="496"/>
      <c r="T143" s="496"/>
      <c r="U143" s="496"/>
      <c r="V143" s="496"/>
      <c r="W143" s="496"/>
      <c r="X143" s="496"/>
      <c r="Y143" s="496"/>
      <c r="Z143" s="496"/>
      <c r="AA143" s="496"/>
      <c r="AB143" s="496"/>
      <c r="AC143" s="496"/>
      <c r="AD143" s="496"/>
      <c r="AE143" s="496"/>
      <c r="AF143" s="496"/>
      <c r="AG143" s="496"/>
      <c r="AH143" s="496"/>
      <c r="AI143" s="496"/>
      <c r="AJ143" s="496"/>
      <c r="AK143" s="496"/>
      <c r="AL143" s="496"/>
      <c r="AM143" s="496"/>
      <c r="AN143" s="496"/>
      <c r="AO143" s="496"/>
      <c r="AP143" s="496"/>
      <c r="AQ143" s="496"/>
      <c r="AR143" s="496"/>
      <c r="AS143" s="496"/>
      <c r="AT143" s="496"/>
      <c r="AU143" s="496"/>
      <c r="AV143" s="496"/>
      <c r="AW143" s="496"/>
      <c r="AX143" s="496"/>
      <c r="AY143" s="496"/>
      <c r="AZ143" s="496"/>
      <c r="BA143" s="496"/>
      <c r="BB143" s="496"/>
      <c r="BC143" s="496"/>
      <c r="BD143" s="496"/>
      <c r="BE143" s="496"/>
      <c r="BF143" s="496"/>
      <c r="BG143" s="496"/>
      <c r="BH143" s="496"/>
      <c r="BI143" s="496"/>
    </row>
    <row r="144" spans="1:61" s="71" customFormat="1" ht="12.75" x14ac:dyDescent="0.25">
      <c r="A144" s="504"/>
      <c r="B144" s="72" t="s">
        <v>30</v>
      </c>
      <c r="C144" s="70" t="s">
        <v>33</v>
      </c>
      <c r="D144" s="70">
        <v>2.9999999999999997E-4</v>
      </c>
      <c r="E144" s="73">
        <f>D144*E142</f>
        <v>1.0079999999999999E-2</v>
      </c>
      <c r="F144" s="73"/>
      <c r="G144" s="73"/>
      <c r="H144" s="63"/>
      <c r="I144" s="73"/>
      <c r="J144" s="953"/>
      <c r="K144" s="73">
        <f>J144*E144</f>
        <v>0</v>
      </c>
      <c r="L144" s="505">
        <f>K144+I144+G144</f>
        <v>0</v>
      </c>
      <c r="M144" s="496"/>
      <c r="N144" s="496"/>
      <c r="O144" s="496"/>
      <c r="P144" s="496"/>
      <c r="Q144" s="496"/>
      <c r="R144" s="496"/>
      <c r="S144" s="496"/>
      <c r="T144" s="496"/>
      <c r="U144" s="496"/>
      <c r="V144" s="496"/>
      <c r="W144" s="496"/>
      <c r="X144" s="496"/>
      <c r="Y144" s="496"/>
      <c r="Z144" s="496"/>
      <c r="AA144" s="496"/>
      <c r="AB144" s="496"/>
      <c r="AC144" s="496"/>
      <c r="AD144" s="496"/>
      <c r="AE144" s="496"/>
      <c r="AF144" s="496"/>
      <c r="AG144" s="496"/>
      <c r="AH144" s="496"/>
      <c r="AI144" s="496"/>
      <c r="AJ144" s="496"/>
      <c r="AK144" s="496"/>
      <c r="AL144" s="496"/>
      <c r="AM144" s="496"/>
      <c r="AN144" s="496"/>
      <c r="AO144" s="496"/>
      <c r="AP144" s="496"/>
      <c r="AQ144" s="496"/>
      <c r="AR144" s="496"/>
      <c r="AS144" s="496"/>
      <c r="AT144" s="496"/>
      <c r="AU144" s="496"/>
      <c r="AV144" s="496"/>
      <c r="AW144" s="496"/>
      <c r="AX144" s="496"/>
      <c r="AY144" s="496"/>
      <c r="AZ144" s="496"/>
      <c r="BA144" s="496"/>
      <c r="BB144" s="496"/>
      <c r="BC144" s="496"/>
      <c r="BD144" s="496"/>
      <c r="BE144" s="496"/>
      <c r="BF144" s="496"/>
      <c r="BG144" s="496"/>
      <c r="BH144" s="496"/>
      <c r="BI144" s="496"/>
    </row>
    <row r="145" spans="1:252" s="71" customFormat="1" x14ac:dyDescent="0.25">
      <c r="A145" s="504"/>
      <c r="B145" s="39" t="s">
        <v>311</v>
      </c>
      <c r="C145" s="70" t="s">
        <v>18</v>
      </c>
      <c r="D145" s="70">
        <v>0.246</v>
      </c>
      <c r="E145" s="73">
        <f>D146*E142</f>
        <v>0.90720000000000001</v>
      </c>
      <c r="F145" s="73"/>
      <c r="G145" s="73"/>
      <c r="H145" s="1120"/>
      <c r="I145" s="73">
        <f>H145*E145</f>
        <v>0</v>
      </c>
      <c r="J145" s="73"/>
      <c r="K145" s="73"/>
      <c r="L145" s="505">
        <f>K145+I145+G145</f>
        <v>0</v>
      </c>
      <c r="M145" s="496"/>
      <c r="N145" s="496"/>
      <c r="O145" s="496"/>
      <c r="P145" s="496"/>
      <c r="Q145" s="496"/>
      <c r="R145" s="496"/>
      <c r="S145" s="496"/>
      <c r="T145" s="496"/>
      <c r="U145" s="496"/>
      <c r="V145" s="496"/>
      <c r="W145" s="496"/>
      <c r="X145" s="496"/>
      <c r="Y145" s="496"/>
      <c r="Z145" s="496"/>
      <c r="AA145" s="496"/>
      <c r="AB145" s="496"/>
      <c r="AC145" s="496"/>
      <c r="AD145" s="496"/>
      <c r="AE145" s="496"/>
      <c r="AF145" s="496"/>
      <c r="AG145" s="496"/>
      <c r="AH145" s="496"/>
      <c r="AI145" s="496"/>
      <c r="AJ145" s="496"/>
      <c r="AK145" s="496"/>
      <c r="AL145" s="496"/>
      <c r="AM145" s="496"/>
      <c r="AN145" s="496"/>
      <c r="AO145" s="496"/>
      <c r="AP145" s="496"/>
      <c r="AQ145" s="496"/>
      <c r="AR145" s="496"/>
      <c r="AS145" s="496"/>
      <c r="AT145" s="496"/>
      <c r="AU145" s="496"/>
      <c r="AV145" s="496"/>
      <c r="AW145" s="496"/>
      <c r="AX145" s="496"/>
      <c r="AY145" s="496"/>
      <c r="AZ145" s="496"/>
      <c r="BA145" s="496"/>
      <c r="BB145" s="496"/>
      <c r="BC145" s="496"/>
      <c r="BD145" s="496"/>
      <c r="BE145" s="496"/>
      <c r="BF145" s="496"/>
      <c r="BG145" s="496"/>
      <c r="BH145" s="496"/>
      <c r="BI145" s="496"/>
    </row>
    <row r="146" spans="1:252" s="71" customFormat="1" x14ac:dyDescent="0.25">
      <c r="A146" s="504"/>
      <c r="B146" s="39" t="s">
        <v>168</v>
      </c>
      <c r="C146" s="70" t="s">
        <v>98</v>
      </c>
      <c r="D146" s="73">
        <v>2.7E-2</v>
      </c>
      <c r="E146" s="178">
        <f>E142*D146</f>
        <v>0.90720000000000001</v>
      </c>
      <c r="F146" s="73"/>
      <c r="G146" s="73"/>
      <c r="H146" s="1120"/>
      <c r="I146" s="73">
        <f>H146*E146</f>
        <v>0</v>
      </c>
      <c r="J146" s="73"/>
      <c r="K146" s="73"/>
      <c r="L146" s="505">
        <f>K146+I146+G146</f>
        <v>0</v>
      </c>
      <c r="M146" s="496"/>
      <c r="N146" s="496"/>
      <c r="O146" s="496"/>
      <c r="P146" s="496"/>
      <c r="Q146" s="496"/>
      <c r="R146" s="496"/>
      <c r="S146" s="496"/>
      <c r="T146" s="496"/>
      <c r="U146" s="496"/>
      <c r="V146" s="496"/>
      <c r="W146" s="496"/>
      <c r="X146" s="496"/>
      <c r="Y146" s="496"/>
      <c r="Z146" s="496"/>
      <c r="AA146" s="496"/>
      <c r="AB146" s="496"/>
      <c r="AC146" s="496"/>
      <c r="AD146" s="496"/>
      <c r="AE146" s="496"/>
      <c r="AF146" s="496"/>
      <c r="AG146" s="496"/>
      <c r="AH146" s="496"/>
      <c r="AI146" s="496"/>
      <c r="AJ146" s="496"/>
      <c r="AK146" s="496"/>
      <c r="AL146" s="496"/>
      <c r="AM146" s="496"/>
      <c r="AN146" s="496"/>
      <c r="AO146" s="496"/>
      <c r="AP146" s="496"/>
      <c r="AQ146" s="496"/>
      <c r="AR146" s="496"/>
      <c r="AS146" s="496"/>
      <c r="AT146" s="496"/>
      <c r="AU146" s="496"/>
      <c r="AV146" s="496"/>
      <c r="AW146" s="496"/>
      <c r="AX146" s="496"/>
      <c r="AY146" s="496"/>
      <c r="AZ146" s="496"/>
      <c r="BA146" s="496"/>
      <c r="BB146" s="496"/>
      <c r="BC146" s="496"/>
      <c r="BD146" s="496"/>
      <c r="BE146" s="496"/>
      <c r="BF146" s="496"/>
      <c r="BG146" s="496"/>
      <c r="BH146" s="496"/>
      <c r="BI146" s="496"/>
    </row>
    <row r="147" spans="1:252" s="71" customFormat="1" thickBot="1" x14ac:dyDescent="0.3">
      <c r="A147" s="612"/>
      <c r="B147" s="613" t="s">
        <v>16</v>
      </c>
      <c r="C147" s="539" t="s">
        <v>33</v>
      </c>
      <c r="D147" s="539">
        <v>1.9E-3</v>
      </c>
      <c r="E147" s="614">
        <f>E142*D147</f>
        <v>6.3840000000000008E-2</v>
      </c>
      <c r="F147" s="614"/>
      <c r="G147" s="614"/>
      <c r="H147" s="1188"/>
      <c r="I147" s="614">
        <f>H147*E147</f>
        <v>0</v>
      </c>
      <c r="J147" s="614"/>
      <c r="K147" s="614"/>
      <c r="L147" s="615">
        <f>K147+I147+G147</f>
        <v>0</v>
      </c>
      <c r="M147" s="496"/>
      <c r="N147" s="496"/>
      <c r="O147" s="496"/>
      <c r="P147" s="496"/>
      <c r="Q147" s="496"/>
      <c r="R147" s="496"/>
      <c r="S147" s="496"/>
      <c r="T147" s="496"/>
      <c r="U147" s="496"/>
      <c r="V147" s="496"/>
      <c r="W147" s="496"/>
      <c r="X147" s="496"/>
      <c r="Y147" s="496"/>
      <c r="Z147" s="496"/>
      <c r="AA147" s="496"/>
      <c r="AB147" s="496"/>
      <c r="AC147" s="496"/>
      <c r="AD147" s="496"/>
      <c r="AE147" s="496"/>
      <c r="AF147" s="496"/>
      <c r="AG147" s="496"/>
      <c r="AH147" s="496"/>
      <c r="AI147" s="496"/>
      <c r="AJ147" s="496"/>
      <c r="AK147" s="496"/>
      <c r="AL147" s="496"/>
      <c r="AM147" s="496"/>
      <c r="AN147" s="496"/>
      <c r="AO147" s="496"/>
      <c r="AP147" s="496"/>
      <c r="AQ147" s="496"/>
      <c r="AR147" s="496"/>
      <c r="AS147" s="496"/>
      <c r="AT147" s="496"/>
      <c r="AU147" s="496"/>
      <c r="AV147" s="496"/>
      <c r="AW147" s="496"/>
      <c r="AX147" s="496"/>
      <c r="AY147" s="496"/>
      <c r="AZ147" s="496"/>
      <c r="BA147" s="496"/>
      <c r="BB147" s="496"/>
      <c r="BC147" s="496"/>
      <c r="BD147" s="496"/>
      <c r="BE147" s="496"/>
      <c r="BF147" s="496"/>
      <c r="BG147" s="496"/>
      <c r="BH147" s="496"/>
      <c r="BI147" s="496"/>
    </row>
    <row r="148" spans="1:252" s="732" customFormat="1" ht="18.75" customHeight="1" x14ac:dyDescent="0.25">
      <c r="A148" s="726"/>
      <c r="B148" s="728" t="s">
        <v>360</v>
      </c>
      <c r="C148" s="729"/>
      <c r="D148" s="729"/>
      <c r="E148" s="727"/>
      <c r="F148" s="727"/>
      <c r="G148" s="730"/>
      <c r="H148" s="727"/>
      <c r="I148" s="730"/>
      <c r="J148" s="727"/>
      <c r="K148" s="730"/>
      <c r="L148" s="731"/>
      <c r="M148" s="978"/>
      <c r="N148" s="978"/>
      <c r="O148" s="978"/>
      <c r="P148" s="978"/>
      <c r="Q148" s="978"/>
      <c r="R148" s="978"/>
      <c r="S148" s="978"/>
      <c r="T148" s="978"/>
      <c r="U148" s="978"/>
      <c r="V148" s="978"/>
      <c r="W148" s="978"/>
      <c r="X148" s="978"/>
      <c r="Y148" s="978"/>
      <c r="Z148" s="978"/>
      <c r="AA148" s="978"/>
      <c r="AB148" s="978"/>
      <c r="AC148" s="978"/>
      <c r="AD148" s="978"/>
      <c r="AE148" s="978"/>
      <c r="AF148" s="978"/>
      <c r="AG148" s="978"/>
      <c r="AH148" s="978"/>
      <c r="AI148" s="978"/>
      <c r="AJ148" s="978"/>
      <c r="AK148" s="978"/>
      <c r="AL148" s="978"/>
      <c r="AM148" s="978"/>
      <c r="AN148" s="978"/>
      <c r="AO148" s="978"/>
      <c r="AP148" s="978"/>
      <c r="AQ148" s="978"/>
      <c r="AR148" s="978"/>
      <c r="AS148" s="978"/>
      <c r="AT148" s="978"/>
      <c r="AU148" s="978"/>
      <c r="AV148" s="978"/>
      <c r="AW148" s="978"/>
      <c r="AX148" s="978"/>
      <c r="AY148" s="978"/>
      <c r="AZ148" s="978"/>
      <c r="BA148" s="978"/>
      <c r="BB148" s="978"/>
      <c r="BC148" s="978"/>
      <c r="BD148" s="978"/>
      <c r="BE148" s="978"/>
      <c r="BF148" s="978"/>
      <c r="BG148" s="978"/>
      <c r="BH148" s="978"/>
      <c r="BI148" s="978"/>
    </row>
    <row r="149" spans="1:252" s="563" customFormat="1" ht="30" customHeight="1" x14ac:dyDescent="0.25">
      <c r="A149" s="588">
        <v>1</v>
      </c>
      <c r="B149" s="283" t="s">
        <v>322</v>
      </c>
      <c r="C149" s="560" t="s">
        <v>234</v>
      </c>
      <c r="D149" s="561"/>
      <c r="E149" s="561">
        <f>200*0.5*0.5*0.6</f>
        <v>30</v>
      </c>
      <c r="F149" s="561"/>
      <c r="G149" s="561"/>
      <c r="H149" s="561"/>
      <c r="I149" s="561"/>
      <c r="J149" s="561"/>
      <c r="K149" s="561"/>
      <c r="L149" s="604"/>
      <c r="M149" s="979"/>
      <c r="N149" s="979"/>
      <c r="O149" s="979"/>
      <c r="P149" s="979"/>
      <c r="Q149" s="979"/>
      <c r="R149" s="979"/>
      <c r="S149" s="979"/>
      <c r="T149" s="979"/>
      <c r="U149" s="979"/>
      <c r="V149" s="979"/>
      <c r="W149" s="979"/>
      <c r="X149" s="979"/>
      <c r="Y149" s="979"/>
      <c r="Z149" s="979"/>
      <c r="AA149" s="979"/>
      <c r="AB149" s="979"/>
      <c r="AC149" s="979"/>
      <c r="AD149" s="979"/>
      <c r="AE149" s="979"/>
      <c r="AF149" s="979"/>
      <c r="AG149" s="979"/>
      <c r="AH149" s="979"/>
      <c r="AI149" s="979"/>
      <c r="AJ149" s="979"/>
      <c r="AK149" s="979"/>
      <c r="AL149" s="979"/>
      <c r="AM149" s="979"/>
      <c r="AN149" s="979"/>
      <c r="AO149" s="979"/>
      <c r="AP149" s="979"/>
      <c r="AQ149" s="979"/>
      <c r="AR149" s="979"/>
      <c r="AS149" s="979"/>
      <c r="AT149" s="979"/>
      <c r="AU149" s="979"/>
      <c r="AV149" s="979"/>
      <c r="AW149" s="979"/>
      <c r="AX149" s="979"/>
      <c r="AY149" s="979"/>
      <c r="AZ149" s="979"/>
      <c r="BA149" s="979"/>
      <c r="BB149" s="979"/>
      <c r="BC149" s="979"/>
      <c r="BD149" s="979"/>
      <c r="BE149" s="979"/>
      <c r="BF149" s="979"/>
      <c r="BG149" s="979"/>
      <c r="BH149" s="979"/>
      <c r="BI149" s="979"/>
      <c r="BJ149" s="562"/>
      <c r="BK149" s="562"/>
      <c r="BL149" s="562"/>
      <c r="BM149" s="562"/>
      <c r="BN149" s="562"/>
      <c r="BO149" s="562"/>
      <c r="BP149" s="562"/>
      <c r="BQ149" s="562"/>
      <c r="BR149" s="562"/>
      <c r="BS149" s="562"/>
      <c r="BT149" s="562"/>
      <c r="BU149" s="562"/>
      <c r="BV149" s="562"/>
      <c r="BW149" s="562"/>
      <c r="BX149" s="562"/>
      <c r="BY149" s="562"/>
      <c r="BZ149" s="562"/>
      <c r="CA149" s="562"/>
      <c r="CB149" s="562"/>
      <c r="CC149" s="562"/>
      <c r="CD149" s="562"/>
      <c r="CE149" s="562"/>
      <c r="CF149" s="562"/>
      <c r="CG149" s="562"/>
      <c r="CH149" s="562"/>
      <c r="CI149" s="562"/>
      <c r="CJ149" s="562"/>
      <c r="CK149" s="562"/>
      <c r="CL149" s="562"/>
      <c r="CM149" s="562"/>
      <c r="CN149" s="562"/>
      <c r="CO149" s="562"/>
      <c r="CP149" s="562"/>
      <c r="CQ149" s="562"/>
      <c r="CR149" s="562"/>
      <c r="CS149" s="562"/>
      <c r="CT149" s="562"/>
      <c r="CU149" s="562"/>
      <c r="CV149" s="562"/>
      <c r="CW149" s="562"/>
      <c r="CX149" s="562"/>
      <c r="CY149" s="562"/>
      <c r="CZ149" s="562"/>
      <c r="DA149" s="562"/>
      <c r="DB149" s="562"/>
      <c r="DC149" s="562"/>
      <c r="DD149" s="562"/>
      <c r="DE149" s="562"/>
      <c r="DF149" s="562"/>
      <c r="DG149" s="562"/>
      <c r="DH149" s="562"/>
      <c r="DI149" s="562"/>
      <c r="DJ149" s="562"/>
      <c r="DK149" s="562"/>
      <c r="DL149" s="562"/>
      <c r="DM149" s="562"/>
      <c r="DN149" s="562"/>
      <c r="DO149" s="562"/>
      <c r="DP149" s="562"/>
      <c r="DQ149" s="562"/>
      <c r="DR149" s="562"/>
      <c r="DS149" s="562"/>
      <c r="DT149" s="562"/>
      <c r="DU149" s="562"/>
      <c r="DV149" s="562"/>
      <c r="DW149" s="562"/>
      <c r="DX149" s="562"/>
      <c r="DY149" s="562"/>
      <c r="DZ149" s="562"/>
      <c r="EA149" s="562"/>
      <c r="EB149" s="562"/>
      <c r="EC149" s="562"/>
      <c r="ED149" s="562"/>
      <c r="EE149" s="562"/>
      <c r="EF149" s="562"/>
      <c r="EG149" s="562"/>
      <c r="EH149" s="562"/>
      <c r="EI149" s="562"/>
      <c r="EJ149" s="562"/>
      <c r="EK149" s="562"/>
      <c r="EL149" s="562"/>
      <c r="EM149" s="562"/>
      <c r="EN149" s="562"/>
      <c r="EO149" s="562"/>
      <c r="EP149" s="562"/>
      <c r="EQ149" s="562"/>
      <c r="ER149" s="562"/>
      <c r="ES149" s="562"/>
      <c r="ET149" s="562"/>
      <c r="EU149" s="562"/>
      <c r="EV149" s="562"/>
      <c r="EW149" s="562"/>
      <c r="EX149" s="562"/>
      <c r="EY149" s="562"/>
      <c r="EZ149" s="562"/>
      <c r="FA149" s="562"/>
      <c r="FB149" s="562"/>
      <c r="FC149" s="562"/>
      <c r="FD149" s="562"/>
      <c r="FE149" s="562"/>
      <c r="FF149" s="562"/>
      <c r="FG149" s="562"/>
      <c r="FH149" s="562"/>
      <c r="FI149" s="562"/>
      <c r="FJ149" s="562"/>
      <c r="FK149" s="562"/>
      <c r="FL149" s="562"/>
      <c r="FM149" s="562"/>
      <c r="FN149" s="562"/>
      <c r="FO149" s="562"/>
      <c r="FP149" s="562"/>
      <c r="FQ149" s="562"/>
      <c r="FR149" s="562"/>
      <c r="FS149" s="562"/>
      <c r="FT149" s="562"/>
      <c r="FU149" s="562"/>
      <c r="FV149" s="562"/>
      <c r="FW149" s="562"/>
      <c r="FX149" s="562"/>
      <c r="FY149" s="562"/>
      <c r="FZ149" s="562"/>
      <c r="GA149" s="562"/>
      <c r="GB149" s="562"/>
      <c r="GC149" s="562"/>
      <c r="GD149" s="562"/>
      <c r="GE149" s="562"/>
      <c r="GF149" s="562"/>
      <c r="GG149" s="562"/>
      <c r="GH149" s="562"/>
      <c r="GI149" s="562"/>
      <c r="GJ149" s="562"/>
      <c r="GK149" s="562"/>
      <c r="GL149" s="562"/>
      <c r="GM149" s="562"/>
      <c r="GN149" s="562"/>
      <c r="GO149" s="562"/>
      <c r="GP149" s="562"/>
      <c r="GQ149" s="562"/>
      <c r="GR149" s="562"/>
      <c r="GS149" s="562"/>
      <c r="GT149" s="562"/>
      <c r="GU149" s="562"/>
      <c r="GV149" s="562"/>
      <c r="GW149" s="562"/>
      <c r="GX149" s="562"/>
      <c r="GY149" s="562"/>
      <c r="GZ149" s="562"/>
      <c r="HA149" s="562"/>
      <c r="HB149" s="562"/>
      <c r="HC149" s="562"/>
      <c r="HD149" s="562"/>
      <c r="HE149" s="562"/>
      <c r="HF149" s="562"/>
      <c r="HG149" s="562"/>
      <c r="HH149" s="562"/>
      <c r="HI149" s="562"/>
      <c r="HJ149" s="562"/>
      <c r="HK149" s="562"/>
      <c r="HL149" s="562"/>
      <c r="HM149" s="562"/>
      <c r="HN149" s="562"/>
      <c r="HO149" s="562"/>
      <c r="HP149" s="562"/>
      <c r="HQ149" s="562"/>
      <c r="HR149" s="562"/>
      <c r="HS149" s="562"/>
      <c r="HT149" s="562"/>
      <c r="HU149" s="562"/>
      <c r="HV149" s="562"/>
      <c r="HW149" s="562"/>
      <c r="HX149" s="562"/>
      <c r="HY149" s="562"/>
      <c r="HZ149" s="562"/>
      <c r="IA149" s="562"/>
      <c r="IB149" s="562"/>
      <c r="IC149" s="562"/>
      <c r="ID149" s="562"/>
      <c r="IE149" s="562"/>
      <c r="IF149" s="562"/>
      <c r="IG149" s="562"/>
      <c r="IH149" s="562"/>
      <c r="II149" s="562"/>
      <c r="IJ149" s="562"/>
      <c r="IK149" s="562"/>
      <c r="IL149" s="562"/>
      <c r="IM149" s="562"/>
      <c r="IN149" s="562"/>
      <c r="IO149" s="562"/>
      <c r="IP149" s="562"/>
      <c r="IQ149" s="562"/>
    </row>
    <row r="150" spans="1:252" s="563" customFormat="1" ht="15" customHeight="1" x14ac:dyDescent="0.25">
      <c r="A150" s="589"/>
      <c r="B150" s="564" t="s">
        <v>214</v>
      </c>
      <c r="C150" s="565" t="s">
        <v>28</v>
      </c>
      <c r="D150" s="565">
        <v>1.54E-2</v>
      </c>
      <c r="E150" s="566">
        <f>D150*E149</f>
        <v>0.46200000000000002</v>
      </c>
      <c r="F150" s="1179"/>
      <c r="G150" s="566">
        <f>F150*E150</f>
        <v>0</v>
      </c>
      <c r="H150" s="567"/>
      <c r="I150" s="567"/>
      <c r="J150" s="566"/>
      <c r="K150" s="566"/>
      <c r="L150" s="605">
        <f>K150+I150+G150</f>
        <v>0</v>
      </c>
      <c r="M150" s="979"/>
      <c r="N150" s="979"/>
      <c r="O150" s="979"/>
      <c r="P150" s="979"/>
      <c r="Q150" s="979"/>
      <c r="R150" s="979"/>
      <c r="S150" s="979"/>
      <c r="T150" s="979"/>
      <c r="U150" s="979"/>
      <c r="V150" s="979"/>
      <c r="W150" s="979"/>
      <c r="X150" s="979"/>
      <c r="Y150" s="979"/>
      <c r="Z150" s="979"/>
      <c r="AA150" s="979"/>
      <c r="AB150" s="979"/>
      <c r="AC150" s="979"/>
      <c r="AD150" s="979"/>
      <c r="AE150" s="979"/>
      <c r="AF150" s="979"/>
      <c r="AG150" s="979"/>
      <c r="AH150" s="979"/>
      <c r="AI150" s="979"/>
      <c r="AJ150" s="979"/>
      <c r="AK150" s="979"/>
      <c r="AL150" s="979"/>
      <c r="AM150" s="979"/>
      <c r="AN150" s="979"/>
      <c r="AO150" s="979"/>
      <c r="AP150" s="979"/>
      <c r="AQ150" s="979"/>
      <c r="AR150" s="979"/>
      <c r="AS150" s="979"/>
      <c r="AT150" s="979"/>
      <c r="AU150" s="979"/>
      <c r="AV150" s="979"/>
      <c r="AW150" s="979"/>
      <c r="AX150" s="979"/>
      <c r="AY150" s="979"/>
      <c r="AZ150" s="979"/>
      <c r="BA150" s="979"/>
      <c r="BB150" s="979"/>
      <c r="BC150" s="979"/>
      <c r="BD150" s="979"/>
      <c r="BE150" s="979"/>
      <c r="BF150" s="979"/>
      <c r="BG150" s="979"/>
      <c r="BH150" s="979"/>
      <c r="BI150" s="979"/>
      <c r="BJ150" s="562"/>
      <c r="BK150" s="562"/>
      <c r="BL150" s="562"/>
      <c r="BM150" s="562"/>
      <c r="BN150" s="562"/>
      <c r="BO150" s="562"/>
      <c r="BP150" s="562"/>
      <c r="BQ150" s="562"/>
      <c r="BR150" s="562"/>
      <c r="BS150" s="562"/>
      <c r="BT150" s="562"/>
      <c r="BU150" s="562"/>
      <c r="BV150" s="562"/>
      <c r="BW150" s="562"/>
      <c r="BX150" s="562"/>
      <c r="BY150" s="562"/>
      <c r="BZ150" s="562"/>
      <c r="CA150" s="562"/>
      <c r="CB150" s="562"/>
      <c r="CC150" s="562"/>
      <c r="CD150" s="562"/>
      <c r="CE150" s="562"/>
      <c r="CF150" s="562"/>
      <c r="CG150" s="562"/>
      <c r="CH150" s="562"/>
      <c r="CI150" s="562"/>
      <c r="CJ150" s="562"/>
      <c r="CK150" s="562"/>
      <c r="CL150" s="562"/>
      <c r="CM150" s="562"/>
      <c r="CN150" s="562"/>
      <c r="CO150" s="562"/>
      <c r="CP150" s="562"/>
      <c r="CQ150" s="562"/>
      <c r="CR150" s="562"/>
      <c r="CS150" s="562"/>
      <c r="CT150" s="562"/>
      <c r="CU150" s="562"/>
      <c r="CV150" s="562"/>
      <c r="CW150" s="562"/>
      <c r="CX150" s="562"/>
      <c r="CY150" s="562"/>
      <c r="CZ150" s="562"/>
      <c r="DA150" s="562"/>
      <c r="DB150" s="562"/>
      <c r="DC150" s="562"/>
      <c r="DD150" s="562"/>
      <c r="DE150" s="562"/>
      <c r="DF150" s="562"/>
      <c r="DG150" s="562"/>
      <c r="DH150" s="562"/>
      <c r="DI150" s="562"/>
      <c r="DJ150" s="562"/>
      <c r="DK150" s="562"/>
      <c r="DL150" s="562"/>
      <c r="DM150" s="562"/>
      <c r="DN150" s="562"/>
      <c r="DO150" s="562"/>
      <c r="DP150" s="562"/>
      <c r="DQ150" s="562"/>
      <c r="DR150" s="562"/>
      <c r="DS150" s="562"/>
      <c r="DT150" s="562"/>
      <c r="DU150" s="562"/>
      <c r="DV150" s="562"/>
      <c r="DW150" s="562"/>
      <c r="DX150" s="562"/>
      <c r="DY150" s="562"/>
      <c r="DZ150" s="562"/>
      <c r="EA150" s="562"/>
      <c r="EB150" s="562"/>
      <c r="EC150" s="562"/>
      <c r="ED150" s="562"/>
      <c r="EE150" s="562"/>
      <c r="EF150" s="562"/>
      <c r="EG150" s="562"/>
      <c r="EH150" s="562"/>
      <c r="EI150" s="562"/>
      <c r="EJ150" s="562"/>
      <c r="EK150" s="562"/>
      <c r="EL150" s="562"/>
      <c r="EM150" s="562"/>
      <c r="EN150" s="562"/>
      <c r="EO150" s="562"/>
      <c r="EP150" s="562"/>
      <c r="EQ150" s="562"/>
      <c r="ER150" s="562"/>
      <c r="ES150" s="562"/>
      <c r="ET150" s="562"/>
      <c r="EU150" s="562"/>
      <c r="EV150" s="562"/>
      <c r="EW150" s="562"/>
      <c r="EX150" s="562"/>
      <c r="EY150" s="562"/>
      <c r="EZ150" s="562"/>
      <c r="FA150" s="562"/>
      <c r="FB150" s="562"/>
      <c r="FC150" s="562"/>
      <c r="FD150" s="562"/>
      <c r="FE150" s="562"/>
      <c r="FF150" s="562"/>
      <c r="FG150" s="562"/>
      <c r="FH150" s="562"/>
      <c r="FI150" s="562"/>
      <c r="FJ150" s="562"/>
      <c r="FK150" s="562"/>
      <c r="FL150" s="562"/>
      <c r="FM150" s="562"/>
      <c r="FN150" s="562"/>
      <c r="FO150" s="562"/>
      <c r="FP150" s="562"/>
      <c r="FQ150" s="562"/>
      <c r="FR150" s="562"/>
      <c r="FS150" s="562"/>
      <c r="FT150" s="562"/>
      <c r="FU150" s="562"/>
      <c r="FV150" s="562"/>
      <c r="FW150" s="562"/>
      <c r="FX150" s="562"/>
      <c r="FY150" s="562"/>
      <c r="FZ150" s="562"/>
      <c r="GA150" s="562"/>
      <c r="GB150" s="562"/>
      <c r="GC150" s="562"/>
      <c r="GD150" s="562"/>
      <c r="GE150" s="562"/>
      <c r="GF150" s="562"/>
      <c r="GG150" s="562"/>
      <c r="GH150" s="562"/>
      <c r="GI150" s="562"/>
      <c r="GJ150" s="562"/>
      <c r="GK150" s="562"/>
      <c r="GL150" s="562"/>
      <c r="GM150" s="562"/>
      <c r="GN150" s="562"/>
      <c r="GO150" s="562"/>
      <c r="GP150" s="562"/>
      <c r="GQ150" s="562"/>
      <c r="GR150" s="562"/>
      <c r="GS150" s="562"/>
      <c r="GT150" s="562"/>
      <c r="GU150" s="562"/>
      <c r="GV150" s="562"/>
      <c r="GW150" s="562"/>
      <c r="GX150" s="562"/>
      <c r="GY150" s="562"/>
      <c r="GZ150" s="562"/>
      <c r="HA150" s="562"/>
      <c r="HB150" s="562"/>
      <c r="HC150" s="562"/>
      <c r="HD150" s="562"/>
      <c r="HE150" s="562"/>
      <c r="HF150" s="562"/>
      <c r="HG150" s="562"/>
      <c r="HH150" s="562"/>
      <c r="HI150" s="562"/>
      <c r="HJ150" s="562"/>
      <c r="HK150" s="562"/>
      <c r="HL150" s="562"/>
      <c r="HM150" s="562"/>
      <c r="HN150" s="562"/>
      <c r="HO150" s="562"/>
      <c r="HP150" s="562"/>
      <c r="HQ150" s="562"/>
      <c r="HR150" s="562"/>
      <c r="HS150" s="562"/>
      <c r="HT150" s="562"/>
      <c r="HU150" s="562"/>
      <c r="HV150" s="562"/>
      <c r="HW150" s="562"/>
      <c r="HX150" s="562"/>
      <c r="HY150" s="562"/>
      <c r="HZ150" s="562"/>
      <c r="IA150" s="562"/>
      <c r="IB150" s="562"/>
      <c r="IC150" s="562"/>
      <c r="ID150" s="562"/>
      <c r="IE150" s="562"/>
      <c r="IF150" s="562"/>
      <c r="IG150" s="562"/>
      <c r="IH150" s="562"/>
      <c r="II150" s="562"/>
      <c r="IJ150" s="562"/>
      <c r="IK150" s="562"/>
      <c r="IL150" s="562"/>
      <c r="IM150" s="562"/>
      <c r="IN150" s="562"/>
      <c r="IO150" s="562"/>
      <c r="IP150" s="562"/>
      <c r="IQ150" s="562"/>
    </row>
    <row r="151" spans="1:252" s="563" customFormat="1" ht="16.5" customHeight="1" x14ac:dyDescent="0.25">
      <c r="A151" s="589"/>
      <c r="B151" s="564" t="s">
        <v>323</v>
      </c>
      <c r="C151" s="565" t="s">
        <v>134</v>
      </c>
      <c r="D151" s="565">
        <v>7.2599999999999998E-2</v>
      </c>
      <c r="E151" s="566">
        <f>D151*E149</f>
        <v>2.1779999999999999</v>
      </c>
      <c r="F151" s="566"/>
      <c r="G151" s="566"/>
      <c r="H151" s="567"/>
      <c r="I151" s="567"/>
      <c r="J151" s="1179"/>
      <c r="K151" s="566">
        <f>E151*J151</f>
        <v>0</v>
      </c>
      <c r="L151" s="605">
        <f>K151+I151+G151</f>
        <v>0</v>
      </c>
      <c r="M151" s="980"/>
      <c r="N151" s="980"/>
      <c r="O151" s="980"/>
      <c r="P151" s="980"/>
      <c r="Q151" s="980"/>
      <c r="R151" s="980"/>
      <c r="S151" s="980"/>
      <c r="T151" s="980"/>
      <c r="U151" s="980"/>
      <c r="V151" s="980"/>
      <c r="W151" s="980"/>
      <c r="X151" s="980"/>
      <c r="Y151" s="980"/>
      <c r="Z151" s="980"/>
      <c r="AA151" s="980"/>
      <c r="AB151" s="980"/>
      <c r="AC151" s="980"/>
      <c r="AD151" s="980"/>
      <c r="AE151" s="980"/>
      <c r="AF151" s="980"/>
      <c r="AG151" s="980"/>
      <c r="AH151" s="980"/>
      <c r="AI151" s="980"/>
      <c r="AJ151" s="980"/>
      <c r="AK151" s="980"/>
      <c r="AL151" s="980"/>
      <c r="AM151" s="980"/>
      <c r="AN151" s="980"/>
      <c r="AO151" s="980"/>
      <c r="AP151" s="980"/>
      <c r="AQ151" s="980"/>
      <c r="AR151" s="980"/>
      <c r="AS151" s="980"/>
      <c r="AT151" s="980"/>
      <c r="AU151" s="980"/>
      <c r="AV151" s="980"/>
      <c r="AW151" s="980"/>
      <c r="AX151" s="980"/>
      <c r="AY151" s="980"/>
      <c r="AZ151" s="980"/>
      <c r="BA151" s="980"/>
      <c r="BB151" s="980"/>
      <c r="BC151" s="980"/>
      <c r="BD151" s="980"/>
      <c r="BE151" s="980"/>
      <c r="BF151" s="980"/>
      <c r="BG151" s="980"/>
      <c r="BH151" s="980"/>
      <c r="BI151" s="980"/>
      <c r="BJ151" s="568"/>
      <c r="BK151" s="568"/>
      <c r="BL151" s="568"/>
      <c r="BM151" s="568"/>
      <c r="BN151" s="568"/>
      <c r="BO151" s="568"/>
      <c r="BP151" s="568"/>
      <c r="BQ151" s="568"/>
      <c r="BR151" s="568"/>
      <c r="BS151" s="568"/>
      <c r="BT151" s="568"/>
      <c r="BU151" s="568"/>
      <c r="BV151" s="568"/>
      <c r="BW151" s="568"/>
      <c r="BX151" s="568"/>
      <c r="BY151" s="568"/>
      <c r="BZ151" s="568"/>
      <c r="CA151" s="568"/>
      <c r="CB151" s="568"/>
      <c r="CC151" s="568"/>
      <c r="CD151" s="568"/>
      <c r="CE151" s="568"/>
      <c r="CF151" s="568"/>
      <c r="CG151" s="568"/>
      <c r="CH151" s="568"/>
      <c r="CI151" s="568"/>
      <c r="CJ151" s="568"/>
      <c r="CK151" s="568"/>
      <c r="CL151" s="568"/>
      <c r="CM151" s="568"/>
      <c r="CN151" s="568"/>
      <c r="CO151" s="568"/>
      <c r="CP151" s="568"/>
      <c r="CQ151" s="568"/>
      <c r="CR151" s="568"/>
      <c r="CS151" s="568"/>
      <c r="CT151" s="568"/>
      <c r="CU151" s="568"/>
      <c r="CV151" s="568"/>
      <c r="CW151" s="568"/>
      <c r="CX151" s="568"/>
      <c r="CY151" s="568"/>
      <c r="CZ151" s="568"/>
      <c r="DA151" s="568"/>
      <c r="DB151" s="568"/>
      <c r="DC151" s="568"/>
      <c r="DD151" s="568"/>
      <c r="DE151" s="568"/>
      <c r="DF151" s="568"/>
      <c r="DG151" s="568"/>
      <c r="DH151" s="568"/>
      <c r="DI151" s="568"/>
      <c r="DJ151" s="568"/>
      <c r="DK151" s="568"/>
      <c r="DL151" s="568"/>
      <c r="DM151" s="568"/>
      <c r="DN151" s="568"/>
      <c r="DO151" s="568"/>
      <c r="DP151" s="568"/>
      <c r="DQ151" s="568"/>
      <c r="DR151" s="568"/>
      <c r="DS151" s="568"/>
      <c r="DT151" s="568"/>
      <c r="DU151" s="568"/>
      <c r="DV151" s="568"/>
      <c r="DW151" s="568"/>
      <c r="DX151" s="568"/>
      <c r="DY151" s="568"/>
      <c r="DZ151" s="568"/>
      <c r="EA151" s="568"/>
      <c r="EB151" s="568"/>
      <c r="EC151" s="568"/>
      <c r="ED151" s="568"/>
      <c r="EE151" s="568"/>
      <c r="EF151" s="568"/>
      <c r="EG151" s="568"/>
      <c r="EH151" s="568"/>
      <c r="EI151" s="568"/>
      <c r="EJ151" s="568"/>
      <c r="EK151" s="568"/>
      <c r="EL151" s="568"/>
      <c r="EM151" s="568"/>
      <c r="EN151" s="568"/>
      <c r="EO151" s="568"/>
      <c r="EP151" s="568"/>
      <c r="EQ151" s="568"/>
      <c r="ER151" s="568"/>
      <c r="ES151" s="568"/>
      <c r="ET151" s="568"/>
      <c r="EU151" s="568"/>
      <c r="EV151" s="568"/>
      <c r="EW151" s="568"/>
      <c r="EX151" s="568"/>
      <c r="EY151" s="568"/>
      <c r="EZ151" s="568"/>
      <c r="FA151" s="568"/>
      <c r="FB151" s="568"/>
      <c r="FC151" s="568"/>
      <c r="FD151" s="568"/>
      <c r="FE151" s="568"/>
      <c r="FF151" s="568"/>
      <c r="FG151" s="568"/>
      <c r="FH151" s="568"/>
      <c r="FI151" s="568"/>
      <c r="FJ151" s="568"/>
      <c r="FK151" s="568"/>
      <c r="FL151" s="568"/>
      <c r="FM151" s="568"/>
      <c r="FN151" s="568"/>
      <c r="FO151" s="568"/>
      <c r="FP151" s="568"/>
      <c r="FQ151" s="568"/>
      <c r="FR151" s="568"/>
      <c r="FS151" s="568"/>
      <c r="FT151" s="568"/>
      <c r="FU151" s="568"/>
      <c r="FV151" s="568"/>
      <c r="FW151" s="568"/>
      <c r="FX151" s="568"/>
      <c r="FY151" s="568"/>
      <c r="FZ151" s="568"/>
      <c r="GA151" s="568"/>
      <c r="GB151" s="568"/>
      <c r="GC151" s="568"/>
      <c r="GD151" s="568"/>
      <c r="GE151" s="568"/>
      <c r="GF151" s="568"/>
      <c r="GG151" s="568"/>
      <c r="GH151" s="568"/>
      <c r="GI151" s="568"/>
      <c r="GJ151" s="568"/>
      <c r="GK151" s="568"/>
      <c r="GL151" s="568"/>
      <c r="GM151" s="568"/>
      <c r="GN151" s="568"/>
      <c r="GO151" s="568"/>
      <c r="GP151" s="568"/>
      <c r="GQ151" s="568"/>
      <c r="GR151" s="568"/>
      <c r="GS151" s="568"/>
      <c r="GT151" s="568"/>
      <c r="GU151" s="568"/>
      <c r="GV151" s="568"/>
      <c r="GW151" s="568"/>
      <c r="GX151" s="568"/>
      <c r="GY151" s="568"/>
      <c r="GZ151" s="568"/>
      <c r="HA151" s="568"/>
      <c r="HB151" s="568"/>
      <c r="HC151" s="568"/>
      <c r="HD151" s="568"/>
      <c r="HE151" s="568"/>
      <c r="HF151" s="568"/>
      <c r="HG151" s="568"/>
      <c r="HH151" s="568"/>
      <c r="HI151" s="568"/>
      <c r="HJ151" s="568"/>
      <c r="HK151" s="568"/>
      <c r="HL151" s="568"/>
      <c r="HM151" s="568"/>
      <c r="HN151" s="568"/>
      <c r="HO151" s="568"/>
      <c r="HP151" s="568"/>
      <c r="HQ151" s="568"/>
      <c r="HR151" s="568"/>
      <c r="HS151" s="568"/>
      <c r="HT151" s="568"/>
      <c r="HU151" s="568"/>
      <c r="HV151" s="568"/>
      <c r="HW151" s="568"/>
      <c r="HX151" s="568"/>
      <c r="HY151" s="568"/>
      <c r="HZ151" s="568"/>
      <c r="IA151" s="568"/>
      <c r="IB151" s="568"/>
      <c r="IC151" s="568"/>
      <c r="ID151" s="568"/>
      <c r="IE151" s="568"/>
      <c r="IF151" s="568"/>
      <c r="IG151" s="568"/>
      <c r="IH151" s="568"/>
      <c r="II151" s="568"/>
      <c r="IJ151" s="568"/>
      <c r="IK151" s="568"/>
      <c r="IL151" s="568"/>
      <c r="IM151" s="568"/>
      <c r="IN151" s="568"/>
      <c r="IO151" s="568"/>
      <c r="IP151" s="568"/>
      <c r="IQ151" s="568"/>
    </row>
    <row r="152" spans="1:252" s="563" customFormat="1" ht="15" x14ac:dyDescent="0.25">
      <c r="A152" s="590">
        <v>2</v>
      </c>
      <c r="B152" s="529" t="s">
        <v>324</v>
      </c>
      <c r="C152" s="173" t="s">
        <v>234</v>
      </c>
      <c r="D152" s="175"/>
      <c r="E152" s="175">
        <v>4</v>
      </c>
      <c r="F152" s="175"/>
      <c r="G152" s="175"/>
      <c r="H152" s="567"/>
      <c r="I152" s="567"/>
      <c r="J152" s="175"/>
      <c r="K152" s="175"/>
      <c r="L152" s="606"/>
      <c r="M152" s="979"/>
      <c r="N152" s="979"/>
      <c r="O152" s="979"/>
      <c r="P152" s="979"/>
      <c r="Q152" s="979"/>
      <c r="R152" s="979"/>
      <c r="S152" s="979"/>
      <c r="T152" s="979"/>
      <c r="U152" s="979"/>
      <c r="V152" s="979"/>
      <c r="W152" s="979"/>
      <c r="X152" s="979"/>
      <c r="Y152" s="979"/>
      <c r="Z152" s="979"/>
      <c r="AA152" s="979"/>
      <c r="AB152" s="979"/>
      <c r="AC152" s="979"/>
      <c r="AD152" s="979"/>
      <c r="AE152" s="979"/>
      <c r="AF152" s="979"/>
      <c r="AG152" s="979"/>
      <c r="AH152" s="979"/>
      <c r="AI152" s="979"/>
      <c r="AJ152" s="979"/>
      <c r="AK152" s="979"/>
      <c r="AL152" s="979"/>
      <c r="AM152" s="979"/>
      <c r="AN152" s="979"/>
      <c r="AO152" s="979"/>
      <c r="AP152" s="979"/>
      <c r="AQ152" s="979"/>
      <c r="AR152" s="979"/>
      <c r="AS152" s="979"/>
      <c r="AT152" s="979"/>
      <c r="AU152" s="979"/>
      <c r="AV152" s="979"/>
      <c r="AW152" s="979"/>
      <c r="AX152" s="979"/>
      <c r="AY152" s="979"/>
      <c r="AZ152" s="979"/>
      <c r="BA152" s="979"/>
      <c r="BB152" s="979"/>
      <c r="BC152" s="979"/>
      <c r="BD152" s="979"/>
      <c r="BE152" s="979"/>
      <c r="BF152" s="979"/>
      <c r="BG152" s="979"/>
      <c r="BH152" s="979"/>
      <c r="BI152" s="979"/>
      <c r="BJ152" s="562"/>
      <c r="BK152" s="562"/>
      <c r="BL152" s="562"/>
      <c r="BM152" s="562"/>
      <c r="BN152" s="562"/>
      <c r="BO152" s="562"/>
      <c r="BP152" s="562"/>
      <c r="BQ152" s="562"/>
      <c r="BR152" s="562"/>
      <c r="BS152" s="562"/>
      <c r="BT152" s="562"/>
      <c r="BU152" s="562"/>
      <c r="BV152" s="562"/>
      <c r="BW152" s="562"/>
      <c r="BX152" s="562"/>
      <c r="BY152" s="562"/>
      <c r="BZ152" s="562"/>
      <c r="CA152" s="562"/>
      <c r="CB152" s="562"/>
      <c r="CC152" s="562"/>
      <c r="CD152" s="562"/>
      <c r="CE152" s="562"/>
      <c r="CF152" s="562"/>
      <c r="CG152" s="562"/>
      <c r="CH152" s="562"/>
      <c r="CI152" s="562"/>
      <c r="CJ152" s="562"/>
      <c r="CK152" s="562"/>
      <c r="CL152" s="562"/>
      <c r="CM152" s="562"/>
      <c r="CN152" s="562"/>
      <c r="CO152" s="562"/>
      <c r="CP152" s="562"/>
      <c r="CQ152" s="562"/>
      <c r="CR152" s="562"/>
      <c r="CS152" s="562"/>
      <c r="CT152" s="562"/>
      <c r="CU152" s="562"/>
      <c r="CV152" s="562"/>
      <c r="CW152" s="562"/>
      <c r="CX152" s="562"/>
      <c r="CY152" s="562"/>
      <c r="CZ152" s="562"/>
      <c r="DA152" s="562"/>
      <c r="DB152" s="562"/>
      <c r="DC152" s="562"/>
      <c r="DD152" s="562"/>
      <c r="DE152" s="562"/>
      <c r="DF152" s="562"/>
      <c r="DG152" s="562"/>
      <c r="DH152" s="562"/>
      <c r="DI152" s="562"/>
      <c r="DJ152" s="562"/>
      <c r="DK152" s="562"/>
      <c r="DL152" s="562"/>
      <c r="DM152" s="562"/>
      <c r="DN152" s="562"/>
      <c r="DO152" s="562"/>
      <c r="DP152" s="562"/>
      <c r="DQ152" s="562"/>
      <c r="DR152" s="562"/>
      <c r="DS152" s="562"/>
      <c r="DT152" s="562"/>
      <c r="DU152" s="562"/>
      <c r="DV152" s="562"/>
      <c r="DW152" s="562"/>
      <c r="DX152" s="562"/>
      <c r="DY152" s="562"/>
      <c r="DZ152" s="562"/>
      <c r="EA152" s="562"/>
      <c r="EB152" s="562"/>
      <c r="EC152" s="562"/>
      <c r="ED152" s="562"/>
      <c r="EE152" s="562"/>
      <c r="EF152" s="562"/>
      <c r="EG152" s="562"/>
      <c r="EH152" s="562"/>
      <c r="EI152" s="562"/>
      <c r="EJ152" s="562"/>
      <c r="EK152" s="562"/>
      <c r="EL152" s="562"/>
      <c r="EM152" s="562"/>
      <c r="EN152" s="562"/>
      <c r="EO152" s="562"/>
      <c r="EP152" s="562"/>
      <c r="EQ152" s="562"/>
      <c r="ER152" s="562"/>
      <c r="ES152" s="562"/>
      <c r="ET152" s="562"/>
      <c r="EU152" s="562"/>
      <c r="EV152" s="562"/>
      <c r="EW152" s="562"/>
      <c r="EX152" s="562"/>
      <c r="EY152" s="562"/>
      <c r="EZ152" s="562"/>
      <c r="FA152" s="562"/>
      <c r="FB152" s="562"/>
      <c r="FC152" s="562"/>
      <c r="FD152" s="562"/>
      <c r="FE152" s="562"/>
      <c r="FF152" s="562"/>
      <c r="FG152" s="562"/>
      <c r="FH152" s="562"/>
      <c r="FI152" s="562"/>
      <c r="FJ152" s="562"/>
      <c r="FK152" s="562"/>
      <c r="FL152" s="562"/>
      <c r="FM152" s="562"/>
      <c r="FN152" s="562"/>
      <c r="FO152" s="562"/>
      <c r="FP152" s="562"/>
      <c r="FQ152" s="562"/>
      <c r="FR152" s="562"/>
      <c r="FS152" s="562"/>
      <c r="FT152" s="562"/>
      <c r="FU152" s="562"/>
      <c r="FV152" s="562"/>
      <c r="FW152" s="562"/>
      <c r="FX152" s="562"/>
      <c r="FY152" s="562"/>
      <c r="FZ152" s="562"/>
      <c r="GA152" s="562"/>
      <c r="GB152" s="562"/>
      <c r="GC152" s="562"/>
      <c r="GD152" s="562"/>
      <c r="GE152" s="562"/>
      <c r="GF152" s="562"/>
      <c r="GG152" s="562"/>
      <c r="GH152" s="562"/>
      <c r="GI152" s="562"/>
      <c r="GJ152" s="562"/>
      <c r="GK152" s="562"/>
      <c r="GL152" s="562"/>
      <c r="GM152" s="562"/>
      <c r="GN152" s="562"/>
      <c r="GO152" s="562"/>
      <c r="GP152" s="562"/>
      <c r="GQ152" s="562"/>
      <c r="GR152" s="562"/>
      <c r="GS152" s="562"/>
      <c r="GT152" s="562"/>
      <c r="GU152" s="562"/>
      <c r="GV152" s="562"/>
      <c r="GW152" s="562"/>
      <c r="GX152" s="562"/>
      <c r="GY152" s="562"/>
      <c r="GZ152" s="562"/>
      <c r="HA152" s="562"/>
      <c r="HB152" s="562"/>
      <c r="HC152" s="562"/>
      <c r="HD152" s="562"/>
      <c r="HE152" s="562"/>
      <c r="HF152" s="562"/>
      <c r="HG152" s="562"/>
      <c r="HH152" s="562"/>
      <c r="HI152" s="562"/>
      <c r="HJ152" s="562"/>
      <c r="HK152" s="562"/>
      <c r="HL152" s="562"/>
      <c r="HM152" s="562"/>
      <c r="HN152" s="562"/>
      <c r="HO152" s="562"/>
      <c r="HP152" s="562"/>
      <c r="HQ152" s="562"/>
      <c r="HR152" s="562"/>
      <c r="HS152" s="562"/>
      <c r="HT152" s="562"/>
      <c r="HU152" s="562"/>
      <c r="HV152" s="562"/>
      <c r="HW152" s="562"/>
      <c r="HX152" s="562"/>
      <c r="HY152" s="562"/>
      <c r="HZ152" s="562"/>
      <c r="IA152" s="562"/>
      <c r="IB152" s="562"/>
      <c r="IC152" s="562"/>
      <c r="ID152" s="562"/>
      <c r="IE152" s="562"/>
      <c r="IF152" s="562"/>
      <c r="IG152" s="562"/>
      <c r="IH152" s="562"/>
      <c r="II152" s="562"/>
      <c r="IJ152" s="562"/>
      <c r="IK152" s="562"/>
      <c r="IL152" s="562"/>
      <c r="IM152" s="562"/>
      <c r="IN152" s="562"/>
      <c r="IO152" s="562"/>
      <c r="IP152" s="562"/>
      <c r="IQ152" s="562"/>
    </row>
    <row r="153" spans="1:252" s="563" customFormat="1" ht="12.75" x14ac:dyDescent="0.25">
      <c r="A153" s="591"/>
      <c r="B153" s="570" t="s">
        <v>214</v>
      </c>
      <c r="C153" s="358" t="s">
        <v>28</v>
      </c>
      <c r="D153" s="359">
        <v>2.06</v>
      </c>
      <c r="E153" s="359">
        <f>D153*E152</f>
        <v>8.24</v>
      </c>
      <c r="F153" s="1179"/>
      <c r="G153" s="566">
        <f>F153*E153</f>
        <v>0</v>
      </c>
      <c r="H153" s="567"/>
      <c r="I153" s="567"/>
      <c r="J153" s="566"/>
      <c r="K153" s="566"/>
      <c r="L153" s="605">
        <f>K153+I153+G153</f>
        <v>0</v>
      </c>
      <c r="M153" s="981"/>
      <c r="N153" s="981"/>
      <c r="O153" s="981"/>
      <c r="P153" s="981"/>
      <c r="Q153" s="981"/>
      <c r="R153" s="981"/>
      <c r="S153" s="981"/>
      <c r="T153" s="981"/>
      <c r="U153" s="981"/>
      <c r="V153" s="981"/>
      <c r="W153" s="981"/>
      <c r="X153" s="981"/>
      <c r="Y153" s="981"/>
      <c r="Z153" s="981"/>
      <c r="AA153" s="981"/>
      <c r="AB153" s="981"/>
      <c r="AC153" s="981"/>
      <c r="AD153" s="981"/>
      <c r="AE153" s="981"/>
      <c r="AF153" s="981"/>
      <c r="AG153" s="981"/>
      <c r="AH153" s="981"/>
      <c r="AI153" s="981"/>
      <c r="AJ153" s="981"/>
      <c r="AK153" s="981"/>
      <c r="AL153" s="981"/>
      <c r="AM153" s="981"/>
      <c r="AN153" s="981"/>
      <c r="AO153" s="981"/>
      <c r="AP153" s="981"/>
      <c r="AQ153" s="981"/>
      <c r="AR153" s="981"/>
      <c r="AS153" s="981"/>
      <c r="AT153" s="981"/>
      <c r="AU153" s="981"/>
      <c r="AV153" s="981"/>
      <c r="AW153" s="981"/>
      <c r="AX153" s="981"/>
      <c r="AY153" s="981"/>
      <c r="AZ153" s="981"/>
      <c r="BA153" s="981"/>
      <c r="BB153" s="981"/>
      <c r="BC153" s="981"/>
      <c r="BD153" s="981"/>
      <c r="BE153" s="981"/>
      <c r="BF153" s="981"/>
      <c r="BG153" s="981"/>
      <c r="BH153" s="981"/>
      <c r="BI153" s="981"/>
      <c r="BJ153" s="571"/>
      <c r="BK153" s="571"/>
      <c r="BL153" s="571"/>
      <c r="BM153" s="571"/>
      <c r="BN153" s="571"/>
      <c r="BO153" s="571"/>
      <c r="BP153" s="571"/>
      <c r="BQ153" s="571"/>
      <c r="BR153" s="571"/>
      <c r="BS153" s="571"/>
      <c r="BT153" s="571"/>
      <c r="BU153" s="571"/>
      <c r="BV153" s="571"/>
      <c r="BW153" s="571"/>
      <c r="BX153" s="571"/>
      <c r="BY153" s="571"/>
      <c r="BZ153" s="571"/>
      <c r="CA153" s="571"/>
      <c r="CB153" s="571"/>
      <c r="CC153" s="571"/>
      <c r="CD153" s="571"/>
      <c r="CE153" s="571"/>
      <c r="CF153" s="571"/>
      <c r="CG153" s="571"/>
      <c r="CH153" s="571"/>
      <c r="CI153" s="571"/>
      <c r="CJ153" s="571"/>
      <c r="CK153" s="571"/>
      <c r="CL153" s="571"/>
      <c r="CM153" s="571"/>
      <c r="CN153" s="571"/>
      <c r="CO153" s="571"/>
      <c r="CP153" s="571"/>
      <c r="CQ153" s="571"/>
      <c r="CR153" s="571"/>
      <c r="CS153" s="571"/>
      <c r="CT153" s="571"/>
      <c r="CU153" s="571"/>
      <c r="CV153" s="571"/>
      <c r="CW153" s="571"/>
      <c r="CX153" s="571"/>
      <c r="CY153" s="571"/>
      <c r="CZ153" s="571"/>
      <c r="DA153" s="571"/>
      <c r="DB153" s="571"/>
      <c r="DC153" s="571"/>
      <c r="DD153" s="571"/>
      <c r="DE153" s="571"/>
      <c r="DF153" s="571"/>
      <c r="DG153" s="571"/>
      <c r="DH153" s="571"/>
      <c r="DI153" s="571"/>
      <c r="DJ153" s="571"/>
      <c r="DK153" s="571"/>
      <c r="DL153" s="571"/>
      <c r="DM153" s="571"/>
      <c r="DN153" s="571"/>
      <c r="DO153" s="571"/>
      <c r="DP153" s="571"/>
      <c r="DQ153" s="571"/>
      <c r="DR153" s="571"/>
      <c r="DS153" s="571"/>
      <c r="DT153" s="571"/>
      <c r="DU153" s="571"/>
      <c r="DV153" s="571"/>
      <c r="DW153" s="571"/>
      <c r="DX153" s="571"/>
      <c r="DY153" s="571"/>
      <c r="DZ153" s="571"/>
      <c r="EA153" s="571"/>
      <c r="EB153" s="571"/>
      <c r="EC153" s="571"/>
      <c r="ED153" s="571"/>
      <c r="EE153" s="571"/>
      <c r="EF153" s="571"/>
      <c r="EG153" s="571"/>
      <c r="EH153" s="571"/>
      <c r="EI153" s="571"/>
      <c r="EJ153" s="571"/>
      <c r="EK153" s="571"/>
      <c r="EL153" s="571"/>
      <c r="EM153" s="571"/>
      <c r="EN153" s="571"/>
      <c r="EO153" s="571"/>
      <c r="EP153" s="571"/>
      <c r="EQ153" s="571"/>
      <c r="ER153" s="571"/>
      <c r="ES153" s="571"/>
      <c r="ET153" s="571"/>
      <c r="EU153" s="571"/>
      <c r="EV153" s="571"/>
      <c r="EW153" s="571"/>
      <c r="EX153" s="571"/>
      <c r="EY153" s="571"/>
      <c r="EZ153" s="571"/>
      <c r="FA153" s="571"/>
      <c r="FB153" s="571"/>
      <c r="FC153" s="571"/>
      <c r="FD153" s="571"/>
      <c r="FE153" s="571"/>
      <c r="FF153" s="571"/>
      <c r="FG153" s="571"/>
      <c r="FH153" s="571"/>
      <c r="FI153" s="571"/>
      <c r="FJ153" s="571"/>
      <c r="FK153" s="571"/>
      <c r="FL153" s="571"/>
      <c r="FM153" s="571"/>
      <c r="FN153" s="571"/>
      <c r="FO153" s="571"/>
      <c r="FP153" s="571"/>
      <c r="FQ153" s="571"/>
      <c r="FR153" s="571"/>
      <c r="FS153" s="571"/>
      <c r="FT153" s="571"/>
      <c r="FU153" s="571"/>
      <c r="FV153" s="571"/>
      <c r="FW153" s="571"/>
      <c r="FX153" s="571"/>
      <c r="FY153" s="571"/>
      <c r="FZ153" s="571"/>
      <c r="GA153" s="571"/>
      <c r="GB153" s="571"/>
      <c r="GC153" s="571"/>
      <c r="GD153" s="571"/>
      <c r="GE153" s="571"/>
      <c r="GF153" s="571"/>
      <c r="GG153" s="571"/>
      <c r="GH153" s="571"/>
      <c r="GI153" s="571"/>
      <c r="GJ153" s="571"/>
      <c r="GK153" s="571"/>
      <c r="GL153" s="571"/>
      <c r="GM153" s="571"/>
      <c r="GN153" s="571"/>
      <c r="GO153" s="571"/>
      <c r="GP153" s="571"/>
      <c r="GQ153" s="571"/>
      <c r="GR153" s="571"/>
      <c r="GS153" s="571"/>
      <c r="GT153" s="571"/>
      <c r="GU153" s="571"/>
      <c r="GV153" s="571"/>
      <c r="GW153" s="571"/>
      <c r="GX153" s="571"/>
      <c r="GY153" s="571"/>
      <c r="GZ153" s="571"/>
      <c r="HA153" s="571"/>
      <c r="HB153" s="571"/>
      <c r="HC153" s="571"/>
      <c r="HD153" s="571"/>
      <c r="HE153" s="571"/>
      <c r="HF153" s="571"/>
      <c r="HG153" s="571"/>
      <c r="HH153" s="571"/>
      <c r="HI153" s="571"/>
      <c r="HJ153" s="571"/>
      <c r="HK153" s="571"/>
      <c r="HL153" s="571"/>
      <c r="HM153" s="571"/>
      <c r="HN153" s="571"/>
      <c r="HO153" s="571"/>
      <c r="HP153" s="571"/>
      <c r="HQ153" s="571"/>
      <c r="HR153" s="571"/>
      <c r="HS153" s="571"/>
      <c r="HT153" s="571"/>
      <c r="HU153" s="571"/>
      <c r="HV153" s="571"/>
      <c r="HW153" s="571"/>
      <c r="HX153" s="571"/>
      <c r="HY153" s="571"/>
      <c r="HZ153" s="571"/>
      <c r="IA153" s="571"/>
      <c r="IB153" s="571"/>
      <c r="IC153" s="571"/>
      <c r="ID153" s="571"/>
      <c r="IE153" s="571"/>
      <c r="IF153" s="571"/>
      <c r="IG153" s="571"/>
      <c r="IH153" s="571"/>
      <c r="II153" s="571"/>
      <c r="IJ153" s="571"/>
      <c r="IK153" s="571"/>
      <c r="IL153" s="571"/>
      <c r="IM153" s="571"/>
      <c r="IN153" s="571"/>
      <c r="IO153" s="571"/>
      <c r="IP153" s="571"/>
      <c r="IQ153" s="571"/>
    </row>
    <row r="154" spans="1:252" s="563" customFormat="1" ht="15" x14ac:dyDescent="0.25">
      <c r="A154" s="592">
        <v>3</v>
      </c>
      <c r="B154" s="573" t="s">
        <v>325</v>
      </c>
      <c r="C154" s="572" t="s">
        <v>234</v>
      </c>
      <c r="D154" s="574"/>
      <c r="E154" s="574">
        <f>E149-E156</f>
        <v>25</v>
      </c>
      <c r="F154" s="575"/>
      <c r="G154" s="575"/>
      <c r="H154" s="567"/>
      <c r="I154" s="567"/>
      <c r="J154" s="575"/>
      <c r="K154" s="575"/>
      <c r="L154" s="607"/>
      <c r="M154" s="979"/>
      <c r="N154" s="979"/>
      <c r="O154" s="979"/>
      <c r="P154" s="979"/>
      <c r="Q154" s="979"/>
      <c r="R154" s="979"/>
      <c r="S154" s="979"/>
      <c r="T154" s="979"/>
      <c r="U154" s="979"/>
      <c r="V154" s="979"/>
      <c r="W154" s="979"/>
      <c r="X154" s="979"/>
      <c r="Y154" s="979"/>
      <c r="Z154" s="979"/>
      <c r="AA154" s="979"/>
      <c r="AB154" s="979"/>
      <c r="AC154" s="979"/>
      <c r="AD154" s="979"/>
      <c r="AE154" s="979"/>
      <c r="AF154" s="979"/>
      <c r="AG154" s="979"/>
      <c r="AH154" s="979"/>
      <c r="AI154" s="979"/>
      <c r="AJ154" s="979"/>
      <c r="AK154" s="979"/>
      <c r="AL154" s="979"/>
      <c r="AM154" s="979"/>
      <c r="AN154" s="979"/>
      <c r="AO154" s="979"/>
      <c r="AP154" s="979"/>
      <c r="AQ154" s="979"/>
      <c r="AR154" s="979"/>
      <c r="AS154" s="979"/>
      <c r="AT154" s="979"/>
      <c r="AU154" s="979"/>
      <c r="AV154" s="979"/>
      <c r="AW154" s="979"/>
      <c r="AX154" s="979"/>
      <c r="AY154" s="979"/>
      <c r="AZ154" s="979"/>
      <c r="BA154" s="979"/>
      <c r="BB154" s="979"/>
      <c r="BC154" s="979"/>
      <c r="BD154" s="979"/>
      <c r="BE154" s="979"/>
      <c r="BF154" s="979"/>
      <c r="BG154" s="979"/>
      <c r="BH154" s="979"/>
      <c r="BI154" s="979"/>
      <c r="BJ154" s="562"/>
      <c r="BK154" s="562"/>
      <c r="BL154" s="562"/>
      <c r="BM154" s="562"/>
      <c r="BN154" s="562"/>
      <c r="BO154" s="562"/>
      <c r="BP154" s="562"/>
      <c r="BQ154" s="562"/>
      <c r="BR154" s="562"/>
      <c r="BS154" s="562"/>
      <c r="BT154" s="562"/>
      <c r="BU154" s="562"/>
      <c r="BV154" s="562"/>
      <c r="BW154" s="562"/>
      <c r="BX154" s="562"/>
      <c r="BY154" s="562"/>
      <c r="BZ154" s="562"/>
      <c r="CA154" s="562"/>
      <c r="CB154" s="562"/>
      <c r="CC154" s="562"/>
      <c r="CD154" s="562"/>
      <c r="CE154" s="562"/>
      <c r="CF154" s="562"/>
      <c r="CG154" s="562"/>
      <c r="CH154" s="562"/>
      <c r="CI154" s="562"/>
      <c r="CJ154" s="562"/>
      <c r="CK154" s="562"/>
      <c r="CL154" s="562"/>
      <c r="CM154" s="562"/>
      <c r="CN154" s="562"/>
      <c r="CO154" s="562"/>
      <c r="CP154" s="562"/>
      <c r="CQ154" s="562"/>
      <c r="CR154" s="562"/>
      <c r="CS154" s="562"/>
      <c r="CT154" s="562"/>
      <c r="CU154" s="562"/>
      <c r="CV154" s="562"/>
      <c r="CW154" s="562"/>
      <c r="CX154" s="562"/>
      <c r="CY154" s="562"/>
      <c r="CZ154" s="562"/>
      <c r="DA154" s="562"/>
      <c r="DB154" s="562"/>
      <c r="DC154" s="562"/>
      <c r="DD154" s="562"/>
      <c r="DE154" s="562"/>
      <c r="DF154" s="562"/>
      <c r="DG154" s="562"/>
      <c r="DH154" s="562"/>
      <c r="DI154" s="562"/>
      <c r="DJ154" s="562"/>
      <c r="DK154" s="562"/>
      <c r="DL154" s="562"/>
      <c r="DM154" s="562"/>
      <c r="DN154" s="562"/>
      <c r="DO154" s="562"/>
      <c r="DP154" s="562"/>
      <c r="DQ154" s="562"/>
      <c r="DR154" s="562"/>
      <c r="DS154" s="562"/>
      <c r="DT154" s="562"/>
      <c r="DU154" s="562"/>
      <c r="DV154" s="562"/>
      <c r="DW154" s="562"/>
      <c r="DX154" s="562"/>
      <c r="DY154" s="562"/>
      <c r="DZ154" s="562"/>
      <c r="EA154" s="562"/>
      <c r="EB154" s="562"/>
      <c r="EC154" s="562"/>
      <c r="ED154" s="562"/>
      <c r="EE154" s="562"/>
      <c r="EF154" s="562"/>
      <c r="EG154" s="562"/>
      <c r="EH154" s="562"/>
      <c r="EI154" s="562"/>
      <c r="EJ154" s="562"/>
      <c r="EK154" s="562"/>
      <c r="EL154" s="562"/>
      <c r="EM154" s="562"/>
      <c r="EN154" s="562"/>
      <c r="EO154" s="562"/>
      <c r="EP154" s="562"/>
      <c r="EQ154" s="562"/>
      <c r="ER154" s="562"/>
      <c r="ES154" s="562"/>
      <c r="ET154" s="562"/>
      <c r="EU154" s="562"/>
      <c r="EV154" s="562"/>
      <c r="EW154" s="562"/>
      <c r="EX154" s="562"/>
      <c r="EY154" s="562"/>
      <c r="EZ154" s="562"/>
      <c r="FA154" s="562"/>
      <c r="FB154" s="562"/>
      <c r="FC154" s="562"/>
      <c r="FD154" s="562"/>
      <c r="FE154" s="562"/>
      <c r="FF154" s="562"/>
      <c r="FG154" s="562"/>
      <c r="FH154" s="562"/>
      <c r="FI154" s="562"/>
      <c r="FJ154" s="562"/>
      <c r="FK154" s="562"/>
      <c r="FL154" s="562"/>
      <c r="FM154" s="562"/>
      <c r="FN154" s="562"/>
      <c r="FO154" s="562"/>
      <c r="FP154" s="562"/>
      <c r="FQ154" s="562"/>
      <c r="FR154" s="562"/>
      <c r="FS154" s="562"/>
      <c r="FT154" s="562"/>
      <c r="FU154" s="562"/>
      <c r="FV154" s="562"/>
      <c r="FW154" s="562"/>
      <c r="FX154" s="562"/>
      <c r="FY154" s="562"/>
      <c r="FZ154" s="562"/>
      <c r="GA154" s="562"/>
      <c r="GB154" s="562"/>
      <c r="GC154" s="562"/>
      <c r="GD154" s="562"/>
      <c r="GE154" s="562"/>
      <c r="GF154" s="562"/>
      <c r="GG154" s="562"/>
      <c r="GH154" s="562"/>
      <c r="GI154" s="562"/>
      <c r="GJ154" s="562"/>
      <c r="GK154" s="562"/>
      <c r="GL154" s="562"/>
      <c r="GM154" s="562"/>
      <c r="GN154" s="562"/>
      <c r="GO154" s="562"/>
      <c r="GP154" s="562"/>
      <c r="GQ154" s="562"/>
      <c r="GR154" s="562"/>
      <c r="GS154" s="562"/>
      <c r="GT154" s="562"/>
      <c r="GU154" s="562"/>
      <c r="GV154" s="562"/>
      <c r="GW154" s="562"/>
      <c r="GX154" s="562"/>
      <c r="GY154" s="562"/>
      <c r="GZ154" s="562"/>
      <c r="HA154" s="562"/>
      <c r="HB154" s="562"/>
      <c r="HC154" s="562"/>
      <c r="HD154" s="562"/>
      <c r="HE154" s="562"/>
      <c r="HF154" s="562"/>
      <c r="HG154" s="562"/>
      <c r="HH154" s="562"/>
      <c r="HI154" s="562"/>
      <c r="HJ154" s="562"/>
      <c r="HK154" s="562"/>
      <c r="HL154" s="562"/>
      <c r="HM154" s="562"/>
      <c r="HN154" s="562"/>
      <c r="HO154" s="562"/>
      <c r="HP154" s="562"/>
      <c r="HQ154" s="562"/>
      <c r="HR154" s="562"/>
      <c r="HS154" s="562"/>
      <c r="HT154" s="562"/>
      <c r="HU154" s="562"/>
      <c r="HV154" s="562"/>
      <c r="HW154" s="562"/>
      <c r="HX154" s="562"/>
      <c r="HY154" s="562"/>
      <c r="HZ154" s="562"/>
      <c r="IA154" s="562"/>
      <c r="IB154" s="562"/>
      <c r="IC154" s="562"/>
      <c r="ID154" s="562"/>
      <c r="IE154" s="562"/>
      <c r="IF154" s="562"/>
      <c r="IG154" s="562"/>
      <c r="IH154" s="562"/>
      <c r="II154" s="562"/>
      <c r="IJ154" s="562"/>
      <c r="IK154" s="562"/>
      <c r="IL154" s="562"/>
      <c r="IM154" s="562"/>
      <c r="IN154" s="562"/>
      <c r="IO154" s="562"/>
      <c r="IP154" s="562"/>
      <c r="IQ154" s="562"/>
    </row>
    <row r="155" spans="1:252" s="563" customFormat="1" ht="12.75" x14ac:dyDescent="0.25">
      <c r="A155" s="593"/>
      <c r="B155" s="577" t="s">
        <v>214</v>
      </c>
      <c r="C155" s="576" t="s">
        <v>28</v>
      </c>
      <c r="D155" s="569">
        <v>1.21</v>
      </c>
      <c r="E155" s="578">
        <f>D155*E154</f>
        <v>30.25</v>
      </c>
      <c r="F155" s="1179"/>
      <c r="G155" s="566">
        <f>F155*E155</f>
        <v>0</v>
      </c>
      <c r="H155" s="567"/>
      <c r="I155" s="567"/>
      <c r="J155" s="566"/>
      <c r="K155" s="566"/>
      <c r="L155" s="605">
        <f>K155+I155+G155</f>
        <v>0</v>
      </c>
      <c r="M155" s="979"/>
      <c r="N155" s="979"/>
      <c r="O155" s="979"/>
      <c r="P155" s="979"/>
      <c r="Q155" s="979"/>
      <c r="R155" s="979"/>
      <c r="S155" s="979"/>
      <c r="T155" s="979"/>
      <c r="U155" s="979"/>
      <c r="V155" s="979"/>
      <c r="W155" s="979"/>
      <c r="X155" s="979"/>
      <c r="Y155" s="979"/>
      <c r="Z155" s="979"/>
      <c r="AA155" s="979"/>
      <c r="AB155" s="979"/>
      <c r="AC155" s="979"/>
      <c r="AD155" s="979"/>
      <c r="AE155" s="979"/>
      <c r="AF155" s="979"/>
      <c r="AG155" s="979"/>
      <c r="AH155" s="979"/>
      <c r="AI155" s="979"/>
      <c r="AJ155" s="979"/>
      <c r="AK155" s="979"/>
      <c r="AL155" s="979"/>
      <c r="AM155" s="979"/>
      <c r="AN155" s="979"/>
      <c r="AO155" s="979"/>
      <c r="AP155" s="979"/>
      <c r="AQ155" s="979"/>
      <c r="AR155" s="979"/>
      <c r="AS155" s="979"/>
      <c r="AT155" s="979"/>
      <c r="AU155" s="979"/>
      <c r="AV155" s="979"/>
      <c r="AW155" s="979"/>
      <c r="AX155" s="979"/>
      <c r="AY155" s="979"/>
      <c r="AZ155" s="979"/>
      <c r="BA155" s="979"/>
      <c r="BB155" s="979"/>
      <c r="BC155" s="979"/>
      <c r="BD155" s="979"/>
      <c r="BE155" s="979"/>
      <c r="BF155" s="979"/>
      <c r="BG155" s="979"/>
      <c r="BH155" s="979"/>
      <c r="BI155" s="979"/>
      <c r="BJ155" s="562"/>
      <c r="BK155" s="562"/>
      <c r="BL155" s="562"/>
      <c r="BM155" s="562"/>
      <c r="BN155" s="562"/>
      <c r="BO155" s="562"/>
      <c r="BP155" s="562"/>
      <c r="BQ155" s="562"/>
      <c r="BR155" s="562"/>
      <c r="BS155" s="562"/>
      <c r="BT155" s="562"/>
      <c r="BU155" s="562"/>
      <c r="BV155" s="562"/>
      <c r="BW155" s="562"/>
      <c r="BX155" s="562"/>
      <c r="BY155" s="562"/>
      <c r="BZ155" s="562"/>
      <c r="CA155" s="562"/>
      <c r="CB155" s="562"/>
      <c r="CC155" s="562"/>
      <c r="CD155" s="562"/>
      <c r="CE155" s="562"/>
      <c r="CF155" s="562"/>
      <c r="CG155" s="562"/>
      <c r="CH155" s="562"/>
      <c r="CI155" s="562"/>
      <c r="CJ155" s="562"/>
      <c r="CK155" s="562"/>
      <c r="CL155" s="562"/>
      <c r="CM155" s="562"/>
      <c r="CN155" s="562"/>
      <c r="CO155" s="562"/>
      <c r="CP155" s="562"/>
      <c r="CQ155" s="562"/>
      <c r="CR155" s="562"/>
      <c r="CS155" s="562"/>
      <c r="CT155" s="562"/>
      <c r="CU155" s="562"/>
      <c r="CV155" s="562"/>
      <c r="CW155" s="562"/>
      <c r="CX155" s="562"/>
      <c r="CY155" s="562"/>
      <c r="CZ155" s="562"/>
      <c r="DA155" s="562"/>
      <c r="DB155" s="562"/>
      <c r="DC155" s="562"/>
      <c r="DD155" s="562"/>
      <c r="DE155" s="562"/>
      <c r="DF155" s="562"/>
      <c r="DG155" s="562"/>
      <c r="DH155" s="562"/>
      <c r="DI155" s="562"/>
      <c r="DJ155" s="562"/>
      <c r="DK155" s="562"/>
      <c r="DL155" s="562"/>
      <c r="DM155" s="562"/>
      <c r="DN155" s="562"/>
      <c r="DO155" s="562"/>
      <c r="DP155" s="562"/>
      <c r="DQ155" s="562"/>
      <c r="DR155" s="562"/>
      <c r="DS155" s="562"/>
      <c r="DT155" s="562"/>
      <c r="DU155" s="562"/>
      <c r="DV155" s="562"/>
      <c r="DW155" s="562"/>
      <c r="DX155" s="562"/>
      <c r="DY155" s="562"/>
      <c r="DZ155" s="562"/>
      <c r="EA155" s="562"/>
      <c r="EB155" s="562"/>
      <c r="EC155" s="562"/>
      <c r="ED155" s="562"/>
      <c r="EE155" s="562"/>
      <c r="EF155" s="562"/>
      <c r="EG155" s="562"/>
      <c r="EH155" s="562"/>
      <c r="EI155" s="562"/>
      <c r="EJ155" s="562"/>
      <c r="EK155" s="562"/>
      <c r="EL155" s="562"/>
      <c r="EM155" s="562"/>
      <c r="EN155" s="562"/>
      <c r="EO155" s="562"/>
      <c r="EP155" s="562"/>
      <c r="EQ155" s="562"/>
      <c r="ER155" s="562"/>
      <c r="ES155" s="562"/>
      <c r="ET155" s="562"/>
      <c r="EU155" s="562"/>
      <c r="EV155" s="562"/>
      <c r="EW155" s="562"/>
      <c r="EX155" s="562"/>
      <c r="EY155" s="562"/>
      <c r="EZ155" s="562"/>
      <c r="FA155" s="562"/>
      <c r="FB155" s="562"/>
      <c r="FC155" s="562"/>
      <c r="FD155" s="562"/>
      <c r="FE155" s="562"/>
      <c r="FF155" s="562"/>
      <c r="FG155" s="562"/>
      <c r="FH155" s="562"/>
      <c r="FI155" s="562"/>
      <c r="FJ155" s="562"/>
      <c r="FK155" s="562"/>
      <c r="FL155" s="562"/>
      <c r="FM155" s="562"/>
      <c r="FN155" s="562"/>
      <c r="FO155" s="562"/>
      <c r="FP155" s="562"/>
      <c r="FQ155" s="562"/>
      <c r="FR155" s="562"/>
      <c r="FS155" s="562"/>
      <c r="FT155" s="562"/>
      <c r="FU155" s="562"/>
      <c r="FV155" s="562"/>
      <c r="FW155" s="562"/>
      <c r="FX155" s="562"/>
      <c r="FY155" s="562"/>
      <c r="FZ155" s="562"/>
      <c r="GA155" s="562"/>
      <c r="GB155" s="562"/>
      <c r="GC155" s="562"/>
      <c r="GD155" s="562"/>
      <c r="GE155" s="562"/>
      <c r="GF155" s="562"/>
      <c r="GG155" s="562"/>
      <c r="GH155" s="562"/>
      <c r="GI155" s="562"/>
      <c r="GJ155" s="562"/>
      <c r="GK155" s="562"/>
      <c r="GL155" s="562"/>
      <c r="GM155" s="562"/>
      <c r="GN155" s="562"/>
      <c r="GO155" s="562"/>
      <c r="GP155" s="562"/>
      <c r="GQ155" s="562"/>
      <c r="GR155" s="562"/>
      <c r="GS155" s="562"/>
      <c r="GT155" s="562"/>
      <c r="GU155" s="562"/>
      <c r="GV155" s="562"/>
      <c r="GW155" s="562"/>
      <c r="GX155" s="562"/>
      <c r="GY155" s="562"/>
      <c r="GZ155" s="562"/>
      <c r="HA155" s="562"/>
      <c r="HB155" s="562"/>
      <c r="HC155" s="562"/>
      <c r="HD155" s="562"/>
      <c r="HE155" s="562"/>
      <c r="HF155" s="562"/>
      <c r="HG155" s="562"/>
      <c r="HH155" s="562"/>
      <c r="HI155" s="562"/>
      <c r="HJ155" s="562"/>
      <c r="HK155" s="562"/>
      <c r="HL155" s="562"/>
      <c r="HM155" s="562"/>
      <c r="HN155" s="562"/>
      <c r="HO155" s="562"/>
      <c r="HP155" s="562"/>
      <c r="HQ155" s="562"/>
      <c r="HR155" s="562"/>
      <c r="HS155" s="562"/>
      <c r="HT155" s="562"/>
      <c r="HU155" s="562"/>
      <c r="HV155" s="562"/>
      <c r="HW155" s="562"/>
      <c r="HX155" s="562"/>
      <c r="HY155" s="562"/>
      <c r="HZ155" s="562"/>
      <c r="IA155" s="562"/>
      <c r="IB155" s="562"/>
      <c r="IC155" s="562"/>
      <c r="ID155" s="562"/>
      <c r="IE155" s="562"/>
      <c r="IF155" s="562"/>
      <c r="IG155" s="562"/>
      <c r="IH155" s="562"/>
      <c r="II155" s="562"/>
      <c r="IJ155" s="562"/>
      <c r="IK155" s="562"/>
      <c r="IL155" s="562"/>
      <c r="IM155" s="562"/>
      <c r="IN155" s="562"/>
      <c r="IO155" s="562"/>
      <c r="IP155" s="562"/>
      <c r="IQ155" s="562"/>
    </row>
    <row r="156" spans="1:252" s="563" customFormat="1" ht="16.5" customHeight="1" x14ac:dyDescent="0.25">
      <c r="A156" s="590">
        <v>4</v>
      </c>
      <c r="B156" s="529" t="s">
        <v>326</v>
      </c>
      <c r="C156" s="173" t="s">
        <v>234</v>
      </c>
      <c r="D156" s="175"/>
      <c r="E156" s="175">
        <f>200*0.5*0.5*0.1</f>
        <v>5</v>
      </c>
      <c r="F156" s="175"/>
      <c r="G156" s="175"/>
      <c r="H156" s="175"/>
      <c r="I156" s="175"/>
      <c r="J156" s="175"/>
      <c r="K156" s="175"/>
      <c r="L156" s="606"/>
      <c r="M156" s="979"/>
      <c r="N156" s="979"/>
      <c r="O156" s="979"/>
      <c r="P156" s="979"/>
      <c r="Q156" s="979"/>
      <c r="R156" s="979"/>
      <c r="S156" s="979"/>
      <c r="T156" s="979"/>
      <c r="U156" s="979"/>
      <c r="V156" s="979"/>
      <c r="W156" s="979"/>
      <c r="X156" s="979"/>
      <c r="Y156" s="979"/>
      <c r="Z156" s="979"/>
      <c r="AA156" s="979"/>
      <c r="AB156" s="979"/>
      <c r="AC156" s="979"/>
      <c r="AD156" s="979"/>
      <c r="AE156" s="979"/>
      <c r="AF156" s="979"/>
      <c r="AG156" s="979"/>
      <c r="AH156" s="979"/>
      <c r="AI156" s="979"/>
      <c r="AJ156" s="979"/>
      <c r="AK156" s="979"/>
      <c r="AL156" s="979"/>
      <c r="AM156" s="979"/>
      <c r="AN156" s="979"/>
      <c r="AO156" s="979"/>
      <c r="AP156" s="979"/>
      <c r="AQ156" s="979"/>
      <c r="AR156" s="979"/>
      <c r="AS156" s="979"/>
      <c r="AT156" s="979"/>
      <c r="AU156" s="979"/>
      <c r="AV156" s="979"/>
      <c r="AW156" s="979"/>
      <c r="AX156" s="979"/>
      <c r="AY156" s="979"/>
      <c r="AZ156" s="979"/>
      <c r="BA156" s="979"/>
      <c r="BB156" s="979"/>
      <c r="BC156" s="979"/>
      <c r="BD156" s="979"/>
      <c r="BE156" s="979"/>
      <c r="BF156" s="979"/>
      <c r="BG156" s="979"/>
      <c r="BH156" s="979"/>
      <c r="BI156" s="979"/>
      <c r="BJ156" s="562"/>
      <c r="BK156" s="562"/>
      <c r="BL156" s="562"/>
      <c r="BM156" s="562"/>
      <c r="BN156" s="562"/>
      <c r="BO156" s="562"/>
      <c r="BP156" s="562"/>
      <c r="BQ156" s="562"/>
      <c r="BR156" s="562"/>
      <c r="BS156" s="562"/>
      <c r="BT156" s="562"/>
      <c r="BU156" s="562"/>
      <c r="BV156" s="562"/>
      <c r="BW156" s="562"/>
      <c r="BX156" s="562"/>
      <c r="BY156" s="562"/>
      <c r="BZ156" s="562"/>
      <c r="CA156" s="562"/>
      <c r="CB156" s="562"/>
      <c r="CC156" s="562"/>
      <c r="CD156" s="562"/>
      <c r="CE156" s="562"/>
      <c r="CF156" s="562"/>
      <c r="CG156" s="562"/>
      <c r="CH156" s="562"/>
      <c r="CI156" s="562"/>
      <c r="CJ156" s="562"/>
      <c r="CK156" s="562"/>
      <c r="CL156" s="562"/>
      <c r="CM156" s="562"/>
      <c r="CN156" s="562"/>
      <c r="CO156" s="562"/>
      <c r="CP156" s="562"/>
      <c r="CQ156" s="562"/>
      <c r="CR156" s="562"/>
      <c r="CS156" s="562"/>
      <c r="CT156" s="562"/>
      <c r="CU156" s="562"/>
      <c r="CV156" s="562"/>
      <c r="CW156" s="562"/>
      <c r="CX156" s="562"/>
      <c r="CY156" s="562"/>
      <c r="CZ156" s="562"/>
      <c r="DA156" s="562"/>
      <c r="DB156" s="562"/>
      <c r="DC156" s="562"/>
      <c r="DD156" s="562"/>
      <c r="DE156" s="562"/>
      <c r="DF156" s="562"/>
      <c r="DG156" s="562"/>
      <c r="DH156" s="562"/>
      <c r="DI156" s="562"/>
      <c r="DJ156" s="562"/>
      <c r="DK156" s="562"/>
      <c r="DL156" s="562"/>
      <c r="DM156" s="562"/>
      <c r="DN156" s="562"/>
      <c r="DO156" s="562"/>
      <c r="DP156" s="562"/>
      <c r="DQ156" s="562"/>
      <c r="DR156" s="562"/>
      <c r="DS156" s="562"/>
      <c r="DT156" s="562"/>
      <c r="DU156" s="562"/>
      <c r="DV156" s="562"/>
      <c r="DW156" s="562"/>
      <c r="DX156" s="562"/>
      <c r="DY156" s="562"/>
      <c r="DZ156" s="562"/>
      <c r="EA156" s="562"/>
      <c r="EB156" s="562"/>
      <c r="EC156" s="562"/>
      <c r="ED156" s="562"/>
      <c r="EE156" s="562"/>
      <c r="EF156" s="562"/>
      <c r="EG156" s="562"/>
      <c r="EH156" s="562"/>
      <c r="EI156" s="562"/>
      <c r="EJ156" s="562"/>
      <c r="EK156" s="562"/>
      <c r="EL156" s="562"/>
      <c r="EM156" s="562"/>
      <c r="EN156" s="562"/>
      <c r="EO156" s="562"/>
      <c r="EP156" s="562"/>
      <c r="EQ156" s="562"/>
      <c r="ER156" s="562"/>
      <c r="ES156" s="562"/>
      <c r="ET156" s="562"/>
      <c r="EU156" s="562"/>
      <c r="EV156" s="562"/>
      <c r="EW156" s="562"/>
      <c r="EX156" s="562"/>
      <c r="EY156" s="562"/>
      <c r="EZ156" s="562"/>
      <c r="FA156" s="562"/>
      <c r="FB156" s="562"/>
      <c r="FC156" s="562"/>
      <c r="FD156" s="562"/>
      <c r="FE156" s="562"/>
      <c r="FF156" s="562"/>
      <c r="FG156" s="562"/>
      <c r="FH156" s="562"/>
      <c r="FI156" s="562"/>
      <c r="FJ156" s="562"/>
      <c r="FK156" s="562"/>
      <c r="FL156" s="562"/>
      <c r="FM156" s="562"/>
      <c r="FN156" s="562"/>
      <c r="FO156" s="562"/>
      <c r="FP156" s="562"/>
      <c r="FQ156" s="562"/>
      <c r="FR156" s="562"/>
      <c r="FS156" s="562"/>
      <c r="FT156" s="562"/>
      <c r="FU156" s="562"/>
      <c r="FV156" s="562"/>
      <c r="FW156" s="562"/>
      <c r="FX156" s="562"/>
      <c r="FY156" s="562"/>
      <c r="FZ156" s="562"/>
      <c r="GA156" s="562"/>
      <c r="GB156" s="562"/>
      <c r="GC156" s="562"/>
      <c r="GD156" s="562"/>
      <c r="GE156" s="562"/>
      <c r="GF156" s="562"/>
      <c r="GG156" s="562"/>
      <c r="GH156" s="562"/>
      <c r="GI156" s="562"/>
      <c r="GJ156" s="562"/>
      <c r="GK156" s="562"/>
      <c r="GL156" s="562"/>
      <c r="GM156" s="562"/>
      <c r="GN156" s="562"/>
      <c r="GO156" s="562"/>
      <c r="GP156" s="562"/>
      <c r="GQ156" s="562"/>
      <c r="GR156" s="562"/>
      <c r="GS156" s="562"/>
      <c r="GT156" s="562"/>
      <c r="GU156" s="562"/>
      <c r="GV156" s="562"/>
      <c r="GW156" s="562"/>
      <c r="GX156" s="562"/>
      <c r="GY156" s="562"/>
      <c r="GZ156" s="562"/>
      <c r="HA156" s="562"/>
      <c r="HB156" s="562"/>
      <c r="HC156" s="562"/>
      <c r="HD156" s="562"/>
      <c r="HE156" s="562"/>
      <c r="HF156" s="562"/>
      <c r="HG156" s="562"/>
      <c r="HH156" s="562"/>
      <c r="HI156" s="562"/>
      <c r="HJ156" s="562"/>
      <c r="HK156" s="562"/>
      <c r="HL156" s="562"/>
      <c r="HM156" s="562"/>
      <c r="HN156" s="562"/>
      <c r="HO156" s="562"/>
      <c r="HP156" s="562"/>
      <c r="HQ156" s="562"/>
      <c r="HR156" s="562"/>
      <c r="HS156" s="562"/>
      <c r="HT156" s="562"/>
      <c r="HU156" s="562"/>
      <c r="HV156" s="562"/>
      <c r="HW156" s="562"/>
      <c r="HX156" s="562"/>
      <c r="HY156" s="562"/>
      <c r="HZ156" s="562"/>
      <c r="IA156" s="562"/>
      <c r="IB156" s="562"/>
      <c r="IC156" s="562"/>
      <c r="ID156" s="562"/>
      <c r="IE156" s="562"/>
      <c r="IF156" s="562"/>
      <c r="IG156" s="562"/>
      <c r="IH156" s="562"/>
      <c r="II156" s="562"/>
      <c r="IJ156" s="562"/>
      <c r="IK156" s="562"/>
      <c r="IL156" s="562"/>
      <c r="IM156" s="562"/>
      <c r="IN156" s="562"/>
      <c r="IO156" s="562"/>
      <c r="IP156" s="562"/>
      <c r="IQ156" s="562"/>
    </row>
    <row r="157" spans="1:252" s="563" customFormat="1" ht="12.75" x14ac:dyDescent="0.25">
      <c r="A157" s="591"/>
      <c r="B157" s="570" t="s">
        <v>214</v>
      </c>
      <c r="C157" s="176" t="s">
        <v>28</v>
      </c>
      <c r="D157" s="176">
        <v>1.8</v>
      </c>
      <c r="E157" s="63">
        <f>D157*E156</f>
        <v>9</v>
      </c>
      <c r="F157" s="1179"/>
      <c r="G157" s="566">
        <f>F157*E157</f>
        <v>0</v>
      </c>
      <c r="H157" s="567"/>
      <c r="I157" s="567"/>
      <c r="J157" s="579"/>
      <c r="K157" s="566"/>
      <c r="L157" s="605">
        <f>K157+I157+G157</f>
        <v>0</v>
      </c>
      <c r="M157" s="979"/>
      <c r="N157" s="979"/>
      <c r="O157" s="979"/>
      <c r="P157" s="979"/>
      <c r="Q157" s="979"/>
      <c r="R157" s="979"/>
      <c r="S157" s="979"/>
      <c r="T157" s="979"/>
      <c r="U157" s="979"/>
      <c r="V157" s="979"/>
      <c r="W157" s="979"/>
      <c r="X157" s="979"/>
      <c r="Y157" s="979"/>
      <c r="Z157" s="979"/>
      <c r="AA157" s="979"/>
      <c r="AB157" s="979"/>
      <c r="AC157" s="979"/>
      <c r="AD157" s="979"/>
      <c r="AE157" s="979"/>
      <c r="AF157" s="979"/>
      <c r="AG157" s="979"/>
      <c r="AH157" s="979"/>
      <c r="AI157" s="979"/>
      <c r="AJ157" s="979"/>
      <c r="AK157" s="979"/>
      <c r="AL157" s="979"/>
      <c r="AM157" s="979"/>
      <c r="AN157" s="979"/>
      <c r="AO157" s="979"/>
      <c r="AP157" s="979"/>
      <c r="AQ157" s="979"/>
      <c r="AR157" s="979"/>
      <c r="AS157" s="979"/>
      <c r="AT157" s="979"/>
      <c r="AU157" s="979"/>
      <c r="AV157" s="979"/>
      <c r="AW157" s="979"/>
      <c r="AX157" s="979"/>
      <c r="AY157" s="979"/>
      <c r="AZ157" s="979"/>
      <c r="BA157" s="979"/>
      <c r="BB157" s="979"/>
      <c r="BC157" s="979"/>
      <c r="BD157" s="979"/>
      <c r="BE157" s="979"/>
      <c r="BF157" s="979"/>
      <c r="BG157" s="979"/>
      <c r="BH157" s="979"/>
      <c r="BI157" s="979"/>
      <c r="BJ157" s="562"/>
      <c r="BK157" s="562"/>
      <c r="BL157" s="562"/>
      <c r="BM157" s="562"/>
      <c r="BN157" s="562"/>
      <c r="BO157" s="562"/>
      <c r="BP157" s="562"/>
      <c r="BQ157" s="562"/>
      <c r="BR157" s="562"/>
      <c r="BS157" s="562"/>
      <c r="BT157" s="562"/>
      <c r="BU157" s="562"/>
      <c r="BV157" s="562"/>
      <c r="BW157" s="562"/>
      <c r="BX157" s="562"/>
      <c r="BY157" s="562"/>
      <c r="BZ157" s="562"/>
      <c r="CA157" s="562"/>
      <c r="CB157" s="562"/>
      <c r="CC157" s="562"/>
      <c r="CD157" s="562"/>
      <c r="CE157" s="562"/>
      <c r="CF157" s="562"/>
      <c r="CG157" s="562"/>
      <c r="CH157" s="562"/>
      <c r="CI157" s="562"/>
      <c r="CJ157" s="562"/>
      <c r="CK157" s="562"/>
      <c r="CL157" s="562"/>
      <c r="CM157" s="562"/>
      <c r="CN157" s="562"/>
      <c r="CO157" s="562"/>
      <c r="CP157" s="562"/>
      <c r="CQ157" s="562"/>
      <c r="CR157" s="562"/>
      <c r="CS157" s="562"/>
      <c r="CT157" s="562"/>
      <c r="CU157" s="562"/>
      <c r="CV157" s="562"/>
      <c r="CW157" s="562"/>
      <c r="CX157" s="562"/>
      <c r="CY157" s="562"/>
      <c r="CZ157" s="562"/>
      <c r="DA157" s="562"/>
      <c r="DB157" s="562"/>
      <c r="DC157" s="562"/>
      <c r="DD157" s="562"/>
      <c r="DE157" s="562"/>
      <c r="DF157" s="562"/>
      <c r="DG157" s="562"/>
      <c r="DH157" s="562"/>
      <c r="DI157" s="562"/>
      <c r="DJ157" s="562"/>
      <c r="DK157" s="562"/>
      <c r="DL157" s="562"/>
      <c r="DM157" s="562"/>
      <c r="DN157" s="562"/>
      <c r="DO157" s="562"/>
      <c r="DP157" s="562"/>
      <c r="DQ157" s="562"/>
      <c r="DR157" s="562"/>
      <c r="DS157" s="562"/>
      <c r="DT157" s="562"/>
      <c r="DU157" s="562"/>
      <c r="DV157" s="562"/>
      <c r="DW157" s="562"/>
      <c r="DX157" s="562"/>
      <c r="DY157" s="562"/>
      <c r="DZ157" s="562"/>
      <c r="EA157" s="562"/>
      <c r="EB157" s="562"/>
      <c r="EC157" s="562"/>
      <c r="ED157" s="562"/>
      <c r="EE157" s="562"/>
      <c r="EF157" s="562"/>
      <c r="EG157" s="562"/>
      <c r="EH157" s="562"/>
      <c r="EI157" s="562"/>
      <c r="EJ157" s="562"/>
      <c r="EK157" s="562"/>
      <c r="EL157" s="562"/>
      <c r="EM157" s="562"/>
      <c r="EN157" s="562"/>
      <c r="EO157" s="562"/>
      <c r="EP157" s="562"/>
      <c r="EQ157" s="562"/>
      <c r="ER157" s="562"/>
      <c r="ES157" s="562"/>
      <c r="ET157" s="562"/>
      <c r="EU157" s="562"/>
      <c r="EV157" s="562"/>
      <c r="EW157" s="562"/>
      <c r="EX157" s="562"/>
      <c r="EY157" s="562"/>
      <c r="EZ157" s="562"/>
      <c r="FA157" s="562"/>
      <c r="FB157" s="562"/>
      <c r="FC157" s="562"/>
      <c r="FD157" s="562"/>
      <c r="FE157" s="562"/>
      <c r="FF157" s="562"/>
      <c r="FG157" s="562"/>
      <c r="FH157" s="562"/>
      <c r="FI157" s="562"/>
      <c r="FJ157" s="562"/>
      <c r="FK157" s="562"/>
      <c r="FL157" s="562"/>
      <c r="FM157" s="562"/>
      <c r="FN157" s="562"/>
      <c r="FO157" s="562"/>
      <c r="FP157" s="562"/>
      <c r="FQ157" s="562"/>
      <c r="FR157" s="562"/>
      <c r="FS157" s="562"/>
      <c r="FT157" s="562"/>
      <c r="FU157" s="562"/>
      <c r="FV157" s="562"/>
      <c r="FW157" s="562"/>
      <c r="FX157" s="562"/>
      <c r="FY157" s="562"/>
      <c r="FZ157" s="562"/>
      <c r="GA157" s="562"/>
      <c r="GB157" s="562"/>
      <c r="GC157" s="562"/>
      <c r="GD157" s="562"/>
      <c r="GE157" s="562"/>
      <c r="GF157" s="562"/>
      <c r="GG157" s="562"/>
      <c r="GH157" s="562"/>
      <c r="GI157" s="562"/>
      <c r="GJ157" s="562"/>
      <c r="GK157" s="562"/>
      <c r="GL157" s="562"/>
      <c r="GM157" s="562"/>
      <c r="GN157" s="562"/>
      <c r="GO157" s="562"/>
      <c r="GP157" s="562"/>
      <c r="GQ157" s="562"/>
      <c r="GR157" s="562"/>
      <c r="GS157" s="562"/>
      <c r="GT157" s="562"/>
      <c r="GU157" s="562"/>
      <c r="GV157" s="562"/>
      <c r="GW157" s="562"/>
      <c r="GX157" s="562"/>
      <c r="GY157" s="562"/>
      <c r="GZ157" s="562"/>
      <c r="HA157" s="562"/>
      <c r="HB157" s="562"/>
      <c r="HC157" s="562"/>
      <c r="HD157" s="562"/>
      <c r="HE157" s="562"/>
      <c r="HF157" s="562"/>
      <c r="HG157" s="562"/>
      <c r="HH157" s="562"/>
      <c r="HI157" s="562"/>
      <c r="HJ157" s="562"/>
      <c r="HK157" s="562"/>
      <c r="HL157" s="562"/>
      <c r="HM157" s="562"/>
      <c r="HN157" s="562"/>
      <c r="HO157" s="562"/>
      <c r="HP157" s="562"/>
      <c r="HQ157" s="562"/>
      <c r="HR157" s="562"/>
      <c r="HS157" s="562"/>
      <c r="HT157" s="562"/>
      <c r="HU157" s="562"/>
      <c r="HV157" s="562"/>
      <c r="HW157" s="562"/>
      <c r="HX157" s="562"/>
      <c r="HY157" s="562"/>
      <c r="HZ157" s="562"/>
      <c r="IA157" s="562"/>
      <c r="IB157" s="562"/>
      <c r="IC157" s="562"/>
      <c r="ID157" s="562"/>
      <c r="IE157" s="562"/>
      <c r="IF157" s="562"/>
      <c r="IG157" s="562"/>
      <c r="IH157" s="562"/>
      <c r="II157" s="562"/>
      <c r="IJ157" s="562"/>
      <c r="IK157" s="562"/>
      <c r="IL157" s="562"/>
      <c r="IM157" s="562"/>
      <c r="IN157" s="562"/>
      <c r="IO157" s="562"/>
      <c r="IP157" s="562"/>
      <c r="IQ157" s="562"/>
    </row>
    <row r="158" spans="1:252" s="563" customFormat="1" ht="15" x14ac:dyDescent="0.25">
      <c r="A158" s="591"/>
      <c r="B158" s="570" t="s">
        <v>327</v>
      </c>
      <c r="C158" s="176" t="s">
        <v>220</v>
      </c>
      <c r="D158" s="176">
        <v>1.1000000000000001</v>
      </c>
      <c r="E158" s="63">
        <f>D158*E156</f>
        <v>5.5</v>
      </c>
      <c r="F158" s="567"/>
      <c r="G158" s="567"/>
      <c r="H158" s="1180"/>
      <c r="I158" s="63">
        <f>H158*E158</f>
        <v>0</v>
      </c>
      <c r="J158" s="579"/>
      <c r="K158" s="566"/>
      <c r="L158" s="605">
        <f>K158+I158+G158</f>
        <v>0</v>
      </c>
      <c r="M158" s="979"/>
      <c r="N158" s="979"/>
      <c r="O158" s="979"/>
      <c r="P158" s="979"/>
      <c r="Q158" s="979"/>
      <c r="R158" s="979"/>
      <c r="S158" s="979"/>
      <c r="T158" s="979"/>
      <c r="U158" s="979"/>
      <c r="V158" s="979"/>
      <c r="W158" s="979"/>
      <c r="X158" s="979"/>
      <c r="Y158" s="979"/>
      <c r="Z158" s="979"/>
      <c r="AA158" s="979"/>
      <c r="AB158" s="979"/>
      <c r="AC158" s="979"/>
      <c r="AD158" s="979"/>
      <c r="AE158" s="979"/>
      <c r="AF158" s="979"/>
      <c r="AG158" s="979"/>
      <c r="AH158" s="979"/>
      <c r="AI158" s="979"/>
      <c r="AJ158" s="979"/>
      <c r="AK158" s="979"/>
      <c r="AL158" s="979"/>
      <c r="AM158" s="979"/>
      <c r="AN158" s="979"/>
      <c r="AO158" s="979"/>
      <c r="AP158" s="979"/>
      <c r="AQ158" s="979"/>
      <c r="AR158" s="979"/>
      <c r="AS158" s="979"/>
      <c r="AT158" s="979"/>
      <c r="AU158" s="979"/>
      <c r="AV158" s="979"/>
      <c r="AW158" s="979"/>
      <c r="AX158" s="979"/>
      <c r="AY158" s="979"/>
      <c r="AZ158" s="979"/>
      <c r="BA158" s="979"/>
      <c r="BB158" s="979"/>
      <c r="BC158" s="979"/>
      <c r="BD158" s="979"/>
      <c r="BE158" s="979"/>
      <c r="BF158" s="979"/>
      <c r="BG158" s="979"/>
      <c r="BH158" s="979"/>
      <c r="BI158" s="979"/>
      <c r="BJ158" s="562"/>
      <c r="BK158" s="562"/>
      <c r="BL158" s="562"/>
      <c r="BM158" s="562"/>
      <c r="BN158" s="562"/>
      <c r="BO158" s="562"/>
      <c r="BP158" s="562"/>
      <c r="BQ158" s="562"/>
      <c r="BR158" s="562"/>
      <c r="BS158" s="562"/>
      <c r="BT158" s="562"/>
      <c r="BU158" s="562"/>
      <c r="BV158" s="562"/>
      <c r="BW158" s="562"/>
      <c r="BX158" s="562"/>
      <c r="BY158" s="562"/>
      <c r="BZ158" s="562"/>
      <c r="CA158" s="562"/>
      <c r="CB158" s="562"/>
      <c r="CC158" s="562"/>
      <c r="CD158" s="562"/>
      <c r="CE158" s="562"/>
      <c r="CF158" s="562"/>
      <c r="CG158" s="562"/>
      <c r="CH158" s="562"/>
      <c r="CI158" s="562"/>
      <c r="CJ158" s="562"/>
      <c r="CK158" s="562"/>
      <c r="CL158" s="562"/>
      <c r="CM158" s="562"/>
      <c r="CN158" s="562"/>
      <c r="CO158" s="562"/>
      <c r="CP158" s="562"/>
      <c r="CQ158" s="562"/>
      <c r="CR158" s="562"/>
      <c r="CS158" s="562"/>
      <c r="CT158" s="562"/>
      <c r="CU158" s="562"/>
      <c r="CV158" s="562"/>
      <c r="CW158" s="562"/>
      <c r="CX158" s="562"/>
      <c r="CY158" s="562"/>
      <c r="CZ158" s="562"/>
      <c r="DA158" s="562"/>
      <c r="DB158" s="562"/>
      <c r="DC158" s="562"/>
      <c r="DD158" s="562"/>
      <c r="DE158" s="562"/>
      <c r="DF158" s="562"/>
      <c r="DG158" s="562"/>
      <c r="DH158" s="562"/>
      <c r="DI158" s="562"/>
      <c r="DJ158" s="562"/>
      <c r="DK158" s="562"/>
      <c r="DL158" s="562"/>
      <c r="DM158" s="562"/>
      <c r="DN158" s="562"/>
      <c r="DO158" s="562"/>
      <c r="DP158" s="562"/>
      <c r="DQ158" s="562"/>
      <c r="DR158" s="562"/>
      <c r="DS158" s="562"/>
      <c r="DT158" s="562"/>
      <c r="DU158" s="562"/>
      <c r="DV158" s="562"/>
      <c r="DW158" s="562"/>
      <c r="DX158" s="562"/>
      <c r="DY158" s="562"/>
      <c r="DZ158" s="562"/>
      <c r="EA158" s="562"/>
      <c r="EB158" s="562"/>
      <c r="EC158" s="562"/>
      <c r="ED158" s="562"/>
      <c r="EE158" s="562"/>
      <c r="EF158" s="562"/>
      <c r="EG158" s="562"/>
      <c r="EH158" s="562"/>
      <c r="EI158" s="562"/>
      <c r="EJ158" s="562"/>
      <c r="EK158" s="562"/>
      <c r="EL158" s="562"/>
      <c r="EM158" s="562"/>
      <c r="EN158" s="562"/>
      <c r="EO158" s="562"/>
      <c r="EP158" s="562"/>
      <c r="EQ158" s="562"/>
      <c r="ER158" s="562"/>
      <c r="ES158" s="562"/>
      <c r="ET158" s="562"/>
      <c r="EU158" s="562"/>
      <c r="EV158" s="562"/>
      <c r="EW158" s="562"/>
      <c r="EX158" s="562"/>
      <c r="EY158" s="562"/>
      <c r="EZ158" s="562"/>
      <c r="FA158" s="562"/>
      <c r="FB158" s="562"/>
      <c r="FC158" s="562"/>
      <c r="FD158" s="562"/>
      <c r="FE158" s="562"/>
      <c r="FF158" s="562"/>
      <c r="FG158" s="562"/>
      <c r="FH158" s="562"/>
      <c r="FI158" s="562"/>
      <c r="FJ158" s="562"/>
      <c r="FK158" s="562"/>
      <c r="FL158" s="562"/>
      <c r="FM158" s="562"/>
      <c r="FN158" s="562"/>
      <c r="FO158" s="562"/>
      <c r="FP158" s="562"/>
      <c r="FQ158" s="562"/>
      <c r="FR158" s="562"/>
      <c r="FS158" s="562"/>
      <c r="FT158" s="562"/>
      <c r="FU158" s="562"/>
      <c r="FV158" s="562"/>
      <c r="FW158" s="562"/>
      <c r="FX158" s="562"/>
      <c r="FY158" s="562"/>
      <c r="FZ158" s="562"/>
      <c r="GA158" s="562"/>
      <c r="GB158" s="562"/>
      <c r="GC158" s="562"/>
      <c r="GD158" s="562"/>
      <c r="GE158" s="562"/>
      <c r="GF158" s="562"/>
      <c r="GG158" s="562"/>
      <c r="GH158" s="562"/>
      <c r="GI158" s="562"/>
      <c r="GJ158" s="562"/>
      <c r="GK158" s="562"/>
      <c r="GL158" s="562"/>
      <c r="GM158" s="562"/>
      <c r="GN158" s="562"/>
      <c r="GO158" s="562"/>
      <c r="GP158" s="562"/>
      <c r="GQ158" s="562"/>
      <c r="GR158" s="562"/>
      <c r="GS158" s="562"/>
      <c r="GT158" s="562"/>
      <c r="GU158" s="562"/>
      <c r="GV158" s="562"/>
      <c r="GW158" s="562"/>
      <c r="GX158" s="562"/>
      <c r="GY158" s="562"/>
      <c r="GZ158" s="562"/>
      <c r="HA158" s="562"/>
      <c r="HB158" s="562"/>
      <c r="HC158" s="562"/>
      <c r="HD158" s="562"/>
      <c r="HE158" s="562"/>
      <c r="HF158" s="562"/>
      <c r="HG158" s="562"/>
      <c r="HH158" s="562"/>
      <c r="HI158" s="562"/>
      <c r="HJ158" s="562"/>
      <c r="HK158" s="562"/>
      <c r="HL158" s="562"/>
      <c r="HM158" s="562"/>
      <c r="HN158" s="562"/>
      <c r="HO158" s="562"/>
      <c r="HP158" s="562"/>
      <c r="HQ158" s="562"/>
      <c r="HR158" s="562"/>
      <c r="HS158" s="562"/>
      <c r="HT158" s="562"/>
      <c r="HU158" s="562"/>
      <c r="HV158" s="562"/>
      <c r="HW158" s="562"/>
      <c r="HX158" s="562"/>
      <c r="HY158" s="562"/>
      <c r="HZ158" s="562"/>
      <c r="IA158" s="562"/>
      <c r="IB158" s="562"/>
      <c r="IC158" s="562"/>
      <c r="ID158" s="562"/>
      <c r="IE158" s="562"/>
      <c r="IF158" s="562"/>
      <c r="IG158" s="562"/>
      <c r="IH158" s="562"/>
      <c r="II158" s="562"/>
      <c r="IJ158" s="562"/>
      <c r="IK158" s="562"/>
      <c r="IL158" s="562"/>
      <c r="IM158" s="562"/>
      <c r="IN158" s="562"/>
      <c r="IO158" s="562"/>
      <c r="IP158" s="562"/>
      <c r="IQ158" s="562"/>
    </row>
    <row r="159" spans="1:252" s="563" customFormat="1" ht="12.75" x14ac:dyDescent="0.25">
      <c r="A159" s="588">
        <v>5</v>
      </c>
      <c r="B159" s="283" t="s">
        <v>330</v>
      </c>
      <c r="C159" s="560" t="s">
        <v>34</v>
      </c>
      <c r="D159" s="560"/>
      <c r="E159" s="561">
        <v>200</v>
      </c>
      <c r="F159" s="561"/>
      <c r="G159" s="561"/>
      <c r="H159" s="567"/>
      <c r="I159" s="567"/>
      <c r="J159" s="561"/>
      <c r="K159" s="561"/>
      <c r="L159" s="604"/>
      <c r="M159" s="980"/>
      <c r="N159" s="980"/>
      <c r="O159" s="980"/>
      <c r="P159" s="980"/>
      <c r="Q159" s="980"/>
      <c r="R159" s="980"/>
      <c r="S159" s="980"/>
      <c r="T159" s="980"/>
      <c r="U159" s="980"/>
      <c r="V159" s="980"/>
      <c r="W159" s="980"/>
      <c r="X159" s="980"/>
      <c r="Y159" s="980"/>
      <c r="Z159" s="980"/>
      <c r="AA159" s="980"/>
      <c r="AB159" s="980"/>
      <c r="AC159" s="980"/>
      <c r="AD159" s="980"/>
      <c r="AE159" s="980"/>
      <c r="AF159" s="980"/>
      <c r="AG159" s="980"/>
      <c r="AH159" s="980"/>
      <c r="AI159" s="980"/>
      <c r="AJ159" s="980"/>
      <c r="AK159" s="980"/>
      <c r="AL159" s="980"/>
      <c r="AM159" s="980"/>
      <c r="AN159" s="980"/>
      <c r="AO159" s="980"/>
      <c r="AP159" s="980"/>
      <c r="AQ159" s="980"/>
      <c r="AR159" s="980"/>
      <c r="AS159" s="980"/>
      <c r="AT159" s="980"/>
      <c r="AU159" s="980"/>
      <c r="AV159" s="980"/>
      <c r="AW159" s="980"/>
      <c r="AX159" s="980"/>
      <c r="AY159" s="980"/>
      <c r="AZ159" s="980"/>
      <c r="BA159" s="980"/>
      <c r="BB159" s="980"/>
      <c r="BC159" s="980"/>
      <c r="BD159" s="980"/>
      <c r="BE159" s="980"/>
      <c r="BF159" s="980"/>
      <c r="BG159" s="980"/>
      <c r="BH159" s="980"/>
      <c r="BI159" s="980"/>
      <c r="BJ159" s="568"/>
      <c r="BK159" s="568"/>
      <c r="BL159" s="568"/>
      <c r="BM159" s="568"/>
      <c r="BN159" s="568"/>
      <c r="BO159" s="568"/>
      <c r="BP159" s="568"/>
      <c r="BQ159" s="568"/>
      <c r="BR159" s="568"/>
      <c r="BS159" s="568"/>
      <c r="BT159" s="568"/>
      <c r="BU159" s="568"/>
      <c r="BV159" s="568"/>
      <c r="BW159" s="568"/>
      <c r="BX159" s="568"/>
      <c r="BY159" s="568"/>
      <c r="BZ159" s="568"/>
      <c r="CA159" s="568"/>
      <c r="CB159" s="568"/>
      <c r="CC159" s="568"/>
      <c r="CD159" s="568"/>
      <c r="CE159" s="568"/>
      <c r="CF159" s="568"/>
      <c r="CG159" s="568"/>
      <c r="CH159" s="568"/>
      <c r="CI159" s="568"/>
      <c r="CJ159" s="568"/>
      <c r="CK159" s="568"/>
      <c r="CL159" s="568"/>
      <c r="CM159" s="568"/>
      <c r="CN159" s="568"/>
      <c r="CO159" s="568"/>
      <c r="CP159" s="568"/>
      <c r="CQ159" s="568"/>
      <c r="CR159" s="568"/>
      <c r="CS159" s="568"/>
      <c r="CT159" s="568"/>
      <c r="CU159" s="568"/>
      <c r="CV159" s="568"/>
      <c r="CW159" s="568"/>
      <c r="CX159" s="568"/>
      <c r="CY159" s="568"/>
      <c r="CZ159" s="568"/>
      <c r="DA159" s="568"/>
      <c r="DB159" s="568"/>
      <c r="DC159" s="568"/>
      <c r="DD159" s="568"/>
      <c r="DE159" s="568"/>
      <c r="DF159" s="568"/>
      <c r="DG159" s="568"/>
      <c r="DH159" s="568"/>
      <c r="DI159" s="568"/>
      <c r="DJ159" s="568"/>
      <c r="DK159" s="568"/>
      <c r="DL159" s="568"/>
      <c r="DM159" s="568"/>
      <c r="DN159" s="568"/>
      <c r="DO159" s="568"/>
      <c r="DP159" s="568"/>
      <c r="DQ159" s="568"/>
      <c r="DR159" s="568"/>
      <c r="DS159" s="568"/>
      <c r="DT159" s="568"/>
      <c r="DU159" s="568"/>
      <c r="DV159" s="568"/>
      <c r="DW159" s="568"/>
      <c r="DX159" s="568"/>
      <c r="DY159" s="568"/>
      <c r="DZ159" s="568"/>
      <c r="EA159" s="568"/>
      <c r="EB159" s="568"/>
      <c r="EC159" s="568"/>
      <c r="ED159" s="568"/>
      <c r="EE159" s="568"/>
      <c r="EF159" s="568"/>
      <c r="EG159" s="568"/>
      <c r="EH159" s="568"/>
      <c r="EI159" s="568"/>
      <c r="EJ159" s="568"/>
      <c r="EK159" s="568"/>
      <c r="EL159" s="568"/>
      <c r="EM159" s="568"/>
      <c r="EN159" s="568"/>
      <c r="EO159" s="568"/>
      <c r="EP159" s="568"/>
      <c r="EQ159" s="568"/>
      <c r="ER159" s="568"/>
      <c r="ES159" s="568"/>
      <c r="ET159" s="568"/>
      <c r="EU159" s="568"/>
      <c r="EV159" s="568"/>
      <c r="EW159" s="568"/>
      <c r="EX159" s="568"/>
      <c r="EY159" s="568"/>
      <c r="EZ159" s="568"/>
      <c r="FA159" s="568"/>
      <c r="FB159" s="568"/>
      <c r="FC159" s="568"/>
      <c r="FD159" s="568"/>
      <c r="FE159" s="568"/>
      <c r="FF159" s="568"/>
      <c r="FG159" s="568"/>
      <c r="FH159" s="568"/>
      <c r="FI159" s="568"/>
      <c r="FJ159" s="568"/>
      <c r="FK159" s="568"/>
      <c r="FL159" s="568"/>
      <c r="FM159" s="568"/>
      <c r="FN159" s="568"/>
      <c r="FO159" s="568"/>
      <c r="FP159" s="568"/>
      <c r="FQ159" s="568"/>
      <c r="FR159" s="568"/>
      <c r="FS159" s="568"/>
      <c r="FT159" s="568"/>
      <c r="FU159" s="568"/>
      <c r="FV159" s="568"/>
      <c r="FW159" s="568"/>
      <c r="FX159" s="568"/>
      <c r="FY159" s="568"/>
      <c r="FZ159" s="568"/>
      <c r="GA159" s="568"/>
      <c r="GB159" s="568"/>
      <c r="GC159" s="568"/>
      <c r="GD159" s="568"/>
      <c r="GE159" s="568"/>
      <c r="GF159" s="568"/>
      <c r="GG159" s="568"/>
      <c r="GH159" s="568"/>
      <c r="GI159" s="568"/>
      <c r="GJ159" s="568"/>
      <c r="GK159" s="568"/>
      <c r="GL159" s="568"/>
      <c r="GM159" s="568"/>
      <c r="GN159" s="568"/>
      <c r="GO159" s="568"/>
      <c r="GP159" s="568"/>
      <c r="GQ159" s="568"/>
      <c r="GR159" s="568"/>
      <c r="GS159" s="568"/>
      <c r="GT159" s="568"/>
      <c r="GU159" s="568"/>
      <c r="GV159" s="568"/>
      <c r="GW159" s="568"/>
      <c r="GX159" s="568"/>
      <c r="GY159" s="568"/>
      <c r="GZ159" s="568"/>
      <c r="HA159" s="568"/>
      <c r="HB159" s="568"/>
      <c r="HC159" s="568"/>
      <c r="HD159" s="568"/>
      <c r="HE159" s="568"/>
      <c r="HF159" s="568"/>
      <c r="HG159" s="568"/>
      <c r="HH159" s="568"/>
      <c r="HI159" s="568"/>
      <c r="HJ159" s="568"/>
      <c r="HK159" s="568"/>
      <c r="HL159" s="568"/>
      <c r="HM159" s="568"/>
      <c r="HN159" s="568"/>
      <c r="HO159" s="568"/>
      <c r="HP159" s="568"/>
      <c r="HQ159" s="568"/>
      <c r="HR159" s="568"/>
      <c r="HS159" s="568"/>
      <c r="HT159" s="568"/>
      <c r="HU159" s="568"/>
      <c r="HV159" s="568"/>
      <c r="HW159" s="568"/>
      <c r="HX159" s="568"/>
      <c r="HY159" s="568"/>
      <c r="HZ159" s="568"/>
      <c r="IA159" s="568"/>
      <c r="IB159" s="568"/>
      <c r="IC159" s="568"/>
      <c r="ID159" s="568"/>
      <c r="IE159" s="568"/>
      <c r="IF159" s="568"/>
      <c r="IG159" s="568"/>
      <c r="IH159" s="568"/>
      <c r="II159" s="568"/>
      <c r="IJ159" s="568"/>
      <c r="IK159" s="568"/>
      <c r="IL159" s="568"/>
      <c r="IM159" s="568"/>
      <c r="IN159" s="568"/>
      <c r="IO159" s="568"/>
      <c r="IP159" s="568"/>
      <c r="IQ159" s="568"/>
      <c r="IR159" s="568"/>
    </row>
    <row r="160" spans="1:252" s="563" customFormat="1" ht="12.75" x14ac:dyDescent="0.25">
      <c r="A160" s="594"/>
      <c r="B160" s="564" t="s">
        <v>214</v>
      </c>
      <c r="C160" s="565" t="s">
        <v>28</v>
      </c>
      <c r="D160" s="565">
        <f>245/1000</f>
        <v>0.245</v>
      </c>
      <c r="E160" s="566">
        <f>D160*E159</f>
        <v>49</v>
      </c>
      <c r="F160" s="1180"/>
      <c r="G160" s="579">
        <f>E160*F160</f>
        <v>0</v>
      </c>
      <c r="H160" s="567"/>
      <c r="I160" s="567"/>
      <c r="J160" s="579"/>
      <c r="K160" s="579"/>
      <c r="L160" s="608">
        <f>K160+I160+G160</f>
        <v>0</v>
      </c>
      <c r="M160" s="982"/>
      <c r="N160" s="982"/>
      <c r="O160" s="982"/>
      <c r="P160" s="982"/>
      <c r="Q160" s="982"/>
      <c r="R160" s="982"/>
      <c r="S160" s="982"/>
      <c r="T160" s="982"/>
      <c r="U160" s="982"/>
      <c r="V160" s="982"/>
      <c r="W160" s="982"/>
      <c r="X160" s="982"/>
      <c r="Y160" s="982"/>
      <c r="Z160" s="982"/>
      <c r="AA160" s="982"/>
      <c r="AB160" s="982"/>
      <c r="AC160" s="982"/>
      <c r="AD160" s="982"/>
      <c r="AE160" s="982"/>
      <c r="AF160" s="982"/>
      <c r="AG160" s="982"/>
      <c r="AH160" s="982"/>
      <c r="AI160" s="982"/>
      <c r="AJ160" s="982"/>
      <c r="AK160" s="982"/>
      <c r="AL160" s="982"/>
      <c r="AM160" s="982"/>
      <c r="AN160" s="982"/>
      <c r="AO160" s="982"/>
      <c r="AP160" s="982"/>
      <c r="AQ160" s="982"/>
      <c r="AR160" s="982"/>
      <c r="AS160" s="982"/>
      <c r="AT160" s="982"/>
      <c r="AU160" s="982"/>
      <c r="AV160" s="982"/>
      <c r="AW160" s="982"/>
      <c r="AX160" s="982"/>
      <c r="AY160" s="982"/>
      <c r="AZ160" s="982"/>
      <c r="BA160" s="982"/>
      <c r="BB160" s="982"/>
      <c r="BC160" s="982"/>
      <c r="BD160" s="982"/>
      <c r="BE160" s="982"/>
      <c r="BF160" s="982"/>
      <c r="BG160" s="982"/>
      <c r="BH160" s="982"/>
      <c r="BI160" s="982"/>
    </row>
    <row r="161" spans="1:252" s="563" customFormat="1" ht="12.75" x14ac:dyDescent="0.25">
      <c r="A161" s="594"/>
      <c r="B161" s="564" t="s">
        <v>14</v>
      </c>
      <c r="C161" s="565" t="s">
        <v>15</v>
      </c>
      <c r="D161" s="565">
        <f>109/1000</f>
        <v>0.109</v>
      </c>
      <c r="E161" s="566">
        <f>D161*E159</f>
        <v>21.8</v>
      </c>
      <c r="F161" s="566"/>
      <c r="G161" s="566"/>
      <c r="H161" s="566"/>
      <c r="I161" s="579"/>
      <c r="J161" s="953"/>
      <c r="K161" s="566">
        <f>J161*E161</f>
        <v>0</v>
      </c>
      <c r="L161" s="608">
        <f>K161+I161+G161</f>
        <v>0</v>
      </c>
      <c r="M161" s="983"/>
      <c r="N161" s="983"/>
      <c r="O161" s="983"/>
      <c r="P161" s="983"/>
      <c r="Q161" s="983"/>
      <c r="R161" s="983"/>
      <c r="S161" s="983"/>
      <c r="T161" s="983"/>
      <c r="U161" s="983"/>
      <c r="V161" s="983"/>
      <c r="W161" s="983"/>
      <c r="X161" s="983"/>
      <c r="Y161" s="983"/>
      <c r="Z161" s="983"/>
      <c r="AA161" s="983"/>
      <c r="AB161" s="983"/>
      <c r="AC161" s="983"/>
      <c r="AD161" s="983"/>
      <c r="AE161" s="983"/>
      <c r="AF161" s="983"/>
      <c r="AG161" s="983"/>
      <c r="AH161" s="983"/>
      <c r="AI161" s="983"/>
      <c r="AJ161" s="983"/>
      <c r="AK161" s="983"/>
      <c r="AL161" s="983"/>
      <c r="AM161" s="983"/>
      <c r="AN161" s="983"/>
      <c r="AO161" s="983"/>
      <c r="AP161" s="983"/>
      <c r="AQ161" s="983"/>
      <c r="AR161" s="983"/>
      <c r="AS161" s="983"/>
      <c r="AT161" s="983"/>
      <c r="AU161" s="983"/>
      <c r="AV161" s="983"/>
      <c r="AW161" s="983"/>
      <c r="AX161" s="983"/>
      <c r="AY161" s="983"/>
      <c r="AZ161" s="983"/>
      <c r="BA161" s="983"/>
      <c r="BB161" s="983"/>
      <c r="BC161" s="983"/>
      <c r="BD161" s="983"/>
      <c r="BE161" s="983"/>
      <c r="BF161" s="983"/>
      <c r="BG161" s="983"/>
      <c r="BH161" s="983"/>
      <c r="BI161" s="983"/>
      <c r="BJ161" s="580"/>
      <c r="BK161" s="580"/>
      <c r="BL161" s="580"/>
      <c r="BM161" s="580"/>
      <c r="BN161" s="580"/>
      <c r="BO161" s="580"/>
      <c r="BP161" s="580"/>
      <c r="BQ161" s="580"/>
      <c r="BR161" s="580"/>
      <c r="BS161" s="580"/>
      <c r="BT161" s="580"/>
      <c r="BU161" s="580"/>
      <c r="BV161" s="580"/>
      <c r="BW161" s="580"/>
      <c r="BX161" s="580"/>
      <c r="BY161" s="580"/>
      <c r="BZ161" s="580"/>
      <c r="CA161" s="580"/>
      <c r="CB161" s="580"/>
      <c r="CC161" s="580"/>
      <c r="CD161" s="580"/>
      <c r="CE161" s="580"/>
      <c r="CF161" s="580"/>
      <c r="CG161" s="580"/>
      <c r="CH161" s="580"/>
      <c r="CI161" s="580"/>
      <c r="CJ161" s="580"/>
      <c r="CK161" s="580"/>
      <c r="CL161" s="580"/>
      <c r="CM161" s="580"/>
      <c r="CN161" s="580"/>
      <c r="CO161" s="580"/>
      <c r="CP161" s="580"/>
      <c r="CQ161" s="580"/>
      <c r="CR161" s="580"/>
      <c r="CS161" s="580"/>
      <c r="CT161" s="580"/>
      <c r="CU161" s="580"/>
      <c r="CV161" s="580"/>
      <c r="CW161" s="580"/>
      <c r="CX161" s="580"/>
      <c r="CY161" s="580"/>
      <c r="CZ161" s="580"/>
      <c r="DA161" s="580"/>
      <c r="DB161" s="580"/>
      <c r="DC161" s="580"/>
      <c r="DD161" s="580"/>
      <c r="DE161" s="580"/>
      <c r="DF161" s="580"/>
      <c r="DG161" s="580"/>
      <c r="DH161" s="580"/>
      <c r="DI161" s="580"/>
      <c r="DJ161" s="580"/>
      <c r="DK161" s="580"/>
      <c r="DL161" s="580"/>
      <c r="DM161" s="580"/>
      <c r="DN161" s="580"/>
      <c r="DO161" s="580"/>
      <c r="DP161" s="580"/>
      <c r="DQ161" s="580"/>
      <c r="DR161" s="580"/>
      <c r="DS161" s="580"/>
      <c r="DT161" s="580"/>
      <c r="DU161" s="580"/>
      <c r="DV161" s="580"/>
      <c r="DW161" s="580"/>
      <c r="DX161" s="580"/>
      <c r="DY161" s="580"/>
      <c r="DZ161" s="580"/>
      <c r="EA161" s="580"/>
      <c r="EB161" s="580"/>
      <c r="EC161" s="580"/>
      <c r="ED161" s="580"/>
      <c r="EE161" s="580"/>
      <c r="EF161" s="580"/>
      <c r="EG161" s="580"/>
      <c r="EH161" s="580"/>
      <c r="EI161" s="580"/>
      <c r="EJ161" s="580"/>
      <c r="EK161" s="580"/>
      <c r="EL161" s="580"/>
      <c r="EM161" s="580"/>
      <c r="EN161" s="580"/>
      <c r="EO161" s="580"/>
      <c r="EP161" s="580"/>
      <c r="EQ161" s="580"/>
      <c r="ER161" s="580"/>
      <c r="ES161" s="580"/>
      <c r="ET161" s="580"/>
      <c r="EU161" s="580"/>
      <c r="EV161" s="580"/>
      <c r="EW161" s="580"/>
      <c r="EX161" s="580"/>
      <c r="EY161" s="580"/>
      <c r="EZ161" s="580"/>
      <c r="FA161" s="580"/>
      <c r="FB161" s="580"/>
      <c r="FC161" s="580"/>
      <c r="FD161" s="580"/>
      <c r="FE161" s="580"/>
      <c r="FF161" s="580"/>
      <c r="FG161" s="580"/>
      <c r="FH161" s="580"/>
      <c r="FI161" s="580"/>
      <c r="FJ161" s="580"/>
      <c r="FK161" s="580"/>
      <c r="FL161" s="580"/>
      <c r="FM161" s="580"/>
      <c r="FN161" s="580"/>
      <c r="FO161" s="580"/>
      <c r="FP161" s="580"/>
      <c r="FQ161" s="580"/>
      <c r="FR161" s="580"/>
      <c r="FS161" s="580"/>
      <c r="FT161" s="580"/>
      <c r="FU161" s="580"/>
      <c r="FV161" s="580"/>
      <c r="FW161" s="580"/>
      <c r="FX161" s="580"/>
      <c r="FY161" s="580"/>
      <c r="FZ161" s="580"/>
      <c r="GA161" s="580"/>
      <c r="GB161" s="580"/>
      <c r="GC161" s="580"/>
      <c r="GD161" s="580"/>
      <c r="GE161" s="580"/>
      <c r="GF161" s="580"/>
      <c r="GG161" s="580"/>
      <c r="GH161" s="580"/>
      <c r="GI161" s="580"/>
      <c r="GJ161" s="580"/>
      <c r="GK161" s="580"/>
      <c r="GL161" s="580"/>
      <c r="GM161" s="580"/>
      <c r="GN161" s="580"/>
      <c r="GO161" s="580"/>
      <c r="GP161" s="580"/>
      <c r="GQ161" s="580"/>
      <c r="GR161" s="580"/>
      <c r="GS161" s="580"/>
      <c r="GT161" s="580"/>
      <c r="GU161" s="580"/>
      <c r="GV161" s="580"/>
      <c r="GW161" s="580"/>
      <c r="GX161" s="580"/>
      <c r="GY161" s="580"/>
      <c r="GZ161" s="580"/>
      <c r="HA161" s="580"/>
      <c r="HB161" s="580"/>
      <c r="HC161" s="580"/>
      <c r="HD161" s="580"/>
      <c r="HE161" s="580"/>
      <c r="HF161" s="580"/>
      <c r="HG161" s="580"/>
      <c r="HH161" s="580"/>
      <c r="HI161" s="580"/>
      <c r="HJ161" s="580"/>
      <c r="HK161" s="580"/>
      <c r="HL161" s="580"/>
      <c r="HM161" s="580"/>
      <c r="HN161" s="580"/>
      <c r="HO161" s="580"/>
      <c r="HP161" s="580"/>
      <c r="HQ161" s="580"/>
      <c r="HR161" s="580"/>
      <c r="HS161" s="580"/>
      <c r="HT161" s="580"/>
      <c r="HU161" s="580"/>
      <c r="HV161" s="580"/>
      <c r="HW161" s="580"/>
      <c r="HX161" s="580"/>
      <c r="HY161" s="580"/>
      <c r="HZ161" s="580"/>
      <c r="IA161" s="580"/>
      <c r="IB161" s="580"/>
      <c r="IC161" s="580"/>
      <c r="ID161" s="580"/>
      <c r="IE161" s="580"/>
      <c r="IF161" s="580"/>
      <c r="IG161" s="580"/>
      <c r="IH161" s="580"/>
      <c r="II161" s="580"/>
      <c r="IJ161" s="580"/>
      <c r="IK161" s="580"/>
      <c r="IL161" s="580"/>
      <c r="IM161" s="580"/>
      <c r="IN161" s="580"/>
      <c r="IO161" s="580"/>
      <c r="IP161" s="580"/>
      <c r="IQ161" s="580"/>
      <c r="IR161" s="580"/>
    </row>
    <row r="162" spans="1:252" s="66" customFormat="1" x14ac:dyDescent="0.25">
      <c r="A162" s="616">
        <v>6</v>
      </c>
      <c r="B162" s="28" t="s">
        <v>379</v>
      </c>
      <c r="C162" s="27" t="s">
        <v>43</v>
      </c>
      <c r="D162" s="34"/>
      <c r="E162" s="27">
        <v>200</v>
      </c>
      <c r="F162" s="34"/>
      <c r="G162" s="88"/>
      <c r="H162" s="37"/>
      <c r="I162" s="25"/>
      <c r="J162" s="37"/>
      <c r="K162" s="25"/>
      <c r="L162" s="617"/>
      <c r="M162" s="67"/>
      <c r="N162" s="85"/>
      <c r="O162" s="85"/>
      <c r="P162" s="67"/>
      <c r="Q162" s="85"/>
      <c r="R162" s="85"/>
      <c r="S162" s="67"/>
      <c r="T162" s="85"/>
      <c r="U162" s="85"/>
      <c r="V162" s="67"/>
      <c r="W162" s="76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</row>
    <row r="163" spans="1:252" s="64" customFormat="1" ht="15" customHeight="1" x14ac:dyDescent="0.25">
      <c r="A163" s="618"/>
      <c r="B163" s="32" t="s">
        <v>36</v>
      </c>
      <c r="C163" s="19" t="s">
        <v>37</v>
      </c>
      <c r="D163" s="26">
        <v>9.5899999999999999E-2</v>
      </c>
      <c r="E163" s="19">
        <f>E162*D163</f>
        <v>19.18</v>
      </c>
      <c r="F163" s="1179"/>
      <c r="G163" s="19">
        <f>E163*F163</f>
        <v>0</v>
      </c>
      <c r="H163" s="35"/>
      <c r="I163" s="18"/>
      <c r="J163" s="26"/>
      <c r="K163" s="18"/>
      <c r="L163" s="619">
        <f>G163+I163+K163</f>
        <v>0</v>
      </c>
      <c r="M163" s="65"/>
      <c r="N163" s="78"/>
      <c r="O163" s="74"/>
      <c r="P163" s="65"/>
      <c r="Q163" s="78"/>
      <c r="R163" s="74"/>
      <c r="S163" s="65"/>
      <c r="T163" s="78"/>
      <c r="U163" s="74"/>
      <c r="V163" s="65"/>
      <c r="W163" s="76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</row>
    <row r="164" spans="1:252" s="64" customFormat="1" ht="14.25" customHeight="1" x14ac:dyDescent="0.25">
      <c r="A164" s="618"/>
      <c r="B164" s="32" t="s">
        <v>44</v>
      </c>
      <c r="C164" s="19" t="s">
        <v>15</v>
      </c>
      <c r="D164" s="19">
        <v>4.5199999999999997E-2</v>
      </c>
      <c r="E164" s="19">
        <f>E162*D164</f>
        <v>9.0399999999999991</v>
      </c>
      <c r="F164" s="19"/>
      <c r="G164" s="18"/>
      <c r="H164" s="26"/>
      <c r="I164" s="18"/>
      <c r="J164" s="953"/>
      <c r="K164" s="18">
        <f>E164*J164</f>
        <v>0</v>
      </c>
      <c r="L164" s="619">
        <f>G164+I164+K164</f>
        <v>0</v>
      </c>
      <c r="M164" s="65"/>
      <c r="N164" s="74"/>
      <c r="O164" s="74"/>
      <c r="P164" s="65"/>
      <c r="Q164" s="74"/>
      <c r="R164" s="74"/>
      <c r="S164" s="65"/>
      <c r="T164" s="74"/>
      <c r="U164" s="74"/>
      <c r="V164" s="65"/>
      <c r="W164" s="76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</row>
    <row r="165" spans="1:252" s="66" customFormat="1" x14ac:dyDescent="0.25">
      <c r="A165" s="616"/>
      <c r="B165" s="39" t="s">
        <v>379</v>
      </c>
      <c r="C165" s="34" t="s">
        <v>43</v>
      </c>
      <c r="D165" s="89">
        <v>1.01</v>
      </c>
      <c r="E165" s="34">
        <f>E162*D165</f>
        <v>202</v>
      </c>
      <c r="F165" s="34"/>
      <c r="G165" s="25"/>
      <c r="H165" s="1128"/>
      <c r="I165" s="25">
        <f>E165*H165</f>
        <v>0</v>
      </c>
      <c r="J165" s="37"/>
      <c r="K165" s="25"/>
      <c r="L165" s="617">
        <f>G165+I165+K165</f>
        <v>0</v>
      </c>
      <c r="M165" s="67"/>
      <c r="N165" s="90"/>
      <c r="O165" s="85"/>
      <c r="P165" s="67"/>
      <c r="Q165" s="90"/>
      <c r="R165" s="85"/>
      <c r="S165" s="67"/>
      <c r="T165" s="90"/>
      <c r="U165" s="85"/>
      <c r="V165" s="67"/>
      <c r="W165" s="76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</row>
    <row r="166" spans="1:252" s="64" customFormat="1" ht="13.5" customHeight="1" thickBot="1" x14ac:dyDescent="0.3">
      <c r="A166" s="620"/>
      <c r="B166" s="621" t="s">
        <v>42</v>
      </c>
      <c r="C166" s="622" t="s">
        <v>15</v>
      </c>
      <c r="D166" s="622">
        <v>5.9999999999999995E-4</v>
      </c>
      <c r="E166" s="622">
        <f>E162*D166</f>
        <v>0.12</v>
      </c>
      <c r="F166" s="623"/>
      <c r="G166" s="624"/>
      <c r="H166" s="953"/>
      <c r="I166" s="624">
        <f>E166*H166</f>
        <v>0</v>
      </c>
      <c r="J166" s="623"/>
      <c r="K166" s="624"/>
      <c r="L166" s="625">
        <f>G166+I166+K166</f>
        <v>0</v>
      </c>
      <c r="M166" s="65"/>
      <c r="N166" s="74"/>
      <c r="O166" s="74"/>
      <c r="P166" s="65"/>
      <c r="Q166" s="74"/>
      <c r="R166" s="74"/>
      <c r="S166" s="65"/>
      <c r="T166" s="74"/>
      <c r="U166" s="74"/>
      <c r="V166" s="65"/>
      <c r="W166" s="76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</row>
    <row r="167" spans="1:252" s="234" customFormat="1" ht="17.25" customHeight="1" x14ac:dyDescent="0.25">
      <c r="A167" s="1041"/>
      <c r="B167" s="409" t="s">
        <v>331</v>
      </c>
      <c r="C167" s="243"/>
      <c r="D167" s="257"/>
      <c r="E167" s="199"/>
      <c r="F167" s="199"/>
      <c r="G167" s="229"/>
      <c r="H167" s="233"/>
      <c r="I167" s="229"/>
      <c r="J167" s="229"/>
      <c r="K167" s="229"/>
      <c r="L167" s="1042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8"/>
      <c r="AG167" s="258"/>
      <c r="AH167" s="258"/>
      <c r="AI167" s="258"/>
      <c r="AJ167" s="258"/>
      <c r="AK167" s="258"/>
      <c r="AL167" s="258"/>
      <c r="AM167" s="258"/>
      <c r="AN167" s="258"/>
      <c r="AO167" s="258"/>
      <c r="AP167" s="258"/>
      <c r="AQ167" s="258"/>
      <c r="AR167" s="258"/>
      <c r="AS167" s="258"/>
      <c r="AT167" s="258"/>
      <c r="AU167" s="258"/>
      <c r="AV167" s="258"/>
      <c r="AW167" s="258"/>
      <c r="AX167" s="258"/>
      <c r="AY167" s="258"/>
      <c r="AZ167" s="258"/>
      <c r="BA167" s="258"/>
      <c r="BB167" s="258"/>
      <c r="BC167" s="258"/>
      <c r="BD167" s="258"/>
      <c r="BE167" s="258"/>
      <c r="BF167" s="258"/>
      <c r="BG167" s="258"/>
      <c r="BH167" s="258"/>
      <c r="BI167" s="258"/>
    </row>
    <row r="168" spans="1:252" s="95" customFormat="1" ht="30.75" customHeight="1" x14ac:dyDescent="0.25">
      <c r="A168" s="616">
        <v>1</v>
      </c>
      <c r="B168" s="33" t="s">
        <v>346</v>
      </c>
      <c r="C168" s="27" t="s">
        <v>10</v>
      </c>
      <c r="D168" s="27"/>
      <c r="E168" s="31">
        <f>1.5*1.5*0.1</f>
        <v>0.22500000000000001</v>
      </c>
      <c r="F168" s="27"/>
      <c r="G168" s="30"/>
      <c r="H168" s="31"/>
      <c r="I168" s="30"/>
      <c r="J168" s="31"/>
      <c r="K168" s="30"/>
      <c r="L168" s="1043"/>
      <c r="M168" s="137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138"/>
      <c r="AO168" s="138"/>
      <c r="AP168" s="138"/>
      <c r="AQ168" s="138"/>
      <c r="AR168" s="138"/>
      <c r="AS168" s="138"/>
      <c r="AT168" s="138"/>
      <c r="AU168" s="138"/>
      <c r="AV168" s="138"/>
      <c r="AW168" s="138"/>
      <c r="AX168" s="138"/>
      <c r="AY168" s="138"/>
      <c r="AZ168" s="138"/>
      <c r="BA168" s="138"/>
      <c r="BB168" s="138"/>
      <c r="BC168" s="138"/>
      <c r="BD168" s="138"/>
      <c r="BE168" s="138"/>
      <c r="BF168" s="138"/>
      <c r="BG168" s="138"/>
      <c r="BH168" s="138"/>
      <c r="BI168" s="138"/>
    </row>
    <row r="169" spans="1:252" s="80" customFormat="1" x14ac:dyDescent="0.25">
      <c r="A169" s="1044"/>
      <c r="B169" s="22" t="s">
        <v>36</v>
      </c>
      <c r="C169" s="34" t="s">
        <v>37</v>
      </c>
      <c r="D169" s="34">
        <v>12.1</v>
      </c>
      <c r="E169" s="25">
        <f>E168*D169</f>
        <v>2.7225000000000001</v>
      </c>
      <c r="F169" s="1166"/>
      <c r="G169" s="25">
        <f>E169*F169</f>
        <v>0</v>
      </c>
      <c r="H169" s="37"/>
      <c r="I169" s="25"/>
      <c r="J169" s="37"/>
      <c r="K169" s="25"/>
      <c r="L169" s="617">
        <f t="shared" ref="L169:L176" si="10">G169+I169+K169</f>
        <v>0</v>
      </c>
      <c r="M169" s="118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</row>
    <row r="170" spans="1:252" s="80" customFormat="1" x14ac:dyDescent="0.25">
      <c r="A170" s="1044"/>
      <c r="B170" s="22" t="s">
        <v>48</v>
      </c>
      <c r="C170" s="34" t="s">
        <v>15</v>
      </c>
      <c r="D170" s="34">
        <v>1.1000000000000001</v>
      </c>
      <c r="E170" s="25">
        <f>E168*D170</f>
        <v>0.24750000000000003</v>
      </c>
      <c r="F170" s="34"/>
      <c r="G170" s="25"/>
      <c r="H170" s="37"/>
      <c r="I170" s="25"/>
      <c r="J170" s="953"/>
      <c r="K170" s="25">
        <f>E170*J170</f>
        <v>0</v>
      </c>
      <c r="L170" s="617">
        <f t="shared" si="10"/>
        <v>0</v>
      </c>
      <c r="M170" s="118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Q170" s="119"/>
      <c r="AR170" s="119"/>
      <c r="AS170" s="119"/>
      <c r="AT170" s="119"/>
      <c r="AU170" s="119"/>
      <c r="AV170" s="119"/>
      <c r="AW170" s="119"/>
      <c r="AX170" s="119"/>
      <c r="AY170" s="119"/>
      <c r="AZ170" s="119"/>
      <c r="BA170" s="119"/>
      <c r="BB170" s="119"/>
      <c r="BC170" s="119"/>
      <c r="BD170" s="119"/>
      <c r="BE170" s="119"/>
      <c r="BF170" s="119"/>
      <c r="BG170" s="119"/>
      <c r="BH170" s="119"/>
      <c r="BI170" s="119"/>
    </row>
    <row r="171" spans="1:252" s="80" customFormat="1" x14ac:dyDescent="0.25">
      <c r="A171" s="1044"/>
      <c r="B171" s="22" t="s">
        <v>332</v>
      </c>
      <c r="C171" s="34" t="s">
        <v>10</v>
      </c>
      <c r="D171" s="34">
        <v>1.0149999999999999</v>
      </c>
      <c r="E171" s="25">
        <f>E168*D171</f>
        <v>0.22837499999999999</v>
      </c>
      <c r="F171" s="34"/>
      <c r="G171" s="25"/>
      <c r="H171" s="1128"/>
      <c r="I171" s="25">
        <f t="shared" ref="I171:I176" si="11">H171*E171</f>
        <v>0</v>
      </c>
      <c r="J171" s="37"/>
      <c r="K171" s="25"/>
      <c r="L171" s="617">
        <f t="shared" si="10"/>
        <v>0</v>
      </c>
      <c r="M171" s="118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Q171" s="119"/>
      <c r="AR171" s="119"/>
      <c r="AS171" s="119"/>
      <c r="AT171" s="119"/>
      <c r="AU171" s="119"/>
      <c r="AV171" s="119"/>
      <c r="AW171" s="119"/>
      <c r="AX171" s="119"/>
      <c r="AY171" s="119"/>
      <c r="AZ171" s="119"/>
      <c r="BA171" s="119"/>
      <c r="BB171" s="119"/>
      <c r="BC171" s="119"/>
      <c r="BD171" s="119"/>
      <c r="BE171" s="119"/>
      <c r="BF171" s="119"/>
      <c r="BG171" s="119"/>
      <c r="BH171" s="119"/>
      <c r="BI171" s="119"/>
    </row>
    <row r="172" spans="1:252" s="80" customFormat="1" x14ac:dyDescent="0.25">
      <c r="A172" s="1044"/>
      <c r="B172" s="361" t="s">
        <v>221</v>
      </c>
      <c r="C172" s="34" t="s">
        <v>17</v>
      </c>
      <c r="D172" s="34">
        <v>1.85</v>
      </c>
      <c r="E172" s="25">
        <f>E168*D172</f>
        <v>0.41625000000000001</v>
      </c>
      <c r="F172" s="34"/>
      <c r="G172" s="25"/>
      <c r="H172" s="1128"/>
      <c r="I172" s="25">
        <f t="shared" si="11"/>
        <v>0</v>
      </c>
      <c r="J172" s="37"/>
      <c r="K172" s="25"/>
      <c r="L172" s="617">
        <f t="shared" si="10"/>
        <v>0</v>
      </c>
      <c r="M172" s="118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Q172" s="119"/>
      <c r="AR172" s="119"/>
      <c r="AS172" s="119"/>
      <c r="AT172" s="119"/>
      <c r="AU172" s="119"/>
      <c r="AV172" s="119"/>
      <c r="AW172" s="119"/>
      <c r="AX172" s="119"/>
      <c r="AY172" s="119"/>
      <c r="AZ172" s="119"/>
      <c r="BA172" s="119"/>
      <c r="BB172" s="119"/>
      <c r="BC172" s="119"/>
      <c r="BD172" s="119"/>
      <c r="BE172" s="119"/>
      <c r="BF172" s="119"/>
      <c r="BG172" s="119"/>
      <c r="BH172" s="119"/>
      <c r="BI172" s="119"/>
    </row>
    <row r="173" spans="1:252" s="80" customFormat="1" x14ac:dyDescent="0.25">
      <c r="A173" s="1044"/>
      <c r="B173" s="362" t="s">
        <v>225</v>
      </c>
      <c r="C173" s="34" t="s">
        <v>10</v>
      </c>
      <c r="D173" s="34">
        <v>7.6100000000000001E-2</v>
      </c>
      <c r="E173" s="25">
        <f>E168*D173</f>
        <v>1.7122500000000002E-2</v>
      </c>
      <c r="F173" s="34"/>
      <c r="G173" s="25"/>
      <c r="H173" s="1128"/>
      <c r="I173" s="25">
        <f t="shared" si="11"/>
        <v>0</v>
      </c>
      <c r="J173" s="37"/>
      <c r="K173" s="25"/>
      <c r="L173" s="617">
        <f t="shared" si="10"/>
        <v>0</v>
      </c>
      <c r="M173" s="118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119"/>
      <c r="BA173" s="119"/>
      <c r="BB173" s="119"/>
      <c r="BC173" s="119"/>
      <c r="BD173" s="119"/>
      <c r="BE173" s="119"/>
      <c r="BF173" s="119"/>
      <c r="BG173" s="119"/>
      <c r="BH173" s="119"/>
      <c r="BI173" s="119"/>
    </row>
    <row r="174" spans="1:252" s="80" customFormat="1" x14ac:dyDescent="0.25">
      <c r="A174" s="1044"/>
      <c r="B174" s="723" t="s">
        <v>298</v>
      </c>
      <c r="C174" s="34" t="s">
        <v>13</v>
      </c>
      <c r="D174" s="34"/>
      <c r="E174" s="89">
        <f>(1.5*1.5*10*0.89)/1000</f>
        <v>2.0024999999999998E-2</v>
      </c>
      <c r="F174" s="34"/>
      <c r="G174" s="25"/>
      <c r="H174" s="1121"/>
      <c r="I174" s="25">
        <f t="shared" si="11"/>
        <v>0</v>
      </c>
      <c r="J174" s="37"/>
      <c r="K174" s="25"/>
      <c r="L174" s="617">
        <f t="shared" si="10"/>
        <v>0</v>
      </c>
      <c r="M174" s="118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Q174" s="119"/>
      <c r="AR174" s="119"/>
      <c r="AS174" s="119"/>
      <c r="AT174" s="119"/>
      <c r="AU174" s="119"/>
      <c r="AV174" s="119"/>
      <c r="AW174" s="119"/>
      <c r="AX174" s="119"/>
      <c r="AY174" s="119"/>
      <c r="AZ174" s="119"/>
      <c r="BA174" s="119"/>
      <c r="BB174" s="119"/>
      <c r="BC174" s="119"/>
      <c r="BD174" s="119"/>
      <c r="BE174" s="119"/>
      <c r="BF174" s="119"/>
      <c r="BG174" s="119"/>
      <c r="BH174" s="119"/>
      <c r="BI174" s="119"/>
    </row>
    <row r="175" spans="1:252" s="80" customFormat="1" x14ac:dyDescent="0.25">
      <c r="A175" s="1044"/>
      <c r="B175" s="22" t="s">
        <v>118</v>
      </c>
      <c r="C175" s="34" t="s">
        <v>18</v>
      </c>
      <c r="D175" s="34">
        <v>1.8</v>
      </c>
      <c r="E175" s="25">
        <f>E168*D175</f>
        <v>0.40500000000000003</v>
      </c>
      <c r="F175" s="34"/>
      <c r="G175" s="25"/>
      <c r="H175" s="1124"/>
      <c r="I175" s="25">
        <f t="shared" si="11"/>
        <v>0</v>
      </c>
      <c r="J175" s="37"/>
      <c r="K175" s="25"/>
      <c r="L175" s="617">
        <f t="shared" si="10"/>
        <v>0</v>
      </c>
      <c r="M175" s="118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Q175" s="119"/>
      <c r="AR175" s="119"/>
      <c r="AS175" s="119"/>
      <c r="AT175" s="119"/>
      <c r="AU175" s="119"/>
      <c r="AV175" s="119"/>
      <c r="AW175" s="119"/>
      <c r="AX175" s="119"/>
      <c r="AY175" s="119"/>
      <c r="AZ175" s="119"/>
      <c r="BA175" s="119"/>
      <c r="BB175" s="119"/>
      <c r="BC175" s="119"/>
      <c r="BD175" s="119"/>
      <c r="BE175" s="119"/>
      <c r="BF175" s="119"/>
      <c r="BG175" s="119"/>
      <c r="BH175" s="119"/>
      <c r="BI175" s="119"/>
    </row>
    <row r="176" spans="1:252" s="80" customFormat="1" x14ac:dyDescent="0.25">
      <c r="A176" s="1044"/>
      <c r="B176" s="22" t="s">
        <v>42</v>
      </c>
      <c r="C176" s="34" t="s">
        <v>15</v>
      </c>
      <c r="D176" s="34">
        <v>0.98</v>
      </c>
      <c r="E176" s="25">
        <f>E168*D176</f>
        <v>0.2205</v>
      </c>
      <c r="F176" s="34"/>
      <c r="G176" s="25"/>
      <c r="H176" s="953"/>
      <c r="I176" s="25">
        <f t="shared" si="11"/>
        <v>0</v>
      </c>
      <c r="J176" s="37"/>
      <c r="K176" s="25"/>
      <c r="L176" s="617">
        <f t="shared" si="10"/>
        <v>0</v>
      </c>
      <c r="M176" s="118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Q176" s="119"/>
      <c r="AR176" s="119"/>
      <c r="AS176" s="119"/>
      <c r="AT176" s="119"/>
      <c r="AU176" s="119"/>
      <c r="AV176" s="119"/>
      <c r="AW176" s="119"/>
      <c r="AX176" s="119"/>
      <c r="AY176" s="119"/>
      <c r="AZ176" s="119"/>
      <c r="BA176" s="119"/>
      <c r="BB176" s="119"/>
      <c r="BC176" s="119"/>
      <c r="BD176" s="119"/>
      <c r="BE176" s="119"/>
      <c r="BF176" s="119"/>
      <c r="BG176" s="119"/>
      <c r="BH176" s="119"/>
      <c r="BI176" s="119"/>
    </row>
    <row r="177" spans="1:61" s="197" customFormat="1" ht="27" x14ac:dyDescent="0.25">
      <c r="A177" s="616">
        <v>2</v>
      </c>
      <c r="B177" s="33" t="s">
        <v>333</v>
      </c>
      <c r="C177" s="27" t="s">
        <v>13</v>
      </c>
      <c r="D177" s="27"/>
      <c r="E177" s="735">
        <f>E181+E182+E183</f>
        <v>0.19151299999999999</v>
      </c>
      <c r="F177" s="27"/>
      <c r="G177" s="30"/>
      <c r="H177" s="31"/>
      <c r="I177" s="30"/>
      <c r="J177" s="31"/>
      <c r="K177" s="30"/>
      <c r="L177" s="1043"/>
      <c r="M177" s="137"/>
      <c r="N177" s="341"/>
      <c r="O177" s="341"/>
      <c r="P177" s="341"/>
      <c r="Q177" s="341"/>
      <c r="R177" s="341"/>
      <c r="S177" s="341"/>
      <c r="T177" s="341"/>
      <c r="U177" s="341"/>
      <c r="V177" s="341"/>
      <c r="W177" s="341"/>
      <c r="X177" s="341"/>
      <c r="Y177" s="341"/>
      <c r="Z177" s="341"/>
      <c r="AA177" s="341"/>
      <c r="AB177" s="341"/>
      <c r="AC177" s="341"/>
      <c r="AD177" s="341"/>
      <c r="AE177" s="341"/>
      <c r="AF177" s="341"/>
      <c r="AG177" s="341"/>
      <c r="AH177" s="341"/>
      <c r="AI177" s="341"/>
      <c r="AJ177" s="341"/>
      <c r="AK177" s="341"/>
      <c r="AL177" s="341"/>
      <c r="AM177" s="341"/>
      <c r="AN177" s="341"/>
      <c r="AO177" s="341"/>
      <c r="AP177" s="341"/>
      <c r="AQ177" s="341"/>
      <c r="AR177" s="341"/>
      <c r="AS177" s="341"/>
      <c r="AT177" s="341"/>
      <c r="AU177" s="341"/>
      <c r="AV177" s="341"/>
      <c r="AW177" s="341"/>
      <c r="AX177" s="341"/>
      <c r="AY177" s="341"/>
      <c r="AZ177" s="341"/>
      <c r="BA177" s="341"/>
      <c r="BB177" s="341"/>
      <c r="BC177" s="341"/>
      <c r="BD177" s="341"/>
      <c r="BE177" s="341"/>
      <c r="BF177" s="341"/>
      <c r="BG177" s="341"/>
      <c r="BH177" s="341"/>
      <c r="BI177" s="341"/>
    </row>
    <row r="178" spans="1:61" s="183" customFormat="1" x14ac:dyDescent="0.25">
      <c r="A178" s="1044"/>
      <c r="B178" s="39" t="s">
        <v>36</v>
      </c>
      <c r="C178" s="34" t="s">
        <v>37</v>
      </c>
      <c r="D178" s="34">
        <v>53.8</v>
      </c>
      <c r="E178" s="25">
        <f>E177*D178</f>
        <v>10.303399399999998</v>
      </c>
      <c r="F178" s="1166"/>
      <c r="G178" s="25">
        <f>E178*F178</f>
        <v>0</v>
      </c>
      <c r="H178" s="37"/>
      <c r="I178" s="25"/>
      <c r="J178" s="37"/>
      <c r="K178" s="25"/>
      <c r="L178" s="617">
        <f t="shared" ref="L178:L185" si="12">G178+I178+K178</f>
        <v>0</v>
      </c>
      <c r="M178" s="118"/>
      <c r="N178" s="974"/>
      <c r="O178" s="974"/>
      <c r="P178" s="974"/>
      <c r="Q178" s="974"/>
      <c r="R178" s="974"/>
      <c r="S178" s="974"/>
      <c r="T178" s="974"/>
      <c r="U178" s="974"/>
      <c r="V178" s="974"/>
      <c r="W178" s="974"/>
      <c r="X178" s="974"/>
      <c r="Y178" s="974"/>
      <c r="Z178" s="974"/>
      <c r="AA178" s="974"/>
      <c r="AB178" s="974"/>
      <c r="AC178" s="974"/>
      <c r="AD178" s="974"/>
      <c r="AE178" s="974"/>
      <c r="AF178" s="974"/>
      <c r="AG178" s="974"/>
      <c r="AH178" s="974"/>
      <c r="AI178" s="974"/>
      <c r="AJ178" s="974"/>
      <c r="AK178" s="974"/>
      <c r="AL178" s="974"/>
      <c r="AM178" s="974"/>
      <c r="AN178" s="974"/>
      <c r="AO178" s="974"/>
      <c r="AP178" s="974"/>
      <c r="AQ178" s="974"/>
      <c r="AR178" s="974"/>
      <c r="AS178" s="974"/>
      <c r="AT178" s="974"/>
      <c r="AU178" s="974"/>
      <c r="AV178" s="974"/>
      <c r="AW178" s="974"/>
      <c r="AX178" s="974"/>
      <c r="AY178" s="974"/>
      <c r="AZ178" s="974"/>
      <c r="BA178" s="974"/>
      <c r="BB178" s="974"/>
      <c r="BC178" s="974"/>
      <c r="BD178" s="974"/>
      <c r="BE178" s="974"/>
      <c r="BF178" s="974"/>
      <c r="BG178" s="974"/>
      <c r="BH178" s="974"/>
      <c r="BI178" s="974"/>
    </row>
    <row r="179" spans="1:61" s="183" customFormat="1" x14ac:dyDescent="0.25">
      <c r="A179" s="1044"/>
      <c r="B179" s="39" t="s">
        <v>334</v>
      </c>
      <c r="C179" s="70" t="s">
        <v>33</v>
      </c>
      <c r="D179" s="34">
        <v>0.35</v>
      </c>
      <c r="E179" s="25">
        <f>E177*D179</f>
        <v>6.7029549999999993E-2</v>
      </c>
      <c r="F179" s="34"/>
      <c r="G179" s="25"/>
      <c r="H179" s="37"/>
      <c r="I179" s="25"/>
      <c r="J179" s="1153"/>
      <c r="K179" s="25">
        <f>E179*J179</f>
        <v>0</v>
      </c>
      <c r="L179" s="617">
        <f t="shared" si="12"/>
        <v>0</v>
      </c>
      <c r="M179" s="118"/>
      <c r="N179" s="974"/>
      <c r="O179" s="974"/>
      <c r="P179" s="974"/>
      <c r="Q179" s="974"/>
      <c r="R179" s="974"/>
      <c r="S179" s="974"/>
      <c r="T179" s="974"/>
      <c r="U179" s="974"/>
      <c r="V179" s="974"/>
      <c r="W179" s="974"/>
      <c r="X179" s="974"/>
      <c r="Y179" s="974"/>
      <c r="Z179" s="974"/>
      <c r="AA179" s="974"/>
      <c r="AB179" s="974"/>
      <c r="AC179" s="974"/>
      <c r="AD179" s="974"/>
      <c r="AE179" s="974"/>
      <c r="AF179" s="974"/>
      <c r="AG179" s="974"/>
      <c r="AH179" s="974"/>
      <c r="AI179" s="974"/>
      <c r="AJ179" s="974"/>
      <c r="AK179" s="974"/>
      <c r="AL179" s="974"/>
      <c r="AM179" s="974"/>
      <c r="AN179" s="974"/>
      <c r="AO179" s="974"/>
      <c r="AP179" s="974"/>
      <c r="AQ179" s="974"/>
      <c r="AR179" s="974"/>
      <c r="AS179" s="974"/>
      <c r="AT179" s="974"/>
      <c r="AU179" s="974"/>
      <c r="AV179" s="974"/>
      <c r="AW179" s="974"/>
      <c r="AX179" s="974"/>
      <c r="AY179" s="974"/>
      <c r="AZ179" s="974"/>
      <c r="BA179" s="974"/>
      <c r="BB179" s="974"/>
      <c r="BC179" s="974"/>
      <c r="BD179" s="974"/>
      <c r="BE179" s="974"/>
      <c r="BF179" s="974"/>
      <c r="BG179" s="974"/>
      <c r="BH179" s="974"/>
      <c r="BI179" s="974"/>
    </row>
    <row r="180" spans="1:61" s="183" customFormat="1" x14ac:dyDescent="0.25">
      <c r="A180" s="1044"/>
      <c r="B180" s="39" t="s">
        <v>40</v>
      </c>
      <c r="C180" s="34" t="s">
        <v>15</v>
      </c>
      <c r="D180" s="34">
        <v>18.399999999999999</v>
      </c>
      <c r="E180" s="25">
        <f>E177*D180</f>
        <v>3.5238391999999994</v>
      </c>
      <c r="F180" s="34"/>
      <c r="G180" s="25"/>
      <c r="H180" s="37"/>
      <c r="I180" s="25"/>
      <c r="J180" s="953"/>
      <c r="K180" s="25">
        <f>E180*J180</f>
        <v>0</v>
      </c>
      <c r="L180" s="617">
        <f t="shared" si="12"/>
        <v>0</v>
      </c>
      <c r="M180" s="118"/>
      <c r="N180" s="974"/>
      <c r="O180" s="974"/>
      <c r="P180" s="974"/>
      <c r="Q180" s="974"/>
      <c r="R180" s="974"/>
      <c r="S180" s="974"/>
      <c r="T180" s="974"/>
      <c r="U180" s="974"/>
      <c r="V180" s="974"/>
      <c r="W180" s="974"/>
      <c r="X180" s="974"/>
      <c r="Y180" s="974"/>
      <c r="Z180" s="974"/>
      <c r="AA180" s="974"/>
      <c r="AB180" s="974"/>
      <c r="AC180" s="974"/>
      <c r="AD180" s="974"/>
      <c r="AE180" s="974"/>
      <c r="AF180" s="974"/>
      <c r="AG180" s="974"/>
      <c r="AH180" s="974"/>
      <c r="AI180" s="974"/>
      <c r="AJ180" s="974"/>
      <c r="AK180" s="974"/>
      <c r="AL180" s="974"/>
      <c r="AM180" s="974"/>
      <c r="AN180" s="974"/>
      <c r="AO180" s="974"/>
      <c r="AP180" s="974"/>
      <c r="AQ180" s="974"/>
      <c r="AR180" s="974"/>
      <c r="AS180" s="974"/>
      <c r="AT180" s="974"/>
      <c r="AU180" s="974"/>
      <c r="AV180" s="974"/>
      <c r="AW180" s="974"/>
      <c r="AX180" s="974"/>
      <c r="AY180" s="974"/>
      <c r="AZ180" s="974"/>
      <c r="BA180" s="974"/>
      <c r="BB180" s="974"/>
      <c r="BC180" s="974"/>
      <c r="BD180" s="974"/>
      <c r="BE180" s="974"/>
      <c r="BF180" s="974"/>
      <c r="BG180" s="974"/>
      <c r="BH180" s="974"/>
      <c r="BI180" s="974"/>
    </row>
    <row r="181" spans="1:61" s="183" customFormat="1" x14ac:dyDescent="0.25">
      <c r="A181" s="1044"/>
      <c r="B181" s="39" t="s">
        <v>362</v>
      </c>
      <c r="C181" s="34" t="s">
        <v>13</v>
      </c>
      <c r="D181" s="34"/>
      <c r="E181" s="89">
        <f>((2.3*7)*1.15+3)/1000</f>
        <v>2.1514999999999996E-2</v>
      </c>
      <c r="F181" s="34"/>
      <c r="G181" s="25"/>
      <c r="H181" s="1128"/>
      <c r="I181" s="25">
        <f>H181*E181</f>
        <v>0</v>
      </c>
      <c r="J181" s="37"/>
      <c r="K181" s="25"/>
      <c r="L181" s="617">
        <f t="shared" si="12"/>
        <v>0</v>
      </c>
      <c r="M181" s="118"/>
      <c r="N181" s="974"/>
      <c r="O181" s="974"/>
      <c r="P181" s="974"/>
      <c r="Q181" s="974"/>
      <c r="R181" s="974"/>
      <c r="S181" s="974"/>
      <c r="T181" s="974"/>
      <c r="U181" s="974"/>
      <c r="V181" s="974"/>
      <c r="W181" s="974"/>
      <c r="X181" s="974"/>
      <c r="Y181" s="974"/>
      <c r="Z181" s="974"/>
      <c r="AA181" s="974"/>
      <c r="AB181" s="974"/>
      <c r="AC181" s="974"/>
      <c r="AD181" s="974"/>
      <c r="AE181" s="974"/>
      <c r="AF181" s="974"/>
      <c r="AG181" s="974"/>
      <c r="AH181" s="974"/>
      <c r="AI181" s="974"/>
      <c r="AJ181" s="974"/>
      <c r="AK181" s="974"/>
      <c r="AL181" s="974"/>
      <c r="AM181" s="974"/>
      <c r="AN181" s="974"/>
      <c r="AO181" s="974"/>
      <c r="AP181" s="974"/>
      <c r="AQ181" s="974"/>
      <c r="AR181" s="974"/>
      <c r="AS181" s="974"/>
      <c r="AT181" s="974"/>
      <c r="AU181" s="974"/>
      <c r="AV181" s="974"/>
      <c r="AW181" s="974"/>
      <c r="AX181" s="974"/>
      <c r="AY181" s="974"/>
      <c r="AZ181" s="974"/>
      <c r="BA181" s="974"/>
      <c r="BB181" s="974"/>
      <c r="BC181" s="974"/>
      <c r="BD181" s="974"/>
      <c r="BE181" s="974"/>
      <c r="BF181" s="974"/>
      <c r="BG181" s="974"/>
      <c r="BH181" s="974"/>
      <c r="BI181" s="974"/>
    </row>
    <row r="182" spans="1:61" s="183" customFormat="1" x14ac:dyDescent="0.25">
      <c r="A182" s="1044"/>
      <c r="B182" s="39" t="s">
        <v>351</v>
      </c>
      <c r="C182" s="34" t="s">
        <v>13</v>
      </c>
      <c r="D182" s="34"/>
      <c r="E182" s="89">
        <f>(20.4*7.07)/1000</f>
        <v>0.144228</v>
      </c>
      <c r="F182" s="34"/>
      <c r="G182" s="25"/>
      <c r="H182" s="1128"/>
      <c r="I182" s="25">
        <f>H182*E182</f>
        <v>0</v>
      </c>
      <c r="J182" s="37"/>
      <c r="K182" s="25"/>
      <c r="L182" s="617">
        <f t="shared" si="12"/>
        <v>0</v>
      </c>
      <c r="M182" s="118"/>
      <c r="N182" s="974"/>
      <c r="O182" s="974"/>
      <c r="P182" s="974"/>
      <c r="Q182" s="974"/>
      <c r="R182" s="974"/>
      <c r="S182" s="974"/>
      <c r="T182" s="974"/>
      <c r="U182" s="974"/>
      <c r="V182" s="974"/>
      <c r="W182" s="974"/>
      <c r="X182" s="974"/>
      <c r="Y182" s="974"/>
      <c r="Z182" s="974"/>
      <c r="AA182" s="974"/>
      <c r="AB182" s="974"/>
      <c r="AC182" s="974"/>
      <c r="AD182" s="974"/>
      <c r="AE182" s="974"/>
      <c r="AF182" s="974"/>
      <c r="AG182" s="974"/>
      <c r="AH182" s="974"/>
      <c r="AI182" s="974"/>
      <c r="AJ182" s="974"/>
      <c r="AK182" s="974"/>
      <c r="AL182" s="974"/>
      <c r="AM182" s="974"/>
      <c r="AN182" s="974"/>
      <c r="AO182" s="974"/>
      <c r="AP182" s="974"/>
      <c r="AQ182" s="974"/>
      <c r="AR182" s="974"/>
      <c r="AS182" s="974"/>
      <c r="AT182" s="974"/>
      <c r="AU182" s="974"/>
      <c r="AV182" s="974"/>
      <c r="AW182" s="974"/>
      <c r="AX182" s="974"/>
      <c r="AY182" s="974"/>
      <c r="AZ182" s="974"/>
      <c r="BA182" s="974"/>
      <c r="BB182" s="974"/>
      <c r="BC182" s="974"/>
      <c r="BD182" s="974"/>
      <c r="BE182" s="974"/>
      <c r="BF182" s="974"/>
      <c r="BG182" s="974"/>
      <c r="BH182" s="974"/>
      <c r="BI182" s="974"/>
    </row>
    <row r="183" spans="1:61" s="183" customFormat="1" x14ac:dyDescent="0.25">
      <c r="A183" s="1044"/>
      <c r="B183" s="39" t="s">
        <v>335</v>
      </c>
      <c r="C183" s="34" t="s">
        <v>13</v>
      </c>
      <c r="D183" s="34"/>
      <c r="E183" s="89">
        <f>(3*8.59)/1000</f>
        <v>2.5770000000000001E-2</v>
      </c>
      <c r="F183" s="34"/>
      <c r="G183" s="25"/>
      <c r="H183" s="1128"/>
      <c r="I183" s="25">
        <f>H183*E183</f>
        <v>0</v>
      </c>
      <c r="J183" s="37"/>
      <c r="K183" s="25"/>
      <c r="L183" s="617">
        <f t="shared" si="12"/>
        <v>0</v>
      </c>
      <c r="M183" s="118"/>
      <c r="N183" s="974"/>
      <c r="O183" s="974"/>
      <c r="P183" s="974"/>
      <c r="Q183" s="974"/>
      <c r="R183" s="974"/>
      <c r="S183" s="974"/>
      <c r="T183" s="974"/>
      <c r="U183" s="974"/>
      <c r="V183" s="974"/>
      <c r="W183" s="974"/>
      <c r="X183" s="974"/>
      <c r="Y183" s="974"/>
      <c r="Z183" s="974"/>
      <c r="AA183" s="974"/>
      <c r="AB183" s="974"/>
      <c r="AC183" s="974"/>
      <c r="AD183" s="974"/>
      <c r="AE183" s="974"/>
      <c r="AF183" s="974"/>
      <c r="AG183" s="974"/>
      <c r="AH183" s="974"/>
      <c r="AI183" s="974"/>
      <c r="AJ183" s="974"/>
      <c r="AK183" s="974"/>
      <c r="AL183" s="974"/>
      <c r="AM183" s="974"/>
      <c r="AN183" s="974"/>
      <c r="AO183" s="974"/>
      <c r="AP183" s="974"/>
      <c r="AQ183" s="974"/>
      <c r="AR183" s="974"/>
      <c r="AS183" s="974"/>
      <c r="AT183" s="974"/>
      <c r="AU183" s="974"/>
      <c r="AV183" s="974"/>
      <c r="AW183" s="974"/>
      <c r="AX183" s="974"/>
      <c r="AY183" s="974"/>
      <c r="AZ183" s="974"/>
      <c r="BA183" s="974"/>
      <c r="BB183" s="974"/>
      <c r="BC183" s="974"/>
      <c r="BD183" s="974"/>
      <c r="BE183" s="974"/>
      <c r="BF183" s="974"/>
      <c r="BG183" s="974"/>
      <c r="BH183" s="974"/>
      <c r="BI183" s="974"/>
    </row>
    <row r="184" spans="1:61" s="183" customFormat="1" x14ac:dyDescent="0.25">
      <c r="A184" s="1044"/>
      <c r="B184" s="39" t="s">
        <v>118</v>
      </c>
      <c r="C184" s="34" t="s">
        <v>18</v>
      </c>
      <c r="D184" s="34">
        <v>24.4</v>
      </c>
      <c r="E184" s="25">
        <f>E177*D184</f>
        <v>4.6729171999999997</v>
      </c>
      <c r="F184" s="34"/>
      <c r="G184" s="25"/>
      <c r="H184" s="1124"/>
      <c r="I184" s="25">
        <f>H184*E184</f>
        <v>0</v>
      </c>
      <c r="J184" s="37"/>
      <c r="K184" s="25"/>
      <c r="L184" s="617">
        <f t="shared" si="12"/>
        <v>0</v>
      </c>
      <c r="M184" s="118"/>
      <c r="N184" s="974"/>
      <c r="O184" s="974"/>
      <c r="P184" s="974"/>
      <c r="Q184" s="974"/>
      <c r="R184" s="974"/>
      <c r="S184" s="974"/>
      <c r="T184" s="974"/>
      <c r="U184" s="974"/>
      <c r="V184" s="974"/>
      <c r="W184" s="974"/>
      <c r="X184" s="974"/>
      <c r="Y184" s="974"/>
      <c r="Z184" s="974"/>
      <c r="AA184" s="974"/>
      <c r="AB184" s="974"/>
      <c r="AC184" s="974"/>
      <c r="AD184" s="974"/>
      <c r="AE184" s="974"/>
      <c r="AF184" s="974"/>
      <c r="AG184" s="974"/>
      <c r="AH184" s="974"/>
      <c r="AI184" s="974"/>
      <c r="AJ184" s="974"/>
      <c r="AK184" s="974"/>
      <c r="AL184" s="974"/>
      <c r="AM184" s="974"/>
      <c r="AN184" s="974"/>
      <c r="AO184" s="974"/>
      <c r="AP184" s="974"/>
      <c r="AQ184" s="974"/>
      <c r="AR184" s="974"/>
      <c r="AS184" s="974"/>
      <c r="AT184" s="974"/>
      <c r="AU184" s="974"/>
      <c r="AV184" s="974"/>
      <c r="AW184" s="974"/>
      <c r="AX184" s="974"/>
      <c r="AY184" s="974"/>
      <c r="AZ184" s="974"/>
      <c r="BA184" s="974"/>
      <c r="BB184" s="974"/>
      <c r="BC184" s="974"/>
      <c r="BD184" s="974"/>
      <c r="BE184" s="974"/>
      <c r="BF184" s="974"/>
      <c r="BG184" s="974"/>
      <c r="BH184" s="974"/>
      <c r="BI184" s="974"/>
    </row>
    <row r="185" spans="1:61" s="183" customFormat="1" x14ac:dyDescent="0.25">
      <c r="A185" s="1044"/>
      <c r="B185" s="39" t="s">
        <v>42</v>
      </c>
      <c r="C185" s="34" t="s">
        <v>15</v>
      </c>
      <c r="D185" s="34">
        <v>2.78</v>
      </c>
      <c r="E185" s="25">
        <f>E177*D185</f>
        <v>0.53240613999999997</v>
      </c>
      <c r="F185" s="34"/>
      <c r="G185" s="25"/>
      <c r="H185" s="953"/>
      <c r="I185" s="25">
        <f>H185*E185</f>
        <v>0</v>
      </c>
      <c r="J185" s="37"/>
      <c r="K185" s="25"/>
      <c r="L185" s="617">
        <f t="shared" si="12"/>
        <v>0</v>
      </c>
      <c r="M185" s="118"/>
      <c r="N185" s="974"/>
      <c r="O185" s="974"/>
      <c r="P185" s="974"/>
      <c r="Q185" s="974"/>
      <c r="R185" s="974"/>
      <c r="S185" s="974"/>
      <c r="T185" s="974"/>
      <c r="U185" s="974"/>
      <c r="V185" s="974"/>
      <c r="W185" s="974"/>
      <c r="X185" s="974"/>
      <c r="Y185" s="974"/>
      <c r="Z185" s="974"/>
      <c r="AA185" s="974"/>
      <c r="AB185" s="974"/>
      <c r="AC185" s="974"/>
      <c r="AD185" s="974"/>
      <c r="AE185" s="974"/>
      <c r="AF185" s="974"/>
      <c r="AG185" s="974"/>
      <c r="AH185" s="974"/>
      <c r="AI185" s="974"/>
      <c r="AJ185" s="974"/>
      <c r="AK185" s="974"/>
      <c r="AL185" s="974"/>
      <c r="AM185" s="974"/>
      <c r="AN185" s="974"/>
      <c r="AO185" s="974"/>
      <c r="AP185" s="974"/>
      <c r="AQ185" s="974"/>
      <c r="AR185" s="974"/>
      <c r="AS185" s="974"/>
      <c r="AT185" s="974"/>
      <c r="AU185" s="974"/>
      <c r="AV185" s="974"/>
      <c r="AW185" s="974"/>
      <c r="AX185" s="974"/>
      <c r="AY185" s="974"/>
      <c r="AZ185" s="974"/>
      <c r="BA185" s="974"/>
      <c r="BB185" s="974"/>
      <c r="BC185" s="974"/>
      <c r="BD185" s="974"/>
      <c r="BE185" s="974"/>
      <c r="BF185" s="974"/>
      <c r="BG185" s="974"/>
      <c r="BH185" s="974"/>
      <c r="BI185" s="974"/>
    </row>
    <row r="186" spans="1:61" s="345" customFormat="1" ht="27" customHeight="1" x14ac:dyDescent="0.25">
      <c r="A186" s="590">
        <v>3</v>
      </c>
      <c r="B186" s="174" t="s">
        <v>336</v>
      </c>
      <c r="C186" s="173" t="s">
        <v>17</v>
      </c>
      <c r="D186" s="173"/>
      <c r="E186" s="175">
        <v>11.13</v>
      </c>
      <c r="F186" s="63"/>
      <c r="G186" s="63"/>
      <c r="H186" s="63"/>
      <c r="I186" s="63"/>
      <c r="J186" s="63"/>
      <c r="K186" s="63"/>
      <c r="L186" s="611"/>
      <c r="M186" s="977"/>
      <c r="N186" s="977"/>
      <c r="O186" s="977"/>
      <c r="P186" s="977"/>
      <c r="Q186" s="977"/>
      <c r="R186" s="977"/>
      <c r="S186" s="977"/>
      <c r="T186" s="977"/>
      <c r="U186" s="977"/>
      <c r="V186" s="977"/>
      <c r="W186" s="977"/>
      <c r="X186" s="977"/>
      <c r="Y186" s="977"/>
      <c r="Z186" s="977"/>
      <c r="AA186" s="977"/>
      <c r="AB186" s="977"/>
      <c r="AC186" s="977"/>
      <c r="AD186" s="977"/>
      <c r="AE186" s="977"/>
      <c r="AF186" s="977"/>
      <c r="AG186" s="977"/>
      <c r="AH186" s="977"/>
      <c r="AI186" s="977"/>
      <c r="AJ186" s="977"/>
      <c r="AK186" s="977"/>
      <c r="AL186" s="977"/>
      <c r="AM186" s="977"/>
      <c r="AN186" s="977"/>
      <c r="AO186" s="977"/>
      <c r="AP186" s="977"/>
      <c r="AQ186" s="977"/>
      <c r="AR186" s="977"/>
      <c r="AS186" s="977"/>
      <c r="AT186" s="977"/>
      <c r="AU186" s="977"/>
      <c r="AV186" s="977"/>
      <c r="AW186" s="977"/>
      <c r="AX186" s="977"/>
      <c r="AY186" s="977"/>
      <c r="AZ186" s="977"/>
      <c r="BA186" s="977"/>
      <c r="BB186" s="977"/>
      <c r="BC186" s="977"/>
      <c r="BD186" s="977"/>
      <c r="BE186" s="977"/>
      <c r="BF186" s="977"/>
      <c r="BG186" s="977"/>
      <c r="BH186" s="977"/>
      <c r="BI186" s="977"/>
    </row>
    <row r="187" spans="1:61" s="71" customFormat="1" ht="12.75" x14ac:dyDescent="0.25">
      <c r="A187" s="504"/>
      <c r="B187" s="72" t="s">
        <v>27</v>
      </c>
      <c r="C187" s="70" t="s">
        <v>28</v>
      </c>
      <c r="D187" s="70">
        <v>0.68</v>
      </c>
      <c r="E187" s="73">
        <f>E186*D187</f>
        <v>7.5684000000000013</v>
      </c>
      <c r="F187" s="1166"/>
      <c r="G187" s="73">
        <f>E187*F187</f>
        <v>0</v>
      </c>
      <c r="H187" s="63"/>
      <c r="I187" s="73"/>
      <c r="J187" s="73"/>
      <c r="K187" s="73"/>
      <c r="L187" s="505">
        <f>K187+I187+G187</f>
        <v>0</v>
      </c>
      <c r="M187" s="496"/>
      <c r="N187" s="496"/>
      <c r="O187" s="496"/>
      <c r="P187" s="496"/>
      <c r="Q187" s="496"/>
      <c r="R187" s="496"/>
      <c r="S187" s="496"/>
      <c r="T187" s="496"/>
      <c r="U187" s="496"/>
      <c r="V187" s="496"/>
      <c r="W187" s="496"/>
      <c r="X187" s="496"/>
      <c r="Y187" s="496"/>
      <c r="Z187" s="496"/>
      <c r="AA187" s="496"/>
      <c r="AB187" s="496"/>
      <c r="AC187" s="496"/>
      <c r="AD187" s="496"/>
      <c r="AE187" s="496"/>
      <c r="AF187" s="496"/>
      <c r="AG187" s="496"/>
      <c r="AH187" s="496"/>
      <c r="AI187" s="496"/>
      <c r="AJ187" s="496"/>
      <c r="AK187" s="496"/>
      <c r="AL187" s="496"/>
      <c r="AM187" s="496"/>
      <c r="AN187" s="496"/>
      <c r="AO187" s="496"/>
      <c r="AP187" s="496"/>
      <c r="AQ187" s="496"/>
      <c r="AR187" s="496"/>
      <c r="AS187" s="496"/>
      <c r="AT187" s="496"/>
      <c r="AU187" s="496"/>
      <c r="AV187" s="496"/>
      <c r="AW187" s="496"/>
      <c r="AX187" s="496"/>
      <c r="AY187" s="496"/>
      <c r="AZ187" s="496"/>
      <c r="BA187" s="496"/>
      <c r="BB187" s="496"/>
      <c r="BC187" s="496"/>
      <c r="BD187" s="496"/>
      <c r="BE187" s="496"/>
      <c r="BF187" s="496"/>
      <c r="BG187" s="496"/>
      <c r="BH187" s="496"/>
      <c r="BI187" s="496"/>
    </row>
    <row r="188" spans="1:61" s="71" customFormat="1" ht="12.75" x14ac:dyDescent="0.25">
      <c r="A188" s="504"/>
      <c r="B188" s="72" t="s">
        <v>30</v>
      </c>
      <c r="C188" s="70" t="s">
        <v>33</v>
      </c>
      <c r="D188" s="70">
        <v>2.9999999999999997E-4</v>
      </c>
      <c r="E188" s="73">
        <f>D188*E186</f>
        <v>3.339E-3</v>
      </c>
      <c r="F188" s="73"/>
      <c r="G188" s="73"/>
      <c r="H188" s="63"/>
      <c r="I188" s="73"/>
      <c r="J188" s="953"/>
      <c r="K188" s="73">
        <f>J188*E188</f>
        <v>0</v>
      </c>
      <c r="L188" s="505">
        <f>K188+I188+G188</f>
        <v>0</v>
      </c>
      <c r="M188" s="496"/>
      <c r="N188" s="496"/>
      <c r="O188" s="496"/>
      <c r="P188" s="496"/>
      <c r="Q188" s="496"/>
      <c r="R188" s="496"/>
      <c r="S188" s="496"/>
      <c r="T188" s="496"/>
      <c r="U188" s="496"/>
      <c r="V188" s="496"/>
      <c r="W188" s="496"/>
      <c r="X188" s="496"/>
      <c r="Y188" s="496"/>
      <c r="Z188" s="496"/>
      <c r="AA188" s="496"/>
      <c r="AB188" s="496"/>
      <c r="AC188" s="496"/>
      <c r="AD188" s="496"/>
      <c r="AE188" s="496"/>
      <c r="AF188" s="496"/>
      <c r="AG188" s="496"/>
      <c r="AH188" s="496"/>
      <c r="AI188" s="496"/>
      <c r="AJ188" s="496"/>
      <c r="AK188" s="496"/>
      <c r="AL188" s="496"/>
      <c r="AM188" s="496"/>
      <c r="AN188" s="496"/>
      <c r="AO188" s="496"/>
      <c r="AP188" s="496"/>
      <c r="AQ188" s="496"/>
      <c r="AR188" s="496"/>
      <c r="AS188" s="496"/>
      <c r="AT188" s="496"/>
      <c r="AU188" s="496"/>
      <c r="AV188" s="496"/>
      <c r="AW188" s="496"/>
      <c r="AX188" s="496"/>
      <c r="AY188" s="496"/>
      <c r="AZ188" s="496"/>
      <c r="BA188" s="496"/>
      <c r="BB188" s="496"/>
      <c r="BC188" s="496"/>
      <c r="BD188" s="496"/>
      <c r="BE188" s="496"/>
      <c r="BF188" s="496"/>
      <c r="BG188" s="496"/>
      <c r="BH188" s="496"/>
      <c r="BI188" s="496"/>
    </row>
    <row r="189" spans="1:61" s="71" customFormat="1" ht="12.75" x14ac:dyDescent="0.25">
      <c r="A189" s="504"/>
      <c r="B189" s="72" t="s">
        <v>119</v>
      </c>
      <c r="C189" s="70" t="s">
        <v>18</v>
      </c>
      <c r="D189" s="70">
        <v>0.246</v>
      </c>
      <c r="E189" s="73">
        <f>D190*E186</f>
        <v>0.30051</v>
      </c>
      <c r="F189" s="73"/>
      <c r="G189" s="73"/>
      <c r="H189" s="1147"/>
      <c r="I189" s="73">
        <f>H189*E189</f>
        <v>0</v>
      </c>
      <c r="J189" s="73"/>
      <c r="K189" s="73"/>
      <c r="L189" s="505">
        <f>K189+I189+G189</f>
        <v>0</v>
      </c>
      <c r="M189" s="496"/>
      <c r="N189" s="496"/>
      <c r="O189" s="496"/>
      <c r="P189" s="496"/>
      <c r="Q189" s="496"/>
      <c r="R189" s="496"/>
      <c r="S189" s="496"/>
      <c r="T189" s="496"/>
      <c r="U189" s="496"/>
      <c r="V189" s="496"/>
      <c r="W189" s="496"/>
      <c r="X189" s="496"/>
      <c r="Y189" s="496"/>
      <c r="Z189" s="496"/>
      <c r="AA189" s="496"/>
      <c r="AB189" s="496"/>
      <c r="AC189" s="496"/>
      <c r="AD189" s="496"/>
      <c r="AE189" s="496"/>
      <c r="AF189" s="496"/>
      <c r="AG189" s="496"/>
      <c r="AH189" s="496"/>
      <c r="AI189" s="496"/>
      <c r="AJ189" s="496"/>
      <c r="AK189" s="496"/>
      <c r="AL189" s="496"/>
      <c r="AM189" s="496"/>
      <c r="AN189" s="496"/>
      <c r="AO189" s="496"/>
      <c r="AP189" s="496"/>
      <c r="AQ189" s="496"/>
      <c r="AR189" s="496"/>
      <c r="AS189" s="496"/>
      <c r="AT189" s="496"/>
      <c r="AU189" s="496"/>
      <c r="AV189" s="496"/>
      <c r="AW189" s="496"/>
      <c r="AX189" s="496"/>
      <c r="AY189" s="496"/>
      <c r="AZ189" s="496"/>
      <c r="BA189" s="496"/>
      <c r="BB189" s="496"/>
      <c r="BC189" s="496"/>
      <c r="BD189" s="496"/>
      <c r="BE189" s="496"/>
      <c r="BF189" s="496"/>
      <c r="BG189" s="496"/>
      <c r="BH189" s="496"/>
      <c r="BI189" s="496"/>
    </row>
    <row r="190" spans="1:61" s="71" customFormat="1" ht="12.75" x14ac:dyDescent="0.25">
      <c r="A190" s="504"/>
      <c r="B190" s="72" t="s">
        <v>120</v>
      </c>
      <c r="C190" s="70" t="s">
        <v>98</v>
      </c>
      <c r="D190" s="73">
        <v>2.7E-2</v>
      </c>
      <c r="E190" s="178">
        <f>E186*D190</f>
        <v>0.30051</v>
      </c>
      <c r="F190" s="73"/>
      <c r="G190" s="73"/>
      <c r="H190" s="1147"/>
      <c r="I190" s="73">
        <f>H190*E190</f>
        <v>0</v>
      </c>
      <c r="J190" s="73"/>
      <c r="K190" s="73"/>
      <c r="L190" s="505">
        <f>K190+I190+G190</f>
        <v>0</v>
      </c>
      <c r="M190" s="496"/>
      <c r="N190" s="496"/>
      <c r="O190" s="496"/>
      <c r="P190" s="496"/>
      <c r="Q190" s="496"/>
      <c r="R190" s="496"/>
      <c r="S190" s="496"/>
      <c r="T190" s="496"/>
      <c r="U190" s="496"/>
      <c r="V190" s="496"/>
      <c r="W190" s="496"/>
      <c r="X190" s="496"/>
      <c r="Y190" s="496"/>
      <c r="Z190" s="496"/>
      <c r="AA190" s="496"/>
      <c r="AB190" s="496"/>
      <c r="AC190" s="496"/>
      <c r="AD190" s="496"/>
      <c r="AE190" s="496"/>
      <c r="AF190" s="496"/>
      <c r="AG190" s="496"/>
      <c r="AH190" s="496"/>
      <c r="AI190" s="496"/>
      <c r="AJ190" s="496"/>
      <c r="AK190" s="496"/>
      <c r="AL190" s="496"/>
      <c r="AM190" s="496"/>
      <c r="AN190" s="496"/>
      <c r="AO190" s="496"/>
      <c r="AP190" s="496"/>
      <c r="AQ190" s="496"/>
      <c r="AR190" s="496"/>
      <c r="AS190" s="496"/>
      <c r="AT190" s="496"/>
      <c r="AU190" s="496"/>
      <c r="AV190" s="496"/>
      <c r="AW190" s="496"/>
      <c r="AX190" s="496"/>
      <c r="AY190" s="496"/>
      <c r="AZ190" s="496"/>
      <c r="BA190" s="496"/>
      <c r="BB190" s="496"/>
      <c r="BC190" s="496"/>
      <c r="BD190" s="496"/>
      <c r="BE190" s="496"/>
      <c r="BF190" s="496"/>
      <c r="BG190" s="496"/>
      <c r="BH190" s="496"/>
      <c r="BI190" s="496"/>
    </row>
    <row r="191" spans="1:61" s="71" customFormat="1" ht="12.75" x14ac:dyDescent="0.25">
      <c r="A191" s="504"/>
      <c r="B191" s="172" t="s">
        <v>16</v>
      </c>
      <c r="C191" s="70" t="s">
        <v>33</v>
      </c>
      <c r="D191" s="70">
        <v>1.9E-3</v>
      </c>
      <c r="E191" s="73">
        <f>E186*D191</f>
        <v>2.1147000000000003E-2</v>
      </c>
      <c r="F191" s="73"/>
      <c r="G191" s="73"/>
      <c r="H191" s="953"/>
      <c r="I191" s="73">
        <f>H191*E191</f>
        <v>0</v>
      </c>
      <c r="J191" s="73"/>
      <c r="K191" s="73"/>
      <c r="L191" s="505">
        <f>K191+I191+G191</f>
        <v>0</v>
      </c>
      <c r="M191" s="496"/>
      <c r="N191" s="496"/>
      <c r="O191" s="496"/>
      <c r="P191" s="496"/>
      <c r="Q191" s="496"/>
      <c r="R191" s="496"/>
      <c r="S191" s="496"/>
      <c r="T191" s="496"/>
      <c r="U191" s="496"/>
      <c r="V191" s="496"/>
      <c r="W191" s="496"/>
      <c r="X191" s="496"/>
      <c r="Y191" s="496"/>
      <c r="Z191" s="496"/>
      <c r="AA191" s="496"/>
      <c r="AB191" s="496"/>
      <c r="AC191" s="496"/>
      <c r="AD191" s="496"/>
      <c r="AE191" s="496"/>
      <c r="AF191" s="496"/>
      <c r="AG191" s="496"/>
      <c r="AH191" s="496"/>
      <c r="AI191" s="496"/>
      <c r="AJ191" s="496"/>
      <c r="AK191" s="496"/>
      <c r="AL191" s="496"/>
      <c r="AM191" s="496"/>
      <c r="AN191" s="496"/>
      <c r="AO191" s="496"/>
      <c r="AP191" s="496"/>
      <c r="AQ191" s="496"/>
      <c r="AR191" s="496"/>
      <c r="AS191" s="496"/>
      <c r="AT191" s="496"/>
      <c r="AU191" s="496"/>
      <c r="AV191" s="496"/>
      <c r="AW191" s="496"/>
      <c r="AX191" s="496"/>
      <c r="AY191" s="496"/>
      <c r="AZ191" s="496"/>
      <c r="BA191" s="496"/>
      <c r="BB191" s="496"/>
      <c r="BC191" s="496"/>
      <c r="BD191" s="496"/>
      <c r="BE191" s="496"/>
      <c r="BF191" s="496"/>
      <c r="BG191" s="496"/>
      <c r="BH191" s="496"/>
      <c r="BI191" s="496"/>
    </row>
    <row r="192" spans="1:61" s="95" customFormat="1" x14ac:dyDescent="0.25">
      <c r="A192" s="616">
        <v>4</v>
      </c>
      <c r="B192" s="33" t="s">
        <v>348</v>
      </c>
      <c r="C192" s="27" t="s">
        <v>17</v>
      </c>
      <c r="D192" s="27"/>
      <c r="E192" s="736">
        <v>2</v>
      </c>
      <c r="F192" s="68"/>
      <c r="G192" s="68"/>
      <c r="H192" s="30"/>
      <c r="I192" s="30"/>
      <c r="J192" s="30"/>
      <c r="K192" s="30"/>
      <c r="L192" s="619"/>
      <c r="M192" s="137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  <c r="AA192" s="138"/>
      <c r="AB192" s="138"/>
      <c r="AC192" s="138"/>
      <c r="AD192" s="138"/>
      <c r="AE192" s="138"/>
      <c r="AF192" s="138"/>
      <c r="AG192" s="138"/>
      <c r="AH192" s="138"/>
      <c r="AI192" s="138"/>
      <c r="AJ192" s="138"/>
      <c r="AK192" s="138"/>
      <c r="AL192" s="138"/>
      <c r="AM192" s="138"/>
      <c r="AN192" s="138"/>
      <c r="AO192" s="138"/>
      <c r="AP192" s="138"/>
      <c r="AQ192" s="138"/>
      <c r="AR192" s="138"/>
      <c r="AS192" s="138"/>
      <c r="AT192" s="138"/>
      <c r="AU192" s="138"/>
      <c r="AV192" s="138"/>
      <c r="AW192" s="138"/>
      <c r="AX192" s="138"/>
      <c r="AY192" s="138"/>
      <c r="AZ192" s="138"/>
      <c r="BA192" s="138"/>
      <c r="BB192" s="138"/>
      <c r="BC192" s="138"/>
      <c r="BD192" s="138"/>
      <c r="BE192" s="138"/>
      <c r="BF192" s="138"/>
      <c r="BG192" s="138"/>
      <c r="BH192" s="138"/>
      <c r="BI192" s="138"/>
    </row>
    <row r="193" spans="1:61" s="80" customFormat="1" x14ac:dyDescent="0.25">
      <c r="A193" s="616"/>
      <c r="B193" s="39" t="s">
        <v>36</v>
      </c>
      <c r="C193" s="34" t="s">
        <v>17</v>
      </c>
      <c r="D193" s="34">
        <v>1</v>
      </c>
      <c r="E193" s="25">
        <f>E192*D193</f>
        <v>2</v>
      </c>
      <c r="F193" s="1166"/>
      <c r="G193" s="23">
        <f>E193*F193</f>
        <v>0</v>
      </c>
      <c r="H193" s="25"/>
      <c r="I193" s="25"/>
      <c r="J193" s="25"/>
      <c r="K193" s="25"/>
      <c r="L193" s="619">
        <f>G193+I193+K193</f>
        <v>0</v>
      </c>
      <c r="M193" s="118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Q193" s="119"/>
      <c r="AR193" s="119"/>
      <c r="AS193" s="119"/>
      <c r="AT193" s="119"/>
      <c r="AU193" s="119"/>
      <c r="AV193" s="119"/>
      <c r="AW193" s="119"/>
      <c r="AX193" s="119"/>
      <c r="AY193" s="119"/>
      <c r="AZ193" s="119"/>
      <c r="BA193" s="119"/>
      <c r="BB193" s="119"/>
      <c r="BC193" s="119"/>
      <c r="BD193" s="119"/>
      <c r="BE193" s="119"/>
      <c r="BF193" s="119"/>
      <c r="BG193" s="119"/>
      <c r="BH193" s="119"/>
      <c r="BI193" s="119"/>
    </row>
    <row r="194" spans="1:61" s="80" customFormat="1" x14ac:dyDescent="0.25">
      <c r="A194" s="616"/>
      <c r="B194" s="39" t="s">
        <v>40</v>
      </c>
      <c r="C194" s="34" t="s">
        <v>15</v>
      </c>
      <c r="D194" s="34">
        <f>0.95/100+0.23/100*2</f>
        <v>1.41E-2</v>
      </c>
      <c r="E194" s="403">
        <f>E192*D194</f>
        <v>2.8199999999999999E-2</v>
      </c>
      <c r="F194" s="23"/>
      <c r="G194" s="23"/>
      <c r="H194" s="25"/>
      <c r="I194" s="25"/>
      <c r="J194" s="953"/>
      <c r="K194" s="25">
        <f>E194*J194</f>
        <v>0</v>
      </c>
      <c r="L194" s="619">
        <f>G194+I194+K194</f>
        <v>0</v>
      </c>
      <c r="M194" s="118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Q194" s="119"/>
      <c r="AR194" s="119"/>
      <c r="AS194" s="119"/>
      <c r="AT194" s="119"/>
      <c r="AU194" s="119"/>
      <c r="AV194" s="119"/>
      <c r="AW194" s="119"/>
      <c r="AX194" s="119"/>
      <c r="AY194" s="119"/>
      <c r="AZ194" s="119"/>
      <c r="BA194" s="119"/>
      <c r="BB194" s="119"/>
      <c r="BC194" s="119"/>
      <c r="BD194" s="119"/>
      <c r="BE194" s="119"/>
      <c r="BF194" s="119"/>
      <c r="BG194" s="119"/>
      <c r="BH194" s="119"/>
      <c r="BI194" s="119"/>
    </row>
    <row r="195" spans="1:61" s="80" customFormat="1" x14ac:dyDescent="0.25">
      <c r="A195" s="616"/>
      <c r="B195" s="39" t="s">
        <v>337</v>
      </c>
      <c r="C195" s="34" t="s">
        <v>10</v>
      </c>
      <c r="D195" s="34">
        <v>5.0500000000000003E-2</v>
      </c>
      <c r="E195" s="25">
        <f>E192*D195</f>
        <v>0.10100000000000001</v>
      </c>
      <c r="F195" s="23"/>
      <c r="G195" s="23"/>
      <c r="H195" s="1128"/>
      <c r="I195" s="25">
        <f>H195*E195</f>
        <v>0</v>
      </c>
      <c r="J195" s="25"/>
      <c r="K195" s="25"/>
      <c r="L195" s="619">
        <f>G195+I195+K195</f>
        <v>0</v>
      </c>
      <c r="M195" s="118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Q195" s="119"/>
      <c r="AR195" s="119"/>
      <c r="AS195" s="119"/>
      <c r="AT195" s="119"/>
      <c r="AU195" s="119"/>
      <c r="AV195" s="119"/>
      <c r="AW195" s="119"/>
      <c r="AX195" s="119"/>
      <c r="AY195" s="119"/>
      <c r="AZ195" s="119"/>
      <c r="BA195" s="119"/>
      <c r="BB195" s="119"/>
      <c r="BC195" s="119"/>
      <c r="BD195" s="119"/>
      <c r="BE195" s="119"/>
      <c r="BF195" s="119"/>
      <c r="BG195" s="119"/>
      <c r="BH195" s="119"/>
      <c r="BI195" s="119"/>
    </row>
    <row r="196" spans="1:61" s="80" customFormat="1" x14ac:dyDescent="0.25">
      <c r="A196" s="616"/>
      <c r="B196" s="39" t="s">
        <v>42</v>
      </c>
      <c r="C196" s="34" t="s">
        <v>15</v>
      </c>
      <c r="D196" s="34">
        <v>6.3600000000000004E-2</v>
      </c>
      <c r="E196" s="25">
        <f>E192*D196</f>
        <v>0.12720000000000001</v>
      </c>
      <c r="F196" s="626"/>
      <c r="G196" s="626"/>
      <c r="H196" s="953"/>
      <c r="I196" s="25">
        <f>H196*E196</f>
        <v>0</v>
      </c>
      <c r="J196" s="25"/>
      <c r="K196" s="25"/>
      <c r="L196" s="619">
        <f>G196+I196+K196</f>
        <v>0</v>
      </c>
      <c r="M196" s="118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19"/>
      <c r="AM196" s="119"/>
      <c r="AN196" s="119"/>
      <c r="AO196" s="119"/>
      <c r="AP196" s="119"/>
      <c r="AQ196" s="119"/>
      <c r="AR196" s="119"/>
      <c r="AS196" s="119"/>
      <c r="AT196" s="119"/>
      <c r="AU196" s="119"/>
      <c r="AV196" s="119"/>
      <c r="AW196" s="119"/>
      <c r="AX196" s="119"/>
      <c r="AY196" s="119"/>
      <c r="AZ196" s="119"/>
      <c r="BA196" s="119"/>
      <c r="BB196" s="119"/>
      <c r="BC196" s="119"/>
      <c r="BD196" s="119"/>
      <c r="BE196" s="119"/>
      <c r="BF196" s="119"/>
      <c r="BG196" s="119"/>
      <c r="BH196" s="119"/>
      <c r="BI196" s="119"/>
    </row>
    <row r="197" spans="1:61" s="652" customFormat="1" ht="24.75" customHeight="1" x14ac:dyDescent="0.25">
      <c r="A197" s="616">
        <v>5</v>
      </c>
      <c r="B197" s="33" t="s">
        <v>338</v>
      </c>
      <c r="C197" s="27" t="s">
        <v>17</v>
      </c>
      <c r="D197" s="27"/>
      <c r="E197" s="30">
        <v>2</v>
      </c>
      <c r="F197" s="68"/>
      <c r="G197" s="68"/>
      <c r="H197" s="30"/>
      <c r="I197" s="30"/>
      <c r="J197" s="30"/>
      <c r="K197" s="30"/>
      <c r="L197" s="619"/>
      <c r="M197" s="137"/>
      <c r="N197" s="987"/>
      <c r="O197" s="987"/>
      <c r="P197" s="987"/>
      <c r="Q197" s="987"/>
      <c r="R197" s="987"/>
      <c r="S197" s="987"/>
      <c r="T197" s="987"/>
      <c r="U197" s="987"/>
      <c r="V197" s="987"/>
      <c r="W197" s="987"/>
      <c r="X197" s="987"/>
      <c r="Y197" s="987"/>
      <c r="Z197" s="987"/>
      <c r="AA197" s="987"/>
      <c r="AB197" s="987"/>
      <c r="AC197" s="987"/>
      <c r="AD197" s="987"/>
      <c r="AE197" s="987"/>
      <c r="AF197" s="987"/>
      <c r="AG197" s="987"/>
      <c r="AH197" s="987"/>
      <c r="AI197" s="987"/>
      <c r="AJ197" s="987"/>
      <c r="AK197" s="987"/>
      <c r="AL197" s="987"/>
      <c r="AM197" s="987"/>
      <c r="AN197" s="987"/>
      <c r="AO197" s="987"/>
      <c r="AP197" s="987"/>
      <c r="AQ197" s="987"/>
      <c r="AR197" s="987"/>
      <c r="AS197" s="987"/>
      <c r="AT197" s="987"/>
      <c r="AU197" s="987"/>
      <c r="AV197" s="987"/>
      <c r="AW197" s="987"/>
      <c r="AX197" s="987"/>
      <c r="AY197" s="987"/>
      <c r="AZ197" s="987"/>
      <c r="BA197" s="987"/>
      <c r="BB197" s="987"/>
      <c r="BC197" s="987"/>
      <c r="BD197" s="987"/>
      <c r="BE197" s="987"/>
      <c r="BF197" s="987"/>
      <c r="BG197" s="987"/>
      <c r="BH197" s="987"/>
      <c r="BI197" s="987"/>
    </row>
    <row r="198" spans="1:61" s="404" customFormat="1" ht="13.5" customHeight="1" x14ac:dyDescent="0.25">
      <c r="A198" s="1044"/>
      <c r="B198" s="39" t="s">
        <v>36</v>
      </c>
      <c r="C198" s="34" t="s">
        <v>37</v>
      </c>
      <c r="D198" s="34">
        <v>3.1046</v>
      </c>
      <c r="E198" s="25">
        <f>E197*D198</f>
        <v>6.2092000000000001</v>
      </c>
      <c r="F198" s="1166"/>
      <c r="G198" s="23">
        <f>E198*F198</f>
        <v>0</v>
      </c>
      <c r="H198" s="25"/>
      <c r="I198" s="25"/>
      <c r="J198" s="25"/>
      <c r="K198" s="25"/>
      <c r="L198" s="619">
        <f>G198+I198+K198</f>
        <v>0</v>
      </c>
      <c r="M198" s="118"/>
      <c r="N198" s="988"/>
      <c r="O198" s="988"/>
      <c r="P198" s="988"/>
      <c r="Q198" s="988"/>
      <c r="R198" s="988"/>
      <c r="S198" s="988"/>
      <c r="T198" s="988"/>
      <c r="U198" s="988"/>
      <c r="V198" s="988"/>
      <c r="W198" s="988"/>
      <c r="X198" s="988"/>
      <c r="Y198" s="988"/>
      <c r="Z198" s="988"/>
      <c r="AA198" s="988"/>
      <c r="AB198" s="988"/>
      <c r="AC198" s="988"/>
      <c r="AD198" s="988"/>
      <c r="AE198" s="988"/>
      <c r="AF198" s="988"/>
      <c r="AG198" s="988"/>
      <c r="AH198" s="988"/>
      <c r="AI198" s="988"/>
      <c r="AJ198" s="988"/>
      <c r="AK198" s="988"/>
      <c r="AL198" s="988"/>
      <c r="AM198" s="988"/>
      <c r="AN198" s="988"/>
      <c r="AO198" s="988"/>
      <c r="AP198" s="988"/>
      <c r="AQ198" s="988"/>
      <c r="AR198" s="988"/>
      <c r="AS198" s="988"/>
      <c r="AT198" s="988"/>
      <c r="AU198" s="988"/>
      <c r="AV198" s="988"/>
      <c r="AW198" s="988"/>
      <c r="AX198" s="988"/>
      <c r="AY198" s="988"/>
      <c r="AZ198" s="988"/>
      <c r="BA198" s="988"/>
      <c r="BB198" s="988"/>
      <c r="BC198" s="988"/>
      <c r="BD198" s="988"/>
      <c r="BE198" s="988"/>
      <c r="BF198" s="988"/>
      <c r="BG198" s="988"/>
      <c r="BH198" s="988"/>
      <c r="BI198" s="988"/>
    </row>
    <row r="199" spans="1:61" s="404" customFormat="1" ht="13.5" customHeight="1" x14ac:dyDescent="0.25">
      <c r="A199" s="1044"/>
      <c r="B199" s="39" t="s">
        <v>48</v>
      </c>
      <c r="C199" s="34" t="s">
        <v>15</v>
      </c>
      <c r="D199" s="34">
        <v>4.5199999999999997E-2</v>
      </c>
      <c r="E199" s="25">
        <f>E197*D199</f>
        <v>9.0399999999999994E-2</v>
      </c>
      <c r="F199" s="23"/>
      <c r="G199" s="23"/>
      <c r="H199" s="25"/>
      <c r="I199" s="25"/>
      <c r="J199" s="953"/>
      <c r="K199" s="25">
        <f>E199*J199</f>
        <v>0</v>
      </c>
      <c r="L199" s="619">
        <f>G199+I199+K199</f>
        <v>0</v>
      </c>
      <c r="M199" s="118"/>
      <c r="N199" s="988"/>
      <c r="O199" s="988"/>
      <c r="P199" s="988"/>
      <c r="Q199" s="988"/>
      <c r="R199" s="988"/>
      <c r="S199" s="988"/>
      <c r="T199" s="988"/>
      <c r="U199" s="988"/>
      <c r="V199" s="988"/>
      <c r="W199" s="988"/>
      <c r="X199" s="988"/>
      <c r="Y199" s="988"/>
      <c r="Z199" s="988"/>
      <c r="AA199" s="988"/>
      <c r="AB199" s="988"/>
      <c r="AC199" s="988"/>
      <c r="AD199" s="988"/>
      <c r="AE199" s="988"/>
      <c r="AF199" s="988"/>
      <c r="AG199" s="988"/>
      <c r="AH199" s="988"/>
      <c r="AI199" s="988"/>
      <c r="AJ199" s="988"/>
      <c r="AK199" s="988"/>
      <c r="AL199" s="988"/>
      <c r="AM199" s="988"/>
      <c r="AN199" s="988"/>
      <c r="AO199" s="988"/>
      <c r="AP199" s="988"/>
      <c r="AQ199" s="988"/>
      <c r="AR199" s="988"/>
      <c r="AS199" s="988"/>
      <c r="AT199" s="988"/>
      <c r="AU199" s="988"/>
      <c r="AV199" s="988"/>
      <c r="AW199" s="988"/>
      <c r="AX199" s="988"/>
      <c r="AY199" s="988"/>
      <c r="AZ199" s="988"/>
      <c r="BA199" s="988"/>
      <c r="BB199" s="988"/>
      <c r="BC199" s="988"/>
      <c r="BD199" s="988"/>
      <c r="BE199" s="988"/>
      <c r="BF199" s="988"/>
      <c r="BG199" s="988"/>
      <c r="BH199" s="988"/>
      <c r="BI199" s="988"/>
    </row>
    <row r="200" spans="1:61" s="404" customFormat="1" x14ac:dyDescent="0.25">
      <c r="A200" s="1044"/>
      <c r="B200" s="39" t="s">
        <v>49</v>
      </c>
      <c r="C200" s="34" t="s">
        <v>18</v>
      </c>
      <c r="D200" s="25">
        <v>5</v>
      </c>
      <c r="E200" s="25">
        <f>E197*D200</f>
        <v>10</v>
      </c>
      <c r="F200" s="23"/>
      <c r="G200" s="23"/>
      <c r="H200" s="1128"/>
      <c r="I200" s="25">
        <f>E200*H200</f>
        <v>0</v>
      </c>
      <c r="J200" s="25"/>
      <c r="K200" s="25"/>
      <c r="L200" s="619">
        <f>G200+I200+K200</f>
        <v>0</v>
      </c>
      <c r="M200" s="118"/>
      <c r="N200" s="988"/>
      <c r="O200" s="988"/>
      <c r="P200" s="988"/>
      <c r="Q200" s="988"/>
      <c r="R200" s="988"/>
      <c r="S200" s="988"/>
      <c r="T200" s="988"/>
      <c r="U200" s="988"/>
      <c r="V200" s="988"/>
      <c r="W200" s="988"/>
      <c r="X200" s="988"/>
      <c r="Y200" s="988"/>
      <c r="Z200" s="988"/>
      <c r="AA200" s="988"/>
      <c r="AB200" s="988"/>
      <c r="AC200" s="988"/>
      <c r="AD200" s="988"/>
      <c r="AE200" s="988"/>
      <c r="AF200" s="988"/>
      <c r="AG200" s="988"/>
      <c r="AH200" s="988"/>
      <c r="AI200" s="988"/>
      <c r="AJ200" s="988"/>
      <c r="AK200" s="988"/>
      <c r="AL200" s="988"/>
      <c r="AM200" s="988"/>
      <c r="AN200" s="988"/>
      <c r="AO200" s="988"/>
      <c r="AP200" s="988"/>
      <c r="AQ200" s="988"/>
      <c r="AR200" s="988"/>
      <c r="AS200" s="988"/>
      <c r="AT200" s="988"/>
      <c r="AU200" s="988"/>
      <c r="AV200" s="988"/>
      <c r="AW200" s="988"/>
      <c r="AX200" s="988"/>
      <c r="AY200" s="988"/>
      <c r="AZ200" s="988"/>
      <c r="BA200" s="988"/>
      <c r="BB200" s="988"/>
      <c r="BC200" s="988"/>
      <c r="BD200" s="988"/>
      <c r="BE200" s="988"/>
      <c r="BF200" s="988"/>
      <c r="BG200" s="988"/>
      <c r="BH200" s="988"/>
      <c r="BI200" s="988"/>
    </row>
    <row r="201" spans="1:61" s="404" customFormat="1" x14ac:dyDescent="0.25">
      <c r="A201" s="1044"/>
      <c r="B201" s="39" t="s">
        <v>339</v>
      </c>
      <c r="C201" s="34" t="s">
        <v>17</v>
      </c>
      <c r="D201" s="34">
        <v>1.02</v>
      </c>
      <c r="E201" s="25">
        <f>E197*D201</f>
        <v>2.04</v>
      </c>
      <c r="F201" s="23"/>
      <c r="G201" s="23"/>
      <c r="H201" s="1128"/>
      <c r="I201" s="25">
        <f>E201*H201</f>
        <v>0</v>
      </c>
      <c r="J201" s="25"/>
      <c r="K201" s="25"/>
      <c r="L201" s="619">
        <f>G201+I201+K201</f>
        <v>0</v>
      </c>
      <c r="M201" s="118"/>
      <c r="N201" s="988"/>
      <c r="O201" s="988"/>
      <c r="P201" s="988"/>
      <c r="Q201" s="988"/>
      <c r="R201" s="988"/>
      <c r="S201" s="988"/>
      <c r="T201" s="988"/>
      <c r="U201" s="988"/>
      <c r="V201" s="988"/>
      <c r="W201" s="988"/>
      <c r="X201" s="988"/>
      <c r="Y201" s="988"/>
      <c r="Z201" s="988"/>
      <c r="AA201" s="988"/>
      <c r="AB201" s="988"/>
      <c r="AC201" s="988"/>
      <c r="AD201" s="988"/>
      <c r="AE201" s="988"/>
      <c r="AF201" s="988"/>
      <c r="AG201" s="988"/>
      <c r="AH201" s="988"/>
      <c r="AI201" s="988"/>
      <c r="AJ201" s="988"/>
      <c r="AK201" s="988"/>
      <c r="AL201" s="988"/>
      <c r="AM201" s="988"/>
      <c r="AN201" s="988"/>
      <c r="AO201" s="988"/>
      <c r="AP201" s="988"/>
      <c r="AQ201" s="988"/>
      <c r="AR201" s="988"/>
      <c r="AS201" s="988"/>
      <c r="AT201" s="988"/>
      <c r="AU201" s="988"/>
      <c r="AV201" s="988"/>
      <c r="AW201" s="988"/>
      <c r="AX201" s="988"/>
      <c r="AY201" s="988"/>
      <c r="AZ201" s="988"/>
      <c r="BA201" s="988"/>
      <c r="BB201" s="988"/>
      <c r="BC201" s="988"/>
      <c r="BD201" s="988"/>
      <c r="BE201" s="988"/>
      <c r="BF201" s="988"/>
      <c r="BG201" s="988"/>
      <c r="BH201" s="988"/>
      <c r="BI201" s="988"/>
    </row>
    <row r="202" spans="1:61" s="404" customFormat="1" ht="13.5" customHeight="1" x14ac:dyDescent="0.25">
      <c r="A202" s="1044"/>
      <c r="B202" s="39" t="s">
        <v>42</v>
      </c>
      <c r="C202" s="34" t="s">
        <v>15</v>
      </c>
      <c r="D202" s="34">
        <v>4.6600000000000003E-2</v>
      </c>
      <c r="E202" s="25">
        <f>E197*D202</f>
        <v>9.3200000000000005E-2</v>
      </c>
      <c r="F202" s="23"/>
      <c r="G202" s="23"/>
      <c r="H202" s="953"/>
      <c r="I202" s="25">
        <f>E202*H202</f>
        <v>0</v>
      </c>
      <c r="J202" s="25"/>
      <c r="K202" s="25"/>
      <c r="L202" s="619">
        <f>G202+I202+K202</f>
        <v>0</v>
      </c>
      <c r="M202" s="989"/>
      <c r="N202" s="988"/>
      <c r="O202" s="988"/>
      <c r="P202" s="988"/>
      <c r="Q202" s="988"/>
      <c r="R202" s="988"/>
      <c r="S202" s="988"/>
      <c r="T202" s="988"/>
      <c r="U202" s="988"/>
      <c r="V202" s="988"/>
      <c r="W202" s="988"/>
      <c r="X202" s="988"/>
      <c r="Y202" s="988"/>
      <c r="Z202" s="988"/>
      <c r="AA202" s="988"/>
      <c r="AB202" s="988"/>
      <c r="AC202" s="988"/>
      <c r="AD202" s="988"/>
      <c r="AE202" s="988"/>
      <c r="AF202" s="988"/>
      <c r="AG202" s="988"/>
      <c r="AH202" s="988"/>
      <c r="AI202" s="988"/>
      <c r="AJ202" s="988"/>
      <c r="AK202" s="988"/>
      <c r="AL202" s="988"/>
      <c r="AM202" s="988"/>
      <c r="AN202" s="988"/>
      <c r="AO202" s="988"/>
      <c r="AP202" s="988"/>
      <c r="AQ202" s="988"/>
      <c r="AR202" s="988"/>
      <c r="AS202" s="988"/>
      <c r="AT202" s="988"/>
      <c r="AU202" s="988"/>
      <c r="AV202" s="988"/>
      <c r="AW202" s="988"/>
      <c r="AX202" s="988"/>
      <c r="AY202" s="988"/>
      <c r="AZ202" s="988"/>
      <c r="BA202" s="988"/>
      <c r="BB202" s="988"/>
      <c r="BC202" s="988"/>
      <c r="BD202" s="988"/>
      <c r="BE202" s="988"/>
      <c r="BF202" s="988"/>
      <c r="BG202" s="988"/>
      <c r="BH202" s="988"/>
      <c r="BI202" s="988"/>
    </row>
    <row r="203" spans="1:61" x14ac:dyDescent="0.25">
      <c r="A203" s="1045">
        <v>6</v>
      </c>
      <c r="B203" s="332" t="s">
        <v>347</v>
      </c>
      <c r="C203" s="331" t="s">
        <v>145</v>
      </c>
      <c r="D203" s="333"/>
      <c r="E203" s="738">
        <f>((1.4*4)*2.3-1.5)</f>
        <v>11.379999999999999</v>
      </c>
      <c r="F203" s="627"/>
      <c r="G203" s="627"/>
      <c r="H203" s="627"/>
      <c r="I203" s="627"/>
      <c r="J203" s="628"/>
      <c r="K203" s="628"/>
      <c r="L203" s="1046"/>
      <c r="M203" s="596"/>
      <c r="N203" s="596"/>
      <c r="O203" s="596"/>
      <c r="P203" s="596"/>
      <c r="Q203" s="596"/>
      <c r="R203" s="596"/>
      <c r="S203" s="596"/>
      <c r="T203" s="596"/>
      <c r="U203" s="596"/>
      <c r="V203" s="596"/>
      <c r="W203" s="596"/>
      <c r="X203" s="596"/>
      <c r="Y203" s="596"/>
    </row>
    <row r="204" spans="1:61" x14ac:dyDescent="0.25">
      <c r="A204" s="1047"/>
      <c r="B204" s="338" t="s">
        <v>263</v>
      </c>
      <c r="C204" s="337" t="s">
        <v>37</v>
      </c>
      <c r="D204" s="339">
        <v>1.36</v>
      </c>
      <c r="E204" s="340">
        <f>E203*D204</f>
        <v>15.476799999999999</v>
      </c>
      <c r="F204" s="1166"/>
      <c r="G204" s="335">
        <f>ROUND(E204*F204,2)</f>
        <v>0</v>
      </c>
      <c r="H204" s="335"/>
      <c r="I204" s="335"/>
      <c r="J204" s="334"/>
      <c r="K204" s="334"/>
      <c r="L204" s="1048">
        <f t="shared" ref="L204:L209" si="13">G204+I204+K204</f>
        <v>0</v>
      </c>
      <c r="M204" s="598"/>
      <c r="N204" s="598"/>
      <c r="O204" s="598"/>
      <c r="P204" s="598"/>
      <c r="Q204" s="598"/>
      <c r="R204" s="598"/>
      <c r="S204" s="598"/>
      <c r="T204" s="598"/>
      <c r="U204" s="598"/>
      <c r="V204" s="598"/>
      <c r="W204" s="598"/>
      <c r="X204" s="598"/>
      <c r="Y204" s="598"/>
    </row>
    <row r="205" spans="1:61" x14ac:dyDescent="0.25">
      <c r="A205" s="1047"/>
      <c r="B205" s="338" t="s">
        <v>14</v>
      </c>
      <c r="C205" s="337" t="s">
        <v>15</v>
      </c>
      <c r="D205" s="339">
        <v>4.0800000000000003E-2</v>
      </c>
      <c r="E205" s="340">
        <f>E203*D205</f>
        <v>0.46430399999999999</v>
      </c>
      <c r="F205" s="334"/>
      <c r="G205" s="334"/>
      <c r="H205" s="334"/>
      <c r="I205" s="334"/>
      <c r="J205" s="953"/>
      <c r="K205" s="335">
        <f>ROUND(E205*J205,2)</f>
        <v>0</v>
      </c>
      <c r="L205" s="1048">
        <f t="shared" si="13"/>
        <v>0</v>
      </c>
      <c r="M205" s="598"/>
      <c r="N205" s="598"/>
      <c r="O205" s="598"/>
      <c r="P205" s="598"/>
      <c r="Q205" s="598"/>
      <c r="R205" s="598"/>
      <c r="S205" s="598"/>
      <c r="T205" s="598"/>
      <c r="U205" s="598"/>
      <c r="V205" s="598"/>
      <c r="W205" s="598"/>
      <c r="X205" s="598"/>
      <c r="Y205" s="598"/>
    </row>
    <row r="206" spans="1:61" x14ac:dyDescent="0.25">
      <c r="A206" s="1047"/>
      <c r="B206" s="630" t="s">
        <v>340</v>
      </c>
      <c r="C206" s="337" t="s">
        <v>145</v>
      </c>
      <c r="D206" s="339">
        <v>1.02</v>
      </c>
      <c r="E206" s="340">
        <f>E203*D206</f>
        <v>11.6076</v>
      </c>
      <c r="F206" s="334"/>
      <c r="G206" s="334"/>
      <c r="H206" s="1189"/>
      <c r="I206" s="334">
        <f>ROUND(E206*H206,2)</f>
        <v>0</v>
      </c>
      <c r="J206" s="334"/>
      <c r="K206" s="334"/>
      <c r="L206" s="1048">
        <f t="shared" si="13"/>
        <v>0</v>
      </c>
      <c r="M206" s="598"/>
      <c r="N206" s="598"/>
      <c r="O206" s="598"/>
      <c r="P206" s="598"/>
      <c r="Q206" s="598"/>
      <c r="R206" s="598"/>
      <c r="S206" s="598"/>
      <c r="T206" s="598"/>
      <c r="U206" s="598"/>
      <c r="V206" s="598"/>
      <c r="W206" s="598"/>
      <c r="X206" s="598"/>
      <c r="Y206" s="598"/>
    </row>
    <row r="207" spans="1:61" x14ac:dyDescent="0.25">
      <c r="A207" s="1047"/>
      <c r="B207" s="338" t="s">
        <v>341</v>
      </c>
      <c r="C207" s="337" t="s">
        <v>34</v>
      </c>
      <c r="D207" s="629"/>
      <c r="E207" s="340">
        <v>22.1</v>
      </c>
      <c r="F207" s="334"/>
      <c r="G207" s="334"/>
      <c r="H207" s="1189"/>
      <c r="I207" s="334">
        <f>ROUND(E207*H207,2)</f>
        <v>0</v>
      </c>
      <c r="J207" s="334"/>
      <c r="K207" s="334"/>
      <c r="L207" s="1048">
        <f t="shared" si="13"/>
        <v>0</v>
      </c>
      <c r="M207" s="598"/>
      <c r="N207" s="598"/>
      <c r="O207" s="598"/>
      <c r="P207" s="598"/>
      <c r="Q207" s="598"/>
      <c r="R207" s="598"/>
      <c r="S207" s="598"/>
      <c r="T207" s="598"/>
      <c r="U207" s="598"/>
      <c r="V207" s="598"/>
      <c r="W207" s="598"/>
      <c r="X207" s="598"/>
      <c r="Y207" s="598"/>
    </row>
    <row r="208" spans="1:61" s="171" customFormat="1" x14ac:dyDescent="0.25">
      <c r="A208" s="1047"/>
      <c r="B208" s="338" t="s">
        <v>342</v>
      </c>
      <c r="C208" s="337" t="s">
        <v>18</v>
      </c>
      <c r="D208" s="629">
        <v>0.19400000000000001</v>
      </c>
      <c r="E208" s="340">
        <f>E203*D208</f>
        <v>2.2077199999999997</v>
      </c>
      <c r="F208" s="334"/>
      <c r="G208" s="334"/>
      <c r="H208" s="1128"/>
      <c r="I208" s="334">
        <f>ROUND(E208*H208,2)</f>
        <v>0</v>
      </c>
      <c r="J208" s="334"/>
      <c r="K208" s="334"/>
      <c r="L208" s="1048">
        <f t="shared" si="13"/>
        <v>0</v>
      </c>
      <c r="M208" s="598"/>
      <c r="N208" s="598"/>
      <c r="O208" s="598"/>
      <c r="P208" s="598"/>
      <c r="Q208" s="598"/>
      <c r="R208" s="598"/>
      <c r="S208" s="598"/>
      <c r="T208" s="598"/>
      <c r="U208" s="598"/>
      <c r="V208" s="598"/>
      <c r="W208" s="598"/>
      <c r="X208" s="598"/>
      <c r="Y208" s="598"/>
      <c r="Z208" s="598"/>
      <c r="AA208" s="598"/>
      <c r="AB208" s="598"/>
      <c r="AC208" s="598"/>
      <c r="AD208" s="598"/>
      <c r="AE208" s="598"/>
      <c r="AF208" s="598"/>
      <c r="AG208" s="598"/>
      <c r="AH208" s="598"/>
      <c r="AI208" s="598"/>
      <c r="AJ208" s="598"/>
      <c r="AK208" s="598"/>
      <c r="AL208" s="598"/>
      <c r="AM208" s="598"/>
      <c r="AN208" s="598"/>
      <c r="AO208" s="598"/>
      <c r="AP208" s="598"/>
      <c r="AQ208" s="598"/>
      <c r="AR208" s="598"/>
      <c r="AS208" s="598"/>
      <c r="AT208" s="598"/>
      <c r="AU208" s="598"/>
      <c r="AV208" s="598"/>
      <c r="AW208" s="598"/>
      <c r="AX208" s="598"/>
      <c r="AY208" s="598"/>
      <c r="AZ208" s="598"/>
      <c r="BA208" s="598"/>
      <c r="BB208" s="598"/>
      <c r="BC208" s="598"/>
      <c r="BD208" s="598"/>
      <c r="BE208" s="598"/>
      <c r="BF208" s="598"/>
      <c r="BG208" s="598"/>
      <c r="BH208" s="598"/>
      <c r="BI208" s="598"/>
    </row>
    <row r="209" spans="1:255" x14ac:dyDescent="0.25">
      <c r="A209" s="1047"/>
      <c r="B209" s="338" t="s">
        <v>146</v>
      </c>
      <c r="C209" s="337" t="s">
        <v>15</v>
      </c>
      <c r="D209" s="629">
        <v>5.3400000000000003E-2</v>
      </c>
      <c r="E209" s="340">
        <f>E203*D209</f>
        <v>0.60769200000000001</v>
      </c>
      <c r="F209" s="334"/>
      <c r="G209" s="334"/>
      <c r="H209" s="953"/>
      <c r="I209" s="334">
        <f>ROUND(E209*H209,2)</f>
        <v>0</v>
      </c>
      <c r="J209" s="335"/>
      <c r="K209" s="335"/>
      <c r="L209" s="1048">
        <f t="shared" si="13"/>
        <v>0</v>
      </c>
      <c r="M209" s="598"/>
      <c r="N209" s="598"/>
      <c r="O209" s="598"/>
      <c r="P209" s="598"/>
      <c r="Q209" s="598"/>
      <c r="R209" s="598"/>
      <c r="S209" s="598"/>
      <c r="T209" s="598"/>
      <c r="U209" s="598"/>
      <c r="V209" s="598"/>
      <c r="W209" s="598"/>
      <c r="X209" s="598"/>
      <c r="Y209" s="598"/>
    </row>
    <row r="210" spans="1:255" x14ac:dyDescent="0.25">
      <c r="A210" s="1045">
        <v>7</v>
      </c>
      <c r="B210" s="332" t="s">
        <v>361</v>
      </c>
      <c r="C210" s="331" t="s">
        <v>145</v>
      </c>
      <c r="D210" s="333"/>
      <c r="E210" s="738">
        <f>1.4*1.4</f>
        <v>1.9599999999999997</v>
      </c>
      <c r="F210" s="627"/>
      <c r="G210" s="627"/>
      <c r="H210" s="627"/>
      <c r="I210" s="627"/>
      <c r="J210" s="628"/>
      <c r="K210" s="628"/>
      <c r="L210" s="1046"/>
      <c r="M210" s="596"/>
      <c r="N210" s="596"/>
      <c r="O210" s="596"/>
      <c r="P210" s="596"/>
      <c r="Q210" s="596"/>
      <c r="R210" s="596"/>
      <c r="S210" s="596"/>
      <c r="T210" s="596"/>
      <c r="U210" s="596"/>
      <c r="V210" s="596"/>
      <c r="W210" s="596"/>
      <c r="X210" s="596"/>
      <c r="Y210" s="596"/>
    </row>
    <row r="211" spans="1:255" x14ac:dyDescent="0.25">
      <c r="A211" s="1047"/>
      <c r="B211" s="338" t="s">
        <v>107</v>
      </c>
      <c r="C211" s="337" t="s">
        <v>37</v>
      </c>
      <c r="D211" s="629">
        <v>0.24299999999999999</v>
      </c>
      <c r="E211" s="340">
        <f>E210*D211</f>
        <v>0.47627999999999993</v>
      </c>
      <c r="F211" s="1166"/>
      <c r="G211" s="335">
        <f>ROUND(E211*F211,2)</f>
        <v>0</v>
      </c>
      <c r="H211" s="335"/>
      <c r="I211" s="335"/>
      <c r="J211" s="334"/>
      <c r="K211" s="334"/>
      <c r="L211" s="1048">
        <f>G211+I211+K211</f>
        <v>0</v>
      </c>
      <c r="M211" s="598"/>
      <c r="N211" s="598"/>
      <c r="O211" s="598"/>
      <c r="P211" s="598"/>
      <c r="Q211" s="598"/>
      <c r="R211" s="598"/>
      <c r="S211" s="598"/>
      <c r="T211" s="598"/>
      <c r="U211" s="598"/>
      <c r="V211" s="598"/>
      <c r="W211" s="598"/>
      <c r="X211" s="598"/>
      <c r="Y211" s="598"/>
    </row>
    <row r="212" spans="1:255" s="171" customFormat="1" x14ac:dyDescent="0.25">
      <c r="A212" s="1047"/>
      <c r="B212" s="338" t="s">
        <v>14</v>
      </c>
      <c r="C212" s="337" t="s">
        <v>15</v>
      </c>
      <c r="D212" s="629">
        <v>4.0800000000000003E-2</v>
      </c>
      <c r="E212" s="340">
        <f>E210*D212</f>
        <v>7.9967999999999997E-2</v>
      </c>
      <c r="F212" s="334"/>
      <c r="G212" s="334"/>
      <c r="H212" s="334"/>
      <c r="I212" s="334"/>
      <c r="J212" s="953"/>
      <c r="K212" s="335">
        <f>ROUND(E212*J212,2)</f>
        <v>0</v>
      </c>
      <c r="L212" s="1048">
        <f>G212+I212+K212</f>
        <v>0</v>
      </c>
      <c r="M212" s="598"/>
      <c r="N212" s="598"/>
      <c r="O212" s="598"/>
      <c r="P212" s="598"/>
      <c r="Q212" s="598"/>
      <c r="R212" s="598"/>
      <c r="S212" s="598"/>
      <c r="T212" s="598"/>
      <c r="U212" s="598"/>
      <c r="V212" s="598"/>
      <c r="W212" s="598"/>
      <c r="X212" s="598"/>
      <c r="Y212" s="598"/>
      <c r="Z212" s="598"/>
      <c r="AA212" s="598"/>
      <c r="AB212" s="598"/>
      <c r="AC212" s="598"/>
      <c r="AD212" s="598"/>
      <c r="AE212" s="598"/>
      <c r="AF212" s="598"/>
      <c r="AG212" s="598"/>
      <c r="AH212" s="598"/>
      <c r="AI212" s="598"/>
      <c r="AJ212" s="598"/>
      <c r="AK212" s="598"/>
      <c r="AL212" s="598"/>
      <c r="AM212" s="598"/>
      <c r="AN212" s="598"/>
      <c r="AO212" s="598"/>
      <c r="AP212" s="598"/>
      <c r="AQ212" s="598"/>
      <c r="AR212" s="598"/>
      <c r="AS212" s="598"/>
      <c r="AT212" s="598"/>
      <c r="AU212" s="598"/>
      <c r="AV212" s="598"/>
      <c r="AW212" s="598"/>
      <c r="AX212" s="598"/>
      <c r="AY212" s="598"/>
      <c r="AZ212" s="598"/>
      <c r="BA212" s="598"/>
      <c r="BB212" s="598"/>
      <c r="BC212" s="598"/>
      <c r="BD212" s="598"/>
      <c r="BE212" s="598"/>
      <c r="BF212" s="598"/>
      <c r="BG212" s="598"/>
      <c r="BH212" s="598"/>
      <c r="BI212" s="598"/>
    </row>
    <row r="213" spans="1:255" s="171" customFormat="1" x14ac:dyDescent="0.25">
      <c r="A213" s="1047"/>
      <c r="B213" s="630" t="s">
        <v>343</v>
      </c>
      <c r="C213" s="337" t="s">
        <v>145</v>
      </c>
      <c r="D213" s="339">
        <v>1.01</v>
      </c>
      <c r="E213" s="340">
        <f>E210*D213</f>
        <v>1.9795999999999998</v>
      </c>
      <c r="F213" s="334"/>
      <c r="G213" s="334"/>
      <c r="H213" s="1189"/>
      <c r="I213" s="334">
        <f>ROUND(E213*H213,2)</f>
        <v>0</v>
      </c>
      <c r="J213" s="334"/>
      <c r="K213" s="334"/>
      <c r="L213" s="1048">
        <f>G213+I213+K213</f>
        <v>0</v>
      </c>
      <c r="M213" s="598"/>
      <c r="N213" s="598"/>
      <c r="O213" s="598"/>
      <c r="P213" s="598"/>
      <c r="Q213" s="598"/>
      <c r="R213" s="598"/>
      <c r="S213" s="598"/>
      <c r="T213" s="598"/>
      <c r="U213" s="598"/>
      <c r="V213" s="598"/>
      <c r="W213" s="598"/>
      <c r="X213" s="598"/>
      <c r="Y213" s="598"/>
      <c r="Z213" s="598"/>
      <c r="AA213" s="598"/>
      <c r="AB213" s="598"/>
      <c r="AC213" s="598"/>
      <c r="AD213" s="598"/>
      <c r="AE213" s="598"/>
      <c r="AF213" s="598"/>
      <c r="AG213" s="598"/>
      <c r="AH213" s="598"/>
      <c r="AI213" s="598"/>
      <c r="AJ213" s="598"/>
      <c r="AK213" s="598"/>
      <c r="AL213" s="598"/>
      <c r="AM213" s="598"/>
      <c r="AN213" s="598"/>
      <c r="AO213" s="598"/>
      <c r="AP213" s="598"/>
      <c r="AQ213" s="598"/>
      <c r="AR213" s="598"/>
      <c r="AS213" s="598"/>
      <c r="AT213" s="598"/>
      <c r="AU213" s="598"/>
      <c r="AV213" s="598"/>
      <c r="AW213" s="598"/>
      <c r="AX213" s="598"/>
      <c r="AY213" s="598"/>
      <c r="AZ213" s="598"/>
      <c r="BA213" s="598"/>
      <c r="BB213" s="598"/>
      <c r="BC213" s="598"/>
      <c r="BD213" s="598"/>
      <c r="BE213" s="598"/>
      <c r="BF213" s="598"/>
      <c r="BG213" s="598"/>
      <c r="BH213" s="598"/>
      <c r="BI213" s="598"/>
    </row>
    <row r="214" spans="1:255" s="171" customFormat="1" x14ac:dyDescent="0.25">
      <c r="A214" s="1047"/>
      <c r="B214" s="22" t="s">
        <v>118</v>
      </c>
      <c r="C214" s="337" t="s">
        <v>18</v>
      </c>
      <c r="D214" s="629">
        <v>7.1999999999999998E-3</v>
      </c>
      <c r="E214" s="340">
        <f>E210*D214</f>
        <v>1.4111999999999998E-2</v>
      </c>
      <c r="F214" s="334"/>
      <c r="G214" s="334"/>
      <c r="H214" s="1124"/>
      <c r="I214" s="334">
        <f>ROUND(E214*H214,2)</f>
        <v>0</v>
      </c>
      <c r="J214" s="334"/>
      <c r="K214" s="334"/>
      <c r="L214" s="1048">
        <f>G214+I214+K214</f>
        <v>0</v>
      </c>
      <c r="M214" s="598"/>
      <c r="N214" s="598"/>
      <c r="O214" s="598"/>
      <c r="P214" s="598"/>
      <c r="Q214" s="598"/>
      <c r="R214" s="598"/>
      <c r="S214" s="598"/>
      <c r="T214" s="598"/>
      <c r="U214" s="598"/>
      <c r="V214" s="598"/>
      <c r="W214" s="598"/>
      <c r="X214" s="598"/>
      <c r="Y214" s="598"/>
      <c r="Z214" s="598"/>
      <c r="AA214" s="598"/>
      <c r="AB214" s="598"/>
      <c r="AC214" s="598"/>
      <c r="AD214" s="598"/>
      <c r="AE214" s="598"/>
      <c r="AF214" s="598"/>
      <c r="AG214" s="598"/>
      <c r="AH214" s="598"/>
      <c r="AI214" s="598"/>
      <c r="AJ214" s="598"/>
      <c r="AK214" s="598"/>
      <c r="AL214" s="598"/>
      <c r="AM214" s="598"/>
      <c r="AN214" s="598"/>
      <c r="AO214" s="598"/>
      <c r="AP214" s="598"/>
      <c r="AQ214" s="598"/>
      <c r="AR214" s="598"/>
      <c r="AS214" s="598"/>
      <c r="AT214" s="598"/>
      <c r="AU214" s="598"/>
      <c r="AV214" s="598"/>
      <c r="AW214" s="598"/>
      <c r="AX214" s="598"/>
      <c r="AY214" s="598"/>
      <c r="AZ214" s="598"/>
      <c r="BA214" s="598"/>
      <c r="BB214" s="598"/>
      <c r="BC214" s="598"/>
      <c r="BD214" s="598"/>
      <c r="BE214" s="598"/>
      <c r="BF214" s="598"/>
      <c r="BG214" s="598"/>
      <c r="BH214" s="598"/>
      <c r="BI214" s="598"/>
    </row>
    <row r="215" spans="1:255" s="171" customFormat="1" x14ac:dyDescent="0.25">
      <c r="A215" s="1047"/>
      <c r="B215" s="338" t="s">
        <v>146</v>
      </c>
      <c r="C215" s="337" t="s">
        <v>15</v>
      </c>
      <c r="D215" s="629">
        <v>5.3400000000000003E-2</v>
      </c>
      <c r="E215" s="340">
        <f>E210*D215</f>
        <v>0.10466399999999999</v>
      </c>
      <c r="F215" s="334"/>
      <c r="G215" s="334"/>
      <c r="H215" s="953"/>
      <c r="I215" s="334">
        <f>ROUND(E215*H215,2)</f>
        <v>0</v>
      </c>
      <c r="J215" s="334"/>
      <c r="K215" s="334"/>
      <c r="L215" s="1048">
        <f>G215+I215+K215</f>
        <v>0</v>
      </c>
      <c r="M215" s="598"/>
      <c r="N215" s="598"/>
      <c r="O215" s="598"/>
      <c r="P215" s="598"/>
      <c r="Q215" s="598"/>
      <c r="R215" s="598"/>
      <c r="S215" s="598"/>
      <c r="T215" s="598"/>
      <c r="U215" s="598"/>
      <c r="V215" s="598"/>
      <c r="W215" s="598"/>
      <c r="X215" s="598"/>
      <c r="Y215" s="598"/>
      <c r="Z215" s="598"/>
      <c r="AA215" s="598"/>
      <c r="AB215" s="598"/>
      <c r="AC215" s="598"/>
      <c r="AD215" s="598"/>
      <c r="AE215" s="598"/>
      <c r="AF215" s="598"/>
      <c r="AG215" s="598"/>
      <c r="AH215" s="598"/>
      <c r="AI215" s="598"/>
      <c r="AJ215" s="598"/>
      <c r="AK215" s="598"/>
      <c r="AL215" s="598"/>
      <c r="AM215" s="598"/>
      <c r="AN215" s="598"/>
      <c r="AO215" s="598"/>
      <c r="AP215" s="598"/>
      <c r="AQ215" s="598"/>
      <c r="AR215" s="598"/>
      <c r="AS215" s="598"/>
      <c r="AT215" s="598"/>
      <c r="AU215" s="598"/>
      <c r="AV215" s="598"/>
      <c r="AW215" s="598"/>
      <c r="AX215" s="598"/>
      <c r="AY215" s="598"/>
      <c r="AZ215" s="598"/>
      <c r="BA215" s="598"/>
      <c r="BB215" s="598"/>
      <c r="BC215" s="598"/>
      <c r="BD215" s="598"/>
      <c r="BE215" s="598"/>
      <c r="BF215" s="598"/>
      <c r="BG215" s="598"/>
      <c r="BH215" s="598"/>
      <c r="BI215" s="598"/>
    </row>
    <row r="216" spans="1:255" s="80" customFormat="1" x14ac:dyDescent="0.25">
      <c r="A216" s="616">
        <v>8</v>
      </c>
      <c r="B216" s="33" t="s">
        <v>344</v>
      </c>
      <c r="C216" s="27" t="s">
        <v>17</v>
      </c>
      <c r="D216" s="27"/>
      <c r="E216" s="30">
        <f>0.7*2.1</f>
        <v>1.47</v>
      </c>
      <c r="F216" s="68"/>
      <c r="G216" s="68"/>
      <c r="H216" s="30"/>
      <c r="I216" s="30"/>
      <c r="J216" s="30"/>
      <c r="K216" s="30"/>
      <c r="L216" s="619"/>
      <c r="M216" s="990"/>
      <c r="N216" s="596"/>
      <c r="O216" s="596"/>
      <c r="P216" s="596"/>
      <c r="Q216" s="596"/>
      <c r="R216" s="596"/>
      <c r="S216" s="596"/>
      <c r="T216" s="596"/>
      <c r="U216" s="596"/>
      <c r="V216" s="596"/>
      <c r="W216" s="596"/>
      <c r="X216" s="596"/>
      <c r="Y216" s="596"/>
      <c r="Z216" s="596"/>
      <c r="AA216" s="596"/>
      <c r="AB216" s="596"/>
      <c r="AC216" s="596"/>
      <c r="AD216" s="596"/>
      <c r="AE216" s="596"/>
      <c r="AF216" s="596"/>
      <c r="AG216" s="596"/>
      <c r="AH216" s="596"/>
      <c r="AI216" s="596"/>
      <c r="AJ216" s="596"/>
      <c r="AK216" s="596"/>
      <c r="AL216" s="596"/>
      <c r="AM216" s="596"/>
      <c r="AN216" s="596"/>
      <c r="AO216" s="596"/>
      <c r="AP216" s="596"/>
      <c r="AQ216" s="596"/>
      <c r="AR216" s="596"/>
      <c r="AS216" s="596"/>
      <c r="AT216" s="596"/>
      <c r="AU216" s="596"/>
      <c r="AV216" s="596"/>
      <c r="AW216" s="596"/>
      <c r="AX216" s="596"/>
      <c r="AY216" s="596"/>
      <c r="AZ216" s="596"/>
      <c r="BA216" s="596"/>
      <c r="BB216" s="596"/>
      <c r="BC216" s="596"/>
      <c r="BD216" s="596"/>
      <c r="BE216" s="596"/>
      <c r="BF216" s="596"/>
      <c r="BG216" s="596"/>
      <c r="BH216" s="596"/>
      <c r="BI216" s="596"/>
      <c r="BJ216" s="336"/>
      <c r="BK216" s="336"/>
      <c r="BL216" s="336"/>
      <c r="BM216" s="336"/>
      <c r="BN216" s="336"/>
      <c r="BO216" s="336"/>
      <c r="BP216" s="336"/>
      <c r="BQ216" s="336"/>
      <c r="BR216" s="336"/>
      <c r="BS216" s="336"/>
      <c r="BT216" s="336"/>
      <c r="BU216" s="336"/>
      <c r="BV216" s="336"/>
      <c r="BW216" s="336"/>
      <c r="BX216" s="336"/>
      <c r="BY216" s="336"/>
      <c r="BZ216" s="336"/>
      <c r="CA216" s="336"/>
      <c r="CB216" s="336"/>
      <c r="CC216" s="336"/>
      <c r="CD216" s="336"/>
      <c r="CE216" s="336"/>
      <c r="CF216" s="336"/>
      <c r="CG216" s="336"/>
      <c r="CH216" s="336"/>
      <c r="CI216" s="336"/>
      <c r="CJ216" s="336"/>
      <c r="CK216" s="336"/>
      <c r="CL216" s="336"/>
      <c r="CM216" s="336"/>
      <c r="CN216" s="336"/>
      <c r="CO216" s="336"/>
      <c r="CP216" s="336"/>
      <c r="CQ216" s="336"/>
      <c r="CR216" s="336"/>
      <c r="CS216" s="336"/>
      <c r="CT216" s="336"/>
      <c r="CU216" s="336"/>
      <c r="CV216" s="336"/>
      <c r="CW216" s="336"/>
      <c r="CX216" s="336"/>
      <c r="CY216" s="336"/>
      <c r="CZ216" s="336"/>
      <c r="DA216" s="336"/>
      <c r="DB216" s="336"/>
      <c r="DC216" s="336"/>
      <c r="DD216" s="336"/>
      <c r="DE216" s="336"/>
      <c r="DF216" s="336"/>
      <c r="DG216" s="336"/>
      <c r="DH216" s="336"/>
      <c r="DI216" s="336"/>
      <c r="DJ216" s="336"/>
      <c r="DK216" s="336"/>
      <c r="DL216" s="336"/>
      <c r="DM216" s="336"/>
      <c r="DN216" s="336"/>
      <c r="DO216" s="336"/>
      <c r="DP216" s="336"/>
      <c r="DQ216" s="336"/>
      <c r="DR216" s="336"/>
      <c r="DS216" s="336"/>
      <c r="DT216" s="336"/>
      <c r="DU216" s="336"/>
      <c r="DV216" s="336"/>
      <c r="DW216" s="336"/>
      <c r="DX216" s="336"/>
      <c r="DY216" s="336"/>
      <c r="DZ216" s="336"/>
      <c r="EA216" s="336"/>
      <c r="EB216" s="336"/>
      <c r="EC216" s="336"/>
      <c r="ED216" s="336"/>
      <c r="EE216" s="336"/>
      <c r="EF216" s="336"/>
      <c r="EG216" s="336"/>
      <c r="EH216" s="336"/>
      <c r="EI216" s="336"/>
      <c r="EJ216" s="336"/>
      <c r="EK216" s="336"/>
      <c r="EL216" s="336"/>
      <c r="EM216" s="336"/>
      <c r="EN216" s="336"/>
      <c r="EO216" s="336"/>
      <c r="EP216" s="336"/>
      <c r="EQ216" s="336"/>
      <c r="ER216" s="336"/>
      <c r="ES216" s="336"/>
      <c r="ET216" s="336"/>
      <c r="EU216" s="336"/>
      <c r="EV216" s="336"/>
      <c r="EW216" s="336"/>
      <c r="EX216" s="336"/>
      <c r="EY216" s="336"/>
      <c r="EZ216" s="336"/>
      <c r="FA216" s="336"/>
      <c r="FB216" s="336"/>
      <c r="FC216" s="336"/>
      <c r="FD216" s="336"/>
      <c r="FE216" s="336"/>
      <c r="FF216" s="336"/>
      <c r="FG216" s="336"/>
      <c r="FH216" s="336"/>
      <c r="FI216" s="336"/>
      <c r="FJ216" s="336"/>
      <c r="FK216" s="336"/>
      <c r="FL216" s="336"/>
      <c r="FM216" s="336"/>
      <c r="FN216" s="336"/>
      <c r="FO216" s="336"/>
      <c r="FP216" s="336"/>
      <c r="FQ216" s="336"/>
      <c r="FR216" s="336"/>
      <c r="FS216" s="336"/>
      <c r="FT216" s="336"/>
      <c r="FU216" s="336"/>
      <c r="FV216" s="336"/>
      <c r="FW216" s="336"/>
      <c r="FX216" s="336"/>
      <c r="FY216" s="336"/>
      <c r="FZ216" s="336"/>
      <c r="GA216" s="336"/>
      <c r="GB216" s="336"/>
      <c r="GC216" s="336"/>
      <c r="GD216" s="336"/>
      <c r="GE216" s="336"/>
      <c r="GF216" s="336"/>
      <c r="GG216" s="336"/>
      <c r="GH216" s="336"/>
      <c r="GI216" s="336"/>
      <c r="GJ216" s="336"/>
      <c r="GK216" s="336"/>
      <c r="GL216" s="336"/>
      <c r="GM216" s="336"/>
      <c r="GN216" s="336"/>
      <c r="GO216" s="336"/>
      <c r="GP216" s="336"/>
      <c r="GQ216" s="336"/>
      <c r="GR216" s="336"/>
      <c r="GS216" s="336"/>
      <c r="GT216" s="336"/>
      <c r="GU216" s="336"/>
      <c r="GV216" s="336"/>
      <c r="GW216" s="336"/>
      <c r="GX216" s="336"/>
      <c r="GY216" s="336"/>
      <c r="GZ216" s="336"/>
      <c r="HA216" s="336"/>
      <c r="HB216" s="336"/>
      <c r="HC216" s="336"/>
      <c r="HD216" s="336"/>
      <c r="HE216" s="336"/>
      <c r="HF216" s="336"/>
      <c r="HG216" s="336"/>
      <c r="HH216" s="336"/>
      <c r="HI216" s="336"/>
      <c r="HJ216" s="336"/>
      <c r="HK216" s="336"/>
      <c r="HL216" s="336"/>
      <c r="HM216" s="336"/>
      <c r="HN216" s="336"/>
      <c r="HO216" s="336"/>
      <c r="HP216" s="336"/>
      <c r="HQ216" s="336"/>
      <c r="HR216" s="336"/>
      <c r="HS216" s="336"/>
      <c r="HT216" s="336"/>
      <c r="HU216" s="336"/>
      <c r="HV216" s="336"/>
      <c r="HW216" s="336"/>
      <c r="HX216" s="336"/>
      <c r="HY216" s="336"/>
      <c r="HZ216" s="336"/>
      <c r="IA216" s="336"/>
      <c r="IB216" s="336"/>
      <c r="IC216" s="336"/>
      <c r="ID216" s="336"/>
      <c r="IE216" s="336"/>
      <c r="IF216" s="336"/>
      <c r="IG216" s="336"/>
      <c r="IH216" s="336"/>
      <c r="II216" s="336"/>
      <c r="IJ216" s="336"/>
      <c r="IK216" s="336"/>
      <c r="IL216" s="336"/>
      <c r="IM216" s="336"/>
      <c r="IN216" s="336"/>
      <c r="IO216" s="336"/>
      <c r="IP216" s="336"/>
      <c r="IQ216" s="336"/>
      <c r="IR216" s="336"/>
      <c r="IS216" s="336"/>
      <c r="IT216" s="336"/>
      <c r="IU216" s="336"/>
    </row>
    <row r="217" spans="1:255" s="80" customFormat="1" ht="15.75" customHeight="1" x14ac:dyDescent="0.25">
      <c r="A217" s="1049"/>
      <c r="B217" s="20" t="s">
        <v>36</v>
      </c>
      <c r="C217" s="19" t="s">
        <v>37</v>
      </c>
      <c r="D217" s="19">
        <v>2.72</v>
      </c>
      <c r="E217" s="18">
        <f>E216*D217</f>
        <v>3.9984000000000002</v>
      </c>
      <c r="F217" s="1166"/>
      <c r="G217" s="18">
        <f>E217*F217</f>
        <v>0</v>
      </c>
      <c r="H217" s="18"/>
      <c r="I217" s="18"/>
      <c r="J217" s="18"/>
      <c r="K217" s="18"/>
      <c r="L217" s="619">
        <f>G217+I217+K217</f>
        <v>0</v>
      </c>
      <c r="M217" s="991"/>
      <c r="N217" s="407"/>
      <c r="O217" s="407"/>
      <c r="P217" s="407"/>
      <c r="Q217" s="407"/>
      <c r="R217" s="407"/>
      <c r="S217" s="407"/>
      <c r="T217" s="407"/>
      <c r="U217" s="407"/>
      <c r="V217" s="407"/>
      <c r="W217" s="407"/>
      <c r="X217" s="407"/>
      <c r="Y217" s="407"/>
      <c r="Z217" s="407"/>
      <c r="AA217" s="407"/>
      <c r="AB217" s="407"/>
      <c r="AC217" s="407"/>
      <c r="AD217" s="407"/>
      <c r="AE217" s="407"/>
      <c r="AF217" s="407"/>
      <c r="AG217" s="407"/>
      <c r="AH217" s="407"/>
      <c r="AI217" s="407"/>
      <c r="AJ217" s="407"/>
      <c r="AK217" s="407"/>
      <c r="AL217" s="407"/>
      <c r="AM217" s="407"/>
      <c r="AN217" s="407"/>
      <c r="AO217" s="407"/>
      <c r="AP217" s="407"/>
      <c r="AQ217" s="407"/>
      <c r="AR217" s="407"/>
      <c r="AS217" s="407"/>
      <c r="AT217" s="407"/>
      <c r="AU217" s="407"/>
      <c r="AV217" s="407"/>
      <c r="AW217" s="407"/>
      <c r="AX217" s="407"/>
      <c r="AY217" s="407"/>
      <c r="AZ217" s="407"/>
      <c r="BA217" s="407"/>
      <c r="BB217" s="407"/>
      <c r="BC217" s="407"/>
      <c r="BD217" s="407"/>
      <c r="BE217" s="407"/>
      <c r="BF217" s="407"/>
      <c r="BG217" s="407"/>
      <c r="BH217" s="407"/>
      <c r="BI217" s="407"/>
      <c r="BJ217" s="408"/>
      <c r="BK217" s="408"/>
      <c r="BL217" s="408"/>
      <c r="BM217" s="408"/>
      <c r="BN217" s="408"/>
      <c r="BO217" s="408"/>
      <c r="BP217" s="408"/>
      <c r="BQ217" s="408"/>
      <c r="BR217" s="408"/>
      <c r="BS217" s="408"/>
      <c r="BT217" s="408"/>
      <c r="BU217" s="408"/>
      <c r="BV217" s="408"/>
      <c r="BW217" s="408"/>
      <c r="BX217" s="408"/>
      <c r="BY217" s="408"/>
      <c r="BZ217" s="408"/>
      <c r="CA217" s="408"/>
      <c r="CB217" s="408"/>
      <c r="CC217" s="408"/>
      <c r="CD217" s="408"/>
      <c r="CE217" s="408"/>
      <c r="CF217" s="408"/>
      <c r="CG217" s="408"/>
      <c r="CH217" s="408"/>
      <c r="CI217" s="408"/>
      <c r="CJ217" s="408"/>
      <c r="CK217" s="408"/>
      <c r="CL217" s="408"/>
      <c r="CM217" s="408"/>
      <c r="CN217" s="408"/>
      <c r="CO217" s="408"/>
      <c r="CP217" s="408"/>
      <c r="CQ217" s="408"/>
      <c r="CR217" s="408"/>
      <c r="CS217" s="408"/>
      <c r="CT217" s="408"/>
      <c r="CU217" s="408"/>
      <c r="CV217" s="408"/>
      <c r="CW217" s="408"/>
      <c r="CX217" s="408"/>
      <c r="CY217" s="408"/>
      <c r="CZ217" s="408"/>
      <c r="DA217" s="408"/>
      <c r="DB217" s="408"/>
      <c r="DC217" s="408"/>
      <c r="DD217" s="408"/>
      <c r="DE217" s="408"/>
      <c r="DF217" s="408"/>
      <c r="DG217" s="408"/>
      <c r="DH217" s="408"/>
      <c r="DI217" s="408"/>
      <c r="DJ217" s="408"/>
      <c r="DK217" s="408"/>
      <c r="DL217" s="408"/>
      <c r="DM217" s="408"/>
      <c r="DN217" s="408"/>
      <c r="DO217" s="408"/>
      <c r="DP217" s="408"/>
      <c r="DQ217" s="408"/>
      <c r="DR217" s="408"/>
      <c r="DS217" s="408"/>
      <c r="DT217" s="408"/>
      <c r="DU217" s="408"/>
      <c r="DV217" s="408"/>
      <c r="DW217" s="408"/>
      <c r="DX217" s="408"/>
      <c r="DY217" s="408"/>
      <c r="DZ217" s="408"/>
      <c r="EA217" s="408"/>
      <c r="EB217" s="408"/>
      <c r="EC217" s="408"/>
      <c r="ED217" s="408"/>
      <c r="EE217" s="408"/>
      <c r="EF217" s="408"/>
      <c r="EG217" s="408"/>
      <c r="EH217" s="408"/>
      <c r="EI217" s="408"/>
      <c r="EJ217" s="408"/>
      <c r="EK217" s="408"/>
      <c r="EL217" s="408"/>
      <c r="EM217" s="408"/>
      <c r="EN217" s="408"/>
      <c r="EO217" s="408"/>
      <c r="EP217" s="408"/>
      <c r="EQ217" s="408"/>
      <c r="ER217" s="408"/>
      <c r="ES217" s="408"/>
      <c r="ET217" s="408"/>
      <c r="EU217" s="408"/>
      <c r="EV217" s="408"/>
      <c r="EW217" s="408"/>
      <c r="EX217" s="408"/>
      <c r="EY217" s="408"/>
      <c r="EZ217" s="408"/>
      <c r="FA217" s="408"/>
      <c r="FB217" s="408"/>
      <c r="FC217" s="408"/>
      <c r="FD217" s="408"/>
      <c r="FE217" s="408"/>
      <c r="FF217" s="408"/>
      <c r="FG217" s="408"/>
      <c r="FH217" s="408"/>
      <c r="FI217" s="408"/>
      <c r="FJ217" s="408"/>
      <c r="FK217" s="408"/>
      <c r="FL217" s="408"/>
      <c r="FM217" s="408"/>
      <c r="FN217" s="408"/>
      <c r="FO217" s="408"/>
      <c r="FP217" s="408"/>
      <c r="FQ217" s="408"/>
      <c r="FR217" s="408"/>
      <c r="FS217" s="408"/>
      <c r="FT217" s="408"/>
      <c r="FU217" s="408"/>
      <c r="FV217" s="408"/>
      <c r="FW217" s="408"/>
      <c r="FX217" s="408"/>
      <c r="FY217" s="408"/>
      <c r="FZ217" s="408"/>
      <c r="GA217" s="408"/>
      <c r="GB217" s="408"/>
      <c r="GC217" s="408"/>
      <c r="GD217" s="408"/>
      <c r="GE217" s="408"/>
      <c r="GF217" s="408"/>
      <c r="GG217" s="408"/>
      <c r="GH217" s="408"/>
      <c r="GI217" s="408"/>
      <c r="GJ217" s="408"/>
      <c r="GK217" s="408"/>
      <c r="GL217" s="408"/>
      <c r="GM217" s="408"/>
      <c r="GN217" s="408"/>
      <c r="GO217" s="408"/>
      <c r="GP217" s="408"/>
      <c r="GQ217" s="408"/>
      <c r="GR217" s="408"/>
      <c r="GS217" s="408"/>
      <c r="GT217" s="408"/>
      <c r="GU217" s="408"/>
      <c r="GV217" s="408"/>
      <c r="GW217" s="408"/>
      <c r="GX217" s="408"/>
      <c r="GY217" s="408"/>
      <c r="GZ217" s="408"/>
      <c r="HA217" s="408"/>
      <c r="HB217" s="408"/>
      <c r="HC217" s="408"/>
      <c r="HD217" s="408"/>
      <c r="HE217" s="408"/>
      <c r="HF217" s="408"/>
      <c r="HG217" s="408"/>
      <c r="HH217" s="408"/>
      <c r="HI217" s="408"/>
      <c r="HJ217" s="408"/>
      <c r="HK217" s="408"/>
      <c r="HL217" s="408"/>
      <c r="HM217" s="408"/>
      <c r="HN217" s="408"/>
      <c r="HO217" s="408"/>
      <c r="HP217" s="408"/>
      <c r="HQ217" s="408"/>
      <c r="HR217" s="408"/>
      <c r="HS217" s="408"/>
      <c r="HT217" s="408"/>
      <c r="HU217" s="408"/>
      <c r="HV217" s="408"/>
      <c r="HW217" s="408"/>
      <c r="HX217" s="408"/>
      <c r="HY217" s="408"/>
      <c r="HZ217" s="408"/>
      <c r="IA217" s="408"/>
      <c r="IB217" s="408"/>
      <c r="IC217" s="408"/>
      <c r="ID217" s="408"/>
      <c r="IE217" s="408"/>
      <c r="IF217" s="408"/>
      <c r="IG217" s="408"/>
      <c r="IH217" s="408"/>
      <c r="II217" s="408"/>
      <c r="IJ217" s="408"/>
      <c r="IK217" s="408"/>
      <c r="IL217" s="408"/>
      <c r="IM217" s="408"/>
      <c r="IN217" s="408"/>
      <c r="IO217" s="408"/>
      <c r="IP217" s="408"/>
      <c r="IQ217" s="408"/>
      <c r="IR217" s="408"/>
      <c r="IS217" s="408"/>
      <c r="IT217" s="408"/>
      <c r="IU217" s="408"/>
    </row>
    <row r="218" spans="1:255" s="80" customFormat="1" x14ac:dyDescent="0.25">
      <c r="A218" s="1044"/>
      <c r="B218" s="22" t="s">
        <v>363</v>
      </c>
      <c r="C218" s="34" t="s">
        <v>17</v>
      </c>
      <c r="D218" s="34"/>
      <c r="E218" s="25">
        <f>E216</f>
        <v>1.47</v>
      </c>
      <c r="F218" s="23"/>
      <c r="G218" s="23"/>
      <c r="H218" s="1128"/>
      <c r="I218" s="23">
        <f>H218*E218</f>
        <v>0</v>
      </c>
      <c r="J218" s="25"/>
      <c r="K218" s="25"/>
      <c r="L218" s="617">
        <f>G218+I218+K218</f>
        <v>0</v>
      </c>
      <c r="M218" s="976"/>
      <c r="N218" s="598"/>
      <c r="O218" s="598"/>
      <c r="P218" s="598"/>
      <c r="Q218" s="598"/>
      <c r="R218" s="598"/>
      <c r="S218" s="598"/>
      <c r="T218" s="598"/>
      <c r="U218" s="598"/>
      <c r="V218" s="598"/>
      <c r="W218" s="598"/>
      <c r="X218" s="598"/>
      <c r="Y218" s="598"/>
      <c r="Z218" s="598"/>
      <c r="AA218" s="598"/>
      <c r="AB218" s="598"/>
      <c r="AC218" s="598"/>
      <c r="AD218" s="598"/>
      <c r="AE218" s="598"/>
      <c r="AF218" s="598"/>
      <c r="AG218" s="598"/>
      <c r="AH218" s="598"/>
      <c r="AI218" s="598"/>
      <c r="AJ218" s="598"/>
      <c r="AK218" s="598"/>
      <c r="AL218" s="598"/>
      <c r="AM218" s="598"/>
      <c r="AN218" s="598"/>
      <c r="AO218" s="598"/>
      <c r="AP218" s="598"/>
      <c r="AQ218" s="598"/>
      <c r="AR218" s="598"/>
      <c r="AS218" s="598"/>
      <c r="AT218" s="598"/>
      <c r="AU218" s="598"/>
      <c r="AV218" s="598"/>
      <c r="AW218" s="598"/>
      <c r="AX218" s="598"/>
      <c r="AY218" s="598"/>
      <c r="AZ218" s="598"/>
      <c r="BA218" s="598"/>
      <c r="BB218" s="598"/>
      <c r="BC218" s="598"/>
      <c r="BD218" s="598"/>
      <c r="BE218" s="598"/>
      <c r="BF218" s="598"/>
      <c r="BG218" s="598"/>
      <c r="BH218" s="598"/>
      <c r="BI218" s="598"/>
      <c r="BJ218" s="171"/>
      <c r="BK218" s="171"/>
      <c r="BL218" s="171"/>
      <c r="BM218" s="171"/>
      <c r="BN218" s="171"/>
      <c r="BO218" s="171"/>
      <c r="BP218" s="171"/>
      <c r="BQ218" s="171"/>
      <c r="BR218" s="171"/>
      <c r="BS218" s="171"/>
      <c r="BT218" s="171"/>
      <c r="BU218" s="171"/>
      <c r="BV218" s="171"/>
      <c r="BW218" s="171"/>
      <c r="BX218" s="171"/>
      <c r="BY218" s="171"/>
      <c r="BZ218" s="171"/>
      <c r="CA218" s="171"/>
      <c r="CB218" s="171"/>
      <c r="CC218" s="171"/>
      <c r="CD218" s="171"/>
      <c r="CE218" s="171"/>
      <c r="CF218" s="171"/>
      <c r="CG218" s="171"/>
      <c r="CH218" s="171"/>
      <c r="CI218" s="171"/>
      <c r="CJ218" s="171"/>
      <c r="CK218" s="171"/>
      <c r="CL218" s="171"/>
      <c r="CM218" s="171"/>
      <c r="CN218" s="171"/>
      <c r="CO218" s="171"/>
      <c r="CP218" s="171"/>
      <c r="CQ218" s="171"/>
      <c r="CR218" s="171"/>
      <c r="CS218" s="171"/>
      <c r="CT218" s="171"/>
      <c r="CU218" s="171"/>
      <c r="CV218" s="171"/>
      <c r="CW218" s="171"/>
      <c r="CX218" s="171"/>
      <c r="CY218" s="171"/>
      <c r="CZ218" s="171"/>
      <c r="DA218" s="171"/>
      <c r="DB218" s="171"/>
      <c r="DC218" s="171"/>
      <c r="DD218" s="171"/>
      <c r="DE218" s="171"/>
      <c r="DF218" s="171"/>
      <c r="DG218" s="171"/>
      <c r="DH218" s="171"/>
      <c r="DI218" s="171"/>
      <c r="DJ218" s="171"/>
      <c r="DK218" s="171"/>
      <c r="DL218" s="171"/>
      <c r="DM218" s="171"/>
      <c r="DN218" s="171"/>
      <c r="DO218" s="171"/>
      <c r="DP218" s="171"/>
      <c r="DQ218" s="171"/>
      <c r="DR218" s="171"/>
      <c r="DS218" s="171"/>
      <c r="DT218" s="171"/>
      <c r="DU218" s="171"/>
      <c r="DV218" s="171"/>
      <c r="DW218" s="171"/>
      <c r="DX218" s="171"/>
      <c r="DY218" s="171"/>
      <c r="DZ218" s="171"/>
      <c r="EA218" s="171"/>
      <c r="EB218" s="171"/>
      <c r="EC218" s="171"/>
      <c r="ED218" s="171"/>
      <c r="EE218" s="171"/>
      <c r="EF218" s="171"/>
      <c r="EG218" s="171"/>
      <c r="EH218" s="171"/>
      <c r="EI218" s="171"/>
      <c r="EJ218" s="171"/>
      <c r="EK218" s="171"/>
      <c r="EL218" s="171"/>
      <c r="EM218" s="171"/>
      <c r="EN218" s="171"/>
      <c r="EO218" s="171"/>
      <c r="EP218" s="171"/>
      <c r="EQ218" s="171"/>
      <c r="ER218" s="171"/>
      <c r="ES218" s="171"/>
      <c r="ET218" s="171"/>
      <c r="EU218" s="171"/>
      <c r="EV218" s="171"/>
      <c r="EW218" s="171"/>
      <c r="EX218" s="171"/>
      <c r="EY218" s="171"/>
      <c r="EZ218" s="171"/>
      <c r="FA218" s="171"/>
      <c r="FB218" s="171"/>
      <c r="FC218" s="171"/>
      <c r="FD218" s="171"/>
      <c r="FE218" s="171"/>
      <c r="FF218" s="171"/>
      <c r="FG218" s="171"/>
      <c r="FH218" s="171"/>
      <c r="FI218" s="171"/>
      <c r="FJ218" s="171"/>
      <c r="FK218" s="171"/>
      <c r="FL218" s="171"/>
      <c r="FM218" s="171"/>
      <c r="FN218" s="171"/>
      <c r="FO218" s="171"/>
      <c r="FP218" s="171"/>
      <c r="FQ218" s="171"/>
      <c r="FR218" s="171"/>
      <c r="FS218" s="171"/>
      <c r="FT218" s="171"/>
      <c r="FU218" s="171"/>
      <c r="FV218" s="171"/>
      <c r="FW218" s="171"/>
      <c r="FX218" s="171"/>
      <c r="FY218" s="171"/>
      <c r="FZ218" s="171"/>
      <c r="GA218" s="171"/>
      <c r="GB218" s="171"/>
      <c r="GC218" s="171"/>
      <c r="GD218" s="171"/>
      <c r="GE218" s="171"/>
      <c r="GF218" s="171"/>
      <c r="GG218" s="171"/>
      <c r="GH218" s="171"/>
      <c r="GI218" s="171"/>
      <c r="GJ218" s="171"/>
      <c r="GK218" s="171"/>
      <c r="GL218" s="171"/>
      <c r="GM218" s="171"/>
      <c r="GN218" s="171"/>
      <c r="GO218" s="171"/>
      <c r="GP218" s="171"/>
      <c r="GQ218" s="171"/>
      <c r="GR218" s="171"/>
      <c r="GS218" s="171"/>
      <c r="GT218" s="171"/>
      <c r="GU218" s="171"/>
      <c r="GV218" s="171"/>
      <c r="GW218" s="171"/>
      <c r="GX218" s="171"/>
      <c r="GY218" s="171"/>
      <c r="GZ218" s="171"/>
      <c r="HA218" s="171"/>
      <c r="HB218" s="171"/>
      <c r="HC218" s="171"/>
      <c r="HD218" s="171"/>
      <c r="HE218" s="171"/>
      <c r="HF218" s="171"/>
      <c r="HG218" s="171"/>
      <c r="HH218" s="171"/>
      <c r="HI218" s="171"/>
      <c r="HJ218" s="171"/>
      <c r="HK218" s="171"/>
      <c r="HL218" s="171"/>
      <c r="HM218" s="171"/>
      <c r="HN218" s="171"/>
      <c r="HO218" s="171"/>
      <c r="HP218" s="171"/>
      <c r="HQ218" s="171"/>
      <c r="HR218" s="171"/>
      <c r="HS218" s="171"/>
      <c r="HT218" s="171"/>
      <c r="HU218" s="171"/>
      <c r="HV218" s="171"/>
      <c r="HW218" s="171"/>
      <c r="HX218" s="171"/>
      <c r="HY218" s="171"/>
      <c r="HZ218" s="171"/>
      <c r="IA218" s="171"/>
      <c r="IB218" s="171"/>
      <c r="IC218" s="171"/>
      <c r="ID218" s="171"/>
      <c r="IE218" s="171"/>
      <c r="IF218" s="171"/>
      <c r="IG218" s="171"/>
      <c r="IH218" s="171"/>
      <c r="II218" s="171"/>
      <c r="IJ218" s="171"/>
      <c r="IK218" s="171"/>
      <c r="IL218" s="171"/>
      <c r="IM218" s="171"/>
      <c r="IN218" s="171"/>
      <c r="IO218" s="171"/>
      <c r="IP218" s="171"/>
      <c r="IQ218" s="171"/>
      <c r="IR218" s="171"/>
      <c r="IS218" s="171"/>
      <c r="IT218" s="171"/>
      <c r="IU218" s="171"/>
    </row>
    <row r="219" spans="1:255" s="80" customFormat="1" x14ac:dyDescent="0.25">
      <c r="A219" s="616">
        <v>9</v>
      </c>
      <c r="B219" s="33" t="s">
        <v>345</v>
      </c>
      <c r="C219" s="27" t="s">
        <v>17</v>
      </c>
      <c r="D219" s="27"/>
      <c r="E219" s="30">
        <f>0.4*0.6</f>
        <v>0.24</v>
      </c>
      <c r="F219" s="68"/>
      <c r="G219" s="68"/>
      <c r="H219" s="30"/>
      <c r="I219" s="30"/>
      <c r="J219" s="30"/>
      <c r="K219" s="30"/>
      <c r="L219" s="619"/>
      <c r="M219" s="990"/>
      <c r="N219" s="596"/>
      <c r="O219" s="596"/>
      <c r="P219" s="596"/>
      <c r="Q219" s="596"/>
      <c r="R219" s="596"/>
      <c r="S219" s="596"/>
      <c r="T219" s="596"/>
      <c r="U219" s="596"/>
      <c r="V219" s="596"/>
      <c r="W219" s="596"/>
      <c r="X219" s="596"/>
      <c r="Y219" s="596"/>
      <c r="Z219" s="596"/>
      <c r="AA219" s="596"/>
      <c r="AB219" s="596"/>
      <c r="AC219" s="596"/>
      <c r="AD219" s="596"/>
      <c r="AE219" s="596"/>
      <c r="AF219" s="596"/>
      <c r="AG219" s="596"/>
      <c r="AH219" s="596"/>
      <c r="AI219" s="596"/>
      <c r="AJ219" s="596"/>
      <c r="AK219" s="596"/>
      <c r="AL219" s="596"/>
      <c r="AM219" s="596"/>
      <c r="AN219" s="596"/>
      <c r="AO219" s="596"/>
      <c r="AP219" s="596"/>
      <c r="AQ219" s="596"/>
      <c r="AR219" s="596"/>
      <c r="AS219" s="596"/>
      <c r="AT219" s="596"/>
      <c r="AU219" s="596"/>
      <c r="AV219" s="596"/>
      <c r="AW219" s="596"/>
      <c r="AX219" s="596"/>
      <c r="AY219" s="596"/>
      <c r="AZ219" s="596"/>
      <c r="BA219" s="596"/>
      <c r="BB219" s="596"/>
      <c r="BC219" s="596"/>
      <c r="BD219" s="596"/>
      <c r="BE219" s="596"/>
      <c r="BF219" s="596"/>
      <c r="BG219" s="596"/>
      <c r="BH219" s="596"/>
      <c r="BI219" s="596"/>
      <c r="BJ219" s="336"/>
      <c r="BK219" s="336"/>
      <c r="BL219" s="336"/>
      <c r="BM219" s="336"/>
      <c r="BN219" s="336"/>
      <c r="BO219" s="336"/>
      <c r="BP219" s="336"/>
      <c r="BQ219" s="336"/>
      <c r="BR219" s="336"/>
      <c r="BS219" s="336"/>
      <c r="BT219" s="336"/>
      <c r="BU219" s="336"/>
      <c r="BV219" s="336"/>
      <c r="BW219" s="336"/>
      <c r="BX219" s="336"/>
      <c r="BY219" s="336"/>
      <c r="BZ219" s="336"/>
      <c r="CA219" s="336"/>
      <c r="CB219" s="336"/>
      <c r="CC219" s="336"/>
      <c r="CD219" s="336"/>
      <c r="CE219" s="336"/>
      <c r="CF219" s="336"/>
      <c r="CG219" s="336"/>
      <c r="CH219" s="336"/>
      <c r="CI219" s="336"/>
      <c r="CJ219" s="336"/>
      <c r="CK219" s="336"/>
      <c r="CL219" s="336"/>
      <c r="CM219" s="336"/>
      <c r="CN219" s="336"/>
      <c r="CO219" s="336"/>
      <c r="CP219" s="336"/>
      <c r="CQ219" s="336"/>
      <c r="CR219" s="336"/>
      <c r="CS219" s="336"/>
      <c r="CT219" s="336"/>
      <c r="CU219" s="336"/>
      <c r="CV219" s="336"/>
      <c r="CW219" s="336"/>
      <c r="CX219" s="336"/>
      <c r="CY219" s="336"/>
      <c r="CZ219" s="336"/>
      <c r="DA219" s="336"/>
      <c r="DB219" s="336"/>
      <c r="DC219" s="336"/>
      <c r="DD219" s="336"/>
      <c r="DE219" s="336"/>
      <c r="DF219" s="336"/>
      <c r="DG219" s="336"/>
      <c r="DH219" s="336"/>
      <c r="DI219" s="336"/>
      <c r="DJ219" s="336"/>
      <c r="DK219" s="336"/>
      <c r="DL219" s="336"/>
      <c r="DM219" s="336"/>
      <c r="DN219" s="336"/>
      <c r="DO219" s="336"/>
      <c r="DP219" s="336"/>
      <c r="DQ219" s="336"/>
      <c r="DR219" s="336"/>
      <c r="DS219" s="336"/>
      <c r="DT219" s="336"/>
      <c r="DU219" s="336"/>
      <c r="DV219" s="336"/>
      <c r="DW219" s="336"/>
      <c r="DX219" s="336"/>
      <c r="DY219" s="336"/>
      <c r="DZ219" s="336"/>
      <c r="EA219" s="336"/>
      <c r="EB219" s="336"/>
      <c r="EC219" s="336"/>
      <c r="ED219" s="336"/>
      <c r="EE219" s="336"/>
      <c r="EF219" s="336"/>
      <c r="EG219" s="336"/>
      <c r="EH219" s="336"/>
      <c r="EI219" s="336"/>
      <c r="EJ219" s="336"/>
      <c r="EK219" s="336"/>
      <c r="EL219" s="336"/>
      <c r="EM219" s="336"/>
      <c r="EN219" s="336"/>
      <c r="EO219" s="336"/>
      <c r="EP219" s="336"/>
      <c r="EQ219" s="336"/>
      <c r="ER219" s="336"/>
      <c r="ES219" s="336"/>
      <c r="ET219" s="336"/>
      <c r="EU219" s="336"/>
      <c r="EV219" s="336"/>
      <c r="EW219" s="336"/>
      <c r="EX219" s="336"/>
      <c r="EY219" s="336"/>
      <c r="EZ219" s="336"/>
      <c r="FA219" s="336"/>
      <c r="FB219" s="336"/>
      <c r="FC219" s="336"/>
      <c r="FD219" s="336"/>
      <c r="FE219" s="336"/>
      <c r="FF219" s="336"/>
      <c r="FG219" s="336"/>
      <c r="FH219" s="336"/>
      <c r="FI219" s="336"/>
      <c r="FJ219" s="336"/>
      <c r="FK219" s="336"/>
      <c r="FL219" s="336"/>
      <c r="FM219" s="336"/>
      <c r="FN219" s="336"/>
      <c r="FO219" s="336"/>
      <c r="FP219" s="336"/>
      <c r="FQ219" s="336"/>
      <c r="FR219" s="336"/>
      <c r="FS219" s="336"/>
      <c r="FT219" s="336"/>
      <c r="FU219" s="336"/>
      <c r="FV219" s="336"/>
      <c r="FW219" s="336"/>
      <c r="FX219" s="336"/>
      <c r="FY219" s="336"/>
      <c r="FZ219" s="336"/>
      <c r="GA219" s="336"/>
      <c r="GB219" s="336"/>
      <c r="GC219" s="336"/>
      <c r="GD219" s="336"/>
      <c r="GE219" s="336"/>
      <c r="GF219" s="336"/>
      <c r="GG219" s="336"/>
      <c r="GH219" s="336"/>
      <c r="GI219" s="336"/>
      <c r="GJ219" s="336"/>
      <c r="GK219" s="336"/>
      <c r="GL219" s="336"/>
      <c r="GM219" s="336"/>
      <c r="GN219" s="336"/>
      <c r="GO219" s="336"/>
      <c r="GP219" s="336"/>
      <c r="GQ219" s="336"/>
      <c r="GR219" s="336"/>
      <c r="GS219" s="336"/>
      <c r="GT219" s="336"/>
      <c r="GU219" s="336"/>
      <c r="GV219" s="336"/>
      <c r="GW219" s="336"/>
      <c r="GX219" s="336"/>
      <c r="GY219" s="336"/>
      <c r="GZ219" s="336"/>
      <c r="HA219" s="336"/>
      <c r="HB219" s="336"/>
      <c r="HC219" s="336"/>
      <c r="HD219" s="336"/>
      <c r="HE219" s="336"/>
      <c r="HF219" s="336"/>
      <c r="HG219" s="336"/>
      <c r="HH219" s="336"/>
      <c r="HI219" s="336"/>
      <c r="HJ219" s="336"/>
      <c r="HK219" s="336"/>
      <c r="HL219" s="336"/>
      <c r="HM219" s="336"/>
      <c r="HN219" s="336"/>
      <c r="HO219" s="336"/>
      <c r="HP219" s="336"/>
      <c r="HQ219" s="336"/>
      <c r="HR219" s="336"/>
      <c r="HS219" s="336"/>
      <c r="HT219" s="336"/>
      <c r="HU219" s="336"/>
      <c r="HV219" s="336"/>
      <c r="HW219" s="336"/>
      <c r="HX219" s="336"/>
      <c r="HY219" s="336"/>
      <c r="HZ219" s="336"/>
      <c r="IA219" s="336"/>
      <c r="IB219" s="336"/>
      <c r="IC219" s="336"/>
      <c r="ID219" s="336"/>
      <c r="IE219" s="336"/>
      <c r="IF219" s="336"/>
      <c r="IG219" s="336"/>
      <c r="IH219" s="336"/>
      <c r="II219" s="336"/>
      <c r="IJ219" s="336"/>
      <c r="IK219" s="336"/>
      <c r="IL219" s="336"/>
      <c r="IM219" s="336"/>
      <c r="IN219" s="336"/>
      <c r="IO219" s="336"/>
      <c r="IP219" s="336"/>
      <c r="IQ219" s="336"/>
      <c r="IR219" s="336"/>
      <c r="IS219" s="336"/>
      <c r="IT219" s="336"/>
      <c r="IU219" s="336"/>
    </row>
    <row r="220" spans="1:255" s="80" customFormat="1" ht="15.75" customHeight="1" x14ac:dyDescent="0.25">
      <c r="A220" s="1049"/>
      <c r="B220" s="20" t="s">
        <v>36</v>
      </c>
      <c r="C220" s="19" t="s">
        <v>37</v>
      </c>
      <c r="D220" s="19">
        <v>2.72</v>
      </c>
      <c r="E220" s="18">
        <f>E219*D220</f>
        <v>0.65280000000000005</v>
      </c>
      <c r="F220" s="1166"/>
      <c r="G220" s="18">
        <f>E220*F220</f>
        <v>0</v>
      </c>
      <c r="H220" s="18"/>
      <c r="I220" s="18"/>
      <c r="J220" s="18"/>
      <c r="K220" s="18"/>
      <c r="L220" s="619">
        <f>G220+I220+K220</f>
        <v>0</v>
      </c>
      <c r="M220" s="991"/>
      <c r="N220" s="407"/>
      <c r="O220" s="407"/>
      <c r="P220" s="407"/>
      <c r="Q220" s="407"/>
      <c r="R220" s="407"/>
      <c r="S220" s="407"/>
      <c r="T220" s="407"/>
      <c r="U220" s="407"/>
      <c r="V220" s="407"/>
      <c r="W220" s="407"/>
      <c r="X220" s="407"/>
      <c r="Y220" s="407"/>
      <c r="Z220" s="407"/>
      <c r="AA220" s="407"/>
      <c r="AB220" s="407"/>
      <c r="AC220" s="407"/>
      <c r="AD220" s="407"/>
      <c r="AE220" s="407"/>
      <c r="AF220" s="407"/>
      <c r="AG220" s="407"/>
      <c r="AH220" s="407"/>
      <c r="AI220" s="407"/>
      <c r="AJ220" s="407"/>
      <c r="AK220" s="407"/>
      <c r="AL220" s="407"/>
      <c r="AM220" s="407"/>
      <c r="AN220" s="407"/>
      <c r="AO220" s="407"/>
      <c r="AP220" s="407"/>
      <c r="AQ220" s="407"/>
      <c r="AR220" s="407"/>
      <c r="AS220" s="407"/>
      <c r="AT220" s="407"/>
      <c r="AU220" s="407"/>
      <c r="AV220" s="407"/>
      <c r="AW220" s="407"/>
      <c r="AX220" s="407"/>
      <c r="AY220" s="407"/>
      <c r="AZ220" s="407"/>
      <c r="BA220" s="407"/>
      <c r="BB220" s="407"/>
      <c r="BC220" s="407"/>
      <c r="BD220" s="407"/>
      <c r="BE220" s="407"/>
      <c r="BF220" s="407"/>
      <c r="BG220" s="407"/>
      <c r="BH220" s="407"/>
      <c r="BI220" s="407"/>
      <c r="BJ220" s="408"/>
      <c r="BK220" s="408"/>
      <c r="BL220" s="408"/>
      <c r="BM220" s="408"/>
      <c r="BN220" s="408"/>
      <c r="BO220" s="408"/>
      <c r="BP220" s="408"/>
      <c r="BQ220" s="408"/>
      <c r="BR220" s="408"/>
      <c r="BS220" s="408"/>
      <c r="BT220" s="408"/>
      <c r="BU220" s="408"/>
      <c r="BV220" s="408"/>
      <c r="BW220" s="408"/>
      <c r="BX220" s="408"/>
      <c r="BY220" s="408"/>
      <c r="BZ220" s="408"/>
      <c r="CA220" s="408"/>
      <c r="CB220" s="408"/>
      <c r="CC220" s="408"/>
      <c r="CD220" s="408"/>
      <c r="CE220" s="408"/>
      <c r="CF220" s="408"/>
      <c r="CG220" s="408"/>
      <c r="CH220" s="408"/>
      <c r="CI220" s="408"/>
      <c r="CJ220" s="408"/>
      <c r="CK220" s="408"/>
      <c r="CL220" s="408"/>
      <c r="CM220" s="408"/>
      <c r="CN220" s="408"/>
      <c r="CO220" s="408"/>
      <c r="CP220" s="408"/>
      <c r="CQ220" s="408"/>
      <c r="CR220" s="408"/>
      <c r="CS220" s="408"/>
      <c r="CT220" s="408"/>
      <c r="CU220" s="408"/>
      <c r="CV220" s="408"/>
      <c r="CW220" s="408"/>
      <c r="CX220" s="408"/>
      <c r="CY220" s="408"/>
      <c r="CZ220" s="408"/>
      <c r="DA220" s="408"/>
      <c r="DB220" s="408"/>
      <c r="DC220" s="408"/>
      <c r="DD220" s="408"/>
      <c r="DE220" s="408"/>
      <c r="DF220" s="408"/>
      <c r="DG220" s="408"/>
      <c r="DH220" s="408"/>
      <c r="DI220" s="408"/>
      <c r="DJ220" s="408"/>
      <c r="DK220" s="408"/>
      <c r="DL220" s="408"/>
      <c r="DM220" s="408"/>
      <c r="DN220" s="408"/>
      <c r="DO220" s="408"/>
      <c r="DP220" s="408"/>
      <c r="DQ220" s="408"/>
      <c r="DR220" s="408"/>
      <c r="DS220" s="408"/>
      <c r="DT220" s="408"/>
      <c r="DU220" s="408"/>
      <c r="DV220" s="408"/>
      <c r="DW220" s="408"/>
      <c r="DX220" s="408"/>
      <c r="DY220" s="408"/>
      <c r="DZ220" s="408"/>
      <c r="EA220" s="408"/>
      <c r="EB220" s="408"/>
      <c r="EC220" s="408"/>
      <c r="ED220" s="408"/>
      <c r="EE220" s="408"/>
      <c r="EF220" s="408"/>
      <c r="EG220" s="408"/>
      <c r="EH220" s="408"/>
      <c r="EI220" s="408"/>
      <c r="EJ220" s="408"/>
      <c r="EK220" s="408"/>
      <c r="EL220" s="408"/>
      <c r="EM220" s="408"/>
      <c r="EN220" s="408"/>
      <c r="EO220" s="408"/>
      <c r="EP220" s="408"/>
      <c r="EQ220" s="408"/>
      <c r="ER220" s="408"/>
      <c r="ES220" s="408"/>
      <c r="ET220" s="408"/>
      <c r="EU220" s="408"/>
      <c r="EV220" s="408"/>
      <c r="EW220" s="408"/>
      <c r="EX220" s="408"/>
      <c r="EY220" s="408"/>
      <c r="EZ220" s="408"/>
      <c r="FA220" s="408"/>
      <c r="FB220" s="408"/>
      <c r="FC220" s="408"/>
      <c r="FD220" s="408"/>
      <c r="FE220" s="408"/>
      <c r="FF220" s="408"/>
      <c r="FG220" s="408"/>
      <c r="FH220" s="408"/>
      <c r="FI220" s="408"/>
      <c r="FJ220" s="408"/>
      <c r="FK220" s="408"/>
      <c r="FL220" s="408"/>
      <c r="FM220" s="408"/>
      <c r="FN220" s="408"/>
      <c r="FO220" s="408"/>
      <c r="FP220" s="408"/>
      <c r="FQ220" s="408"/>
      <c r="FR220" s="408"/>
      <c r="FS220" s="408"/>
      <c r="FT220" s="408"/>
      <c r="FU220" s="408"/>
      <c r="FV220" s="408"/>
      <c r="FW220" s="408"/>
      <c r="FX220" s="408"/>
      <c r="FY220" s="408"/>
      <c r="FZ220" s="408"/>
      <c r="GA220" s="408"/>
      <c r="GB220" s="408"/>
      <c r="GC220" s="408"/>
      <c r="GD220" s="408"/>
      <c r="GE220" s="408"/>
      <c r="GF220" s="408"/>
      <c r="GG220" s="408"/>
      <c r="GH220" s="408"/>
      <c r="GI220" s="408"/>
      <c r="GJ220" s="408"/>
      <c r="GK220" s="408"/>
      <c r="GL220" s="408"/>
      <c r="GM220" s="408"/>
      <c r="GN220" s="408"/>
      <c r="GO220" s="408"/>
      <c r="GP220" s="408"/>
      <c r="GQ220" s="408"/>
      <c r="GR220" s="408"/>
      <c r="GS220" s="408"/>
      <c r="GT220" s="408"/>
      <c r="GU220" s="408"/>
      <c r="GV220" s="408"/>
      <c r="GW220" s="408"/>
      <c r="GX220" s="408"/>
      <c r="GY220" s="408"/>
      <c r="GZ220" s="408"/>
      <c r="HA220" s="408"/>
      <c r="HB220" s="408"/>
      <c r="HC220" s="408"/>
      <c r="HD220" s="408"/>
      <c r="HE220" s="408"/>
      <c r="HF220" s="408"/>
      <c r="HG220" s="408"/>
      <c r="HH220" s="408"/>
      <c r="HI220" s="408"/>
      <c r="HJ220" s="408"/>
      <c r="HK220" s="408"/>
      <c r="HL220" s="408"/>
      <c r="HM220" s="408"/>
      <c r="HN220" s="408"/>
      <c r="HO220" s="408"/>
      <c r="HP220" s="408"/>
      <c r="HQ220" s="408"/>
      <c r="HR220" s="408"/>
      <c r="HS220" s="408"/>
      <c r="HT220" s="408"/>
      <c r="HU220" s="408"/>
      <c r="HV220" s="408"/>
      <c r="HW220" s="408"/>
      <c r="HX220" s="408"/>
      <c r="HY220" s="408"/>
      <c r="HZ220" s="408"/>
      <c r="IA220" s="408"/>
      <c r="IB220" s="408"/>
      <c r="IC220" s="408"/>
      <c r="ID220" s="408"/>
      <c r="IE220" s="408"/>
      <c r="IF220" s="408"/>
      <c r="IG220" s="408"/>
      <c r="IH220" s="408"/>
      <c r="II220" s="408"/>
      <c r="IJ220" s="408"/>
      <c r="IK220" s="408"/>
      <c r="IL220" s="408"/>
      <c r="IM220" s="408"/>
      <c r="IN220" s="408"/>
      <c r="IO220" s="408"/>
      <c r="IP220" s="408"/>
      <c r="IQ220" s="408"/>
      <c r="IR220" s="408"/>
      <c r="IS220" s="408"/>
      <c r="IT220" s="408"/>
      <c r="IU220" s="408"/>
    </row>
    <row r="221" spans="1:255" s="80" customFormat="1" ht="27" x14ac:dyDescent="0.25">
      <c r="A221" s="1044"/>
      <c r="B221" s="22" t="s">
        <v>364</v>
      </c>
      <c r="C221" s="34" t="s">
        <v>17</v>
      </c>
      <c r="D221" s="34"/>
      <c r="E221" s="25">
        <f>E219</f>
        <v>0.24</v>
      </c>
      <c r="F221" s="23"/>
      <c r="G221" s="23"/>
      <c r="H221" s="1128"/>
      <c r="I221" s="23">
        <f>H221*E221</f>
        <v>0</v>
      </c>
      <c r="J221" s="25"/>
      <c r="K221" s="25"/>
      <c r="L221" s="617">
        <f>G221+I221+K221</f>
        <v>0</v>
      </c>
      <c r="M221" s="976"/>
      <c r="N221" s="598"/>
      <c r="O221" s="598"/>
      <c r="P221" s="598"/>
      <c r="Q221" s="598"/>
      <c r="R221" s="598"/>
      <c r="S221" s="598"/>
      <c r="T221" s="598"/>
      <c r="U221" s="598"/>
      <c r="V221" s="598"/>
      <c r="W221" s="598"/>
      <c r="X221" s="598"/>
      <c r="Y221" s="598"/>
      <c r="Z221" s="598"/>
      <c r="AA221" s="598"/>
      <c r="AB221" s="598"/>
      <c r="AC221" s="598"/>
      <c r="AD221" s="598"/>
      <c r="AE221" s="598"/>
      <c r="AF221" s="598"/>
      <c r="AG221" s="598"/>
      <c r="AH221" s="598"/>
      <c r="AI221" s="598"/>
      <c r="AJ221" s="598"/>
      <c r="AK221" s="598"/>
      <c r="AL221" s="598"/>
      <c r="AM221" s="598"/>
      <c r="AN221" s="598"/>
      <c r="AO221" s="598"/>
      <c r="AP221" s="598"/>
      <c r="AQ221" s="598"/>
      <c r="AR221" s="598"/>
      <c r="AS221" s="598"/>
      <c r="AT221" s="598"/>
      <c r="AU221" s="598"/>
      <c r="AV221" s="598"/>
      <c r="AW221" s="598"/>
      <c r="AX221" s="598"/>
      <c r="AY221" s="598"/>
      <c r="AZ221" s="598"/>
      <c r="BA221" s="598"/>
      <c r="BB221" s="598"/>
      <c r="BC221" s="598"/>
      <c r="BD221" s="598"/>
      <c r="BE221" s="598"/>
      <c r="BF221" s="598"/>
      <c r="BG221" s="598"/>
      <c r="BH221" s="598"/>
      <c r="BI221" s="598"/>
      <c r="BJ221" s="171"/>
      <c r="BK221" s="171"/>
      <c r="BL221" s="171"/>
      <c r="BM221" s="171"/>
      <c r="BN221" s="171"/>
      <c r="BO221" s="171"/>
      <c r="BP221" s="171"/>
      <c r="BQ221" s="171"/>
      <c r="BR221" s="171"/>
      <c r="BS221" s="171"/>
      <c r="BT221" s="171"/>
      <c r="BU221" s="171"/>
      <c r="BV221" s="171"/>
      <c r="BW221" s="171"/>
      <c r="BX221" s="171"/>
      <c r="BY221" s="171"/>
      <c r="BZ221" s="171"/>
      <c r="CA221" s="171"/>
      <c r="CB221" s="171"/>
      <c r="CC221" s="171"/>
      <c r="CD221" s="171"/>
      <c r="CE221" s="171"/>
      <c r="CF221" s="171"/>
      <c r="CG221" s="171"/>
      <c r="CH221" s="171"/>
      <c r="CI221" s="171"/>
      <c r="CJ221" s="171"/>
      <c r="CK221" s="171"/>
      <c r="CL221" s="171"/>
      <c r="CM221" s="171"/>
      <c r="CN221" s="171"/>
      <c r="CO221" s="171"/>
      <c r="CP221" s="171"/>
      <c r="CQ221" s="171"/>
      <c r="CR221" s="171"/>
      <c r="CS221" s="171"/>
      <c r="CT221" s="171"/>
      <c r="CU221" s="171"/>
      <c r="CV221" s="171"/>
      <c r="CW221" s="171"/>
      <c r="CX221" s="171"/>
      <c r="CY221" s="171"/>
      <c r="CZ221" s="171"/>
      <c r="DA221" s="171"/>
      <c r="DB221" s="171"/>
      <c r="DC221" s="171"/>
      <c r="DD221" s="171"/>
      <c r="DE221" s="171"/>
      <c r="DF221" s="171"/>
      <c r="DG221" s="171"/>
      <c r="DH221" s="171"/>
      <c r="DI221" s="171"/>
      <c r="DJ221" s="171"/>
      <c r="DK221" s="171"/>
      <c r="DL221" s="171"/>
      <c r="DM221" s="171"/>
      <c r="DN221" s="171"/>
      <c r="DO221" s="171"/>
      <c r="DP221" s="171"/>
      <c r="DQ221" s="171"/>
      <c r="DR221" s="171"/>
      <c r="DS221" s="171"/>
      <c r="DT221" s="171"/>
      <c r="DU221" s="171"/>
      <c r="DV221" s="171"/>
      <c r="DW221" s="171"/>
      <c r="DX221" s="171"/>
      <c r="DY221" s="171"/>
      <c r="DZ221" s="171"/>
      <c r="EA221" s="171"/>
      <c r="EB221" s="171"/>
      <c r="EC221" s="171"/>
      <c r="ED221" s="171"/>
      <c r="EE221" s="171"/>
      <c r="EF221" s="171"/>
      <c r="EG221" s="171"/>
      <c r="EH221" s="171"/>
      <c r="EI221" s="171"/>
      <c r="EJ221" s="171"/>
      <c r="EK221" s="171"/>
      <c r="EL221" s="171"/>
      <c r="EM221" s="171"/>
      <c r="EN221" s="171"/>
      <c r="EO221" s="171"/>
      <c r="EP221" s="171"/>
      <c r="EQ221" s="171"/>
      <c r="ER221" s="171"/>
      <c r="ES221" s="171"/>
      <c r="ET221" s="171"/>
      <c r="EU221" s="171"/>
      <c r="EV221" s="171"/>
      <c r="EW221" s="171"/>
      <c r="EX221" s="171"/>
      <c r="EY221" s="171"/>
      <c r="EZ221" s="171"/>
      <c r="FA221" s="171"/>
      <c r="FB221" s="171"/>
      <c r="FC221" s="171"/>
      <c r="FD221" s="171"/>
      <c r="FE221" s="171"/>
      <c r="FF221" s="171"/>
      <c r="FG221" s="171"/>
      <c r="FH221" s="171"/>
      <c r="FI221" s="171"/>
      <c r="FJ221" s="171"/>
      <c r="FK221" s="171"/>
      <c r="FL221" s="171"/>
      <c r="FM221" s="171"/>
      <c r="FN221" s="171"/>
      <c r="FO221" s="171"/>
      <c r="FP221" s="171"/>
      <c r="FQ221" s="171"/>
      <c r="FR221" s="171"/>
      <c r="FS221" s="171"/>
      <c r="FT221" s="171"/>
      <c r="FU221" s="171"/>
      <c r="FV221" s="171"/>
      <c r="FW221" s="171"/>
      <c r="FX221" s="171"/>
      <c r="FY221" s="171"/>
      <c r="FZ221" s="171"/>
      <c r="GA221" s="171"/>
      <c r="GB221" s="171"/>
      <c r="GC221" s="171"/>
      <c r="GD221" s="171"/>
      <c r="GE221" s="171"/>
      <c r="GF221" s="171"/>
      <c r="GG221" s="171"/>
      <c r="GH221" s="171"/>
      <c r="GI221" s="171"/>
      <c r="GJ221" s="171"/>
      <c r="GK221" s="171"/>
      <c r="GL221" s="171"/>
      <c r="GM221" s="171"/>
      <c r="GN221" s="171"/>
      <c r="GO221" s="171"/>
      <c r="GP221" s="171"/>
      <c r="GQ221" s="171"/>
      <c r="GR221" s="171"/>
      <c r="GS221" s="171"/>
      <c r="GT221" s="171"/>
      <c r="GU221" s="171"/>
      <c r="GV221" s="171"/>
      <c r="GW221" s="171"/>
      <c r="GX221" s="171"/>
      <c r="GY221" s="171"/>
      <c r="GZ221" s="171"/>
      <c r="HA221" s="171"/>
      <c r="HB221" s="171"/>
      <c r="HC221" s="171"/>
      <c r="HD221" s="171"/>
      <c r="HE221" s="171"/>
      <c r="HF221" s="171"/>
      <c r="HG221" s="171"/>
      <c r="HH221" s="171"/>
      <c r="HI221" s="171"/>
      <c r="HJ221" s="171"/>
      <c r="HK221" s="171"/>
      <c r="HL221" s="171"/>
      <c r="HM221" s="171"/>
      <c r="HN221" s="171"/>
      <c r="HO221" s="171"/>
      <c r="HP221" s="171"/>
      <c r="HQ221" s="171"/>
      <c r="HR221" s="171"/>
      <c r="HS221" s="171"/>
      <c r="HT221" s="171"/>
      <c r="HU221" s="171"/>
      <c r="HV221" s="171"/>
      <c r="HW221" s="171"/>
      <c r="HX221" s="171"/>
      <c r="HY221" s="171"/>
      <c r="HZ221" s="171"/>
      <c r="IA221" s="171"/>
      <c r="IB221" s="171"/>
      <c r="IC221" s="171"/>
      <c r="ID221" s="171"/>
      <c r="IE221" s="171"/>
      <c r="IF221" s="171"/>
      <c r="IG221" s="171"/>
      <c r="IH221" s="171"/>
      <c r="II221" s="171"/>
      <c r="IJ221" s="171"/>
      <c r="IK221" s="171"/>
      <c r="IL221" s="171"/>
      <c r="IM221" s="171"/>
      <c r="IN221" s="171"/>
      <c r="IO221" s="171"/>
      <c r="IP221" s="171"/>
      <c r="IQ221" s="171"/>
      <c r="IR221" s="171"/>
      <c r="IS221" s="171"/>
      <c r="IT221" s="171"/>
      <c r="IU221" s="171"/>
    </row>
    <row r="222" spans="1:255" s="234" customFormat="1" ht="17.25" customHeight="1" x14ac:dyDescent="0.25">
      <c r="A222" s="1041"/>
      <c r="B222" s="409" t="s">
        <v>365</v>
      </c>
      <c r="C222" s="243"/>
      <c r="D222" s="257"/>
      <c r="E222" s="199"/>
      <c r="F222" s="199"/>
      <c r="G222" s="229"/>
      <c r="H222" s="233"/>
      <c r="I222" s="229"/>
      <c r="J222" s="229"/>
      <c r="K222" s="229"/>
      <c r="L222" s="1042"/>
      <c r="M222" s="258"/>
      <c r="N222" s="258"/>
      <c r="O222" s="258"/>
      <c r="P222" s="258"/>
      <c r="Q222" s="258"/>
      <c r="R222" s="258"/>
      <c r="S222" s="258"/>
      <c r="T222" s="258"/>
      <c r="U222" s="258"/>
      <c r="V222" s="258"/>
      <c r="W222" s="258"/>
      <c r="X222" s="258"/>
      <c r="Y222" s="258"/>
      <c r="Z222" s="258"/>
      <c r="AA222" s="258"/>
      <c r="AB222" s="258"/>
      <c r="AC222" s="258"/>
      <c r="AD222" s="258"/>
      <c r="AE222" s="258"/>
      <c r="AF222" s="258"/>
      <c r="AG222" s="258"/>
      <c r="AH222" s="258"/>
      <c r="AI222" s="258"/>
      <c r="AJ222" s="258"/>
      <c r="AK222" s="258"/>
      <c r="AL222" s="258"/>
      <c r="AM222" s="258"/>
      <c r="AN222" s="258"/>
      <c r="AO222" s="258"/>
      <c r="AP222" s="258"/>
      <c r="AQ222" s="258"/>
      <c r="AR222" s="258"/>
      <c r="AS222" s="258"/>
      <c r="AT222" s="258"/>
      <c r="AU222" s="258"/>
      <c r="AV222" s="258"/>
      <c r="AW222" s="258"/>
      <c r="AX222" s="258"/>
      <c r="AY222" s="258"/>
      <c r="AZ222" s="258"/>
      <c r="BA222" s="258"/>
      <c r="BB222" s="258"/>
      <c r="BC222" s="258"/>
      <c r="BD222" s="258"/>
      <c r="BE222" s="258"/>
      <c r="BF222" s="258"/>
      <c r="BG222" s="258"/>
      <c r="BH222" s="258"/>
      <c r="BI222" s="258"/>
    </row>
    <row r="223" spans="1:255" s="336" customFormat="1" ht="33" customHeight="1" x14ac:dyDescent="0.25">
      <c r="A223" s="595">
        <v>1</v>
      </c>
      <c r="B223" s="546" t="s">
        <v>355</v>
      </c>
      <c r="C223" s="545" t="s">
        <v>10</v>
      </c>
      <c r="D223" s="547" t="s">
        <v>111</v>
      </c>
      <c r="E223" s="722">
        <f>0.6*0.8*0.6*4</f>
        <v>1.1519999999999999</v>
      </c>
      <c r="F223" s="548"/>
      <c r="G223" s="548"/>
      <c r="H223" s="549"/>
      <c r="I223" s="549"/>
      <c r="J223" s="548"/>
      <c r="K223" s="548"/>
      <c r="L223" s="610"/>
      <c r="M223" s="596"/>
      <c r="N223" s="596"/>
      <c r="O223" s="596"/>
      <c r="P223" s="596"/>
      <c r="Q223" s="596"/>
      <c r="R223" s="596"/>
      <c r="S223" s="596"/>
      <c r="T223" s="596"/>
      <c r="U223" s="596"/>
      <c r="V223" s="596"/>
      <c r="W223" s="596"/>
      <c r="X223" s="596"/>
      <c r="Y223" s="596"/>
      <c r="Z223" s="596"/>
      <c r="AA223" s="596"/>
      <c r="AB223" s="596"/>
      <c r="AC223" s="596"/>
      <c r="AD223" s="596"/>
      <c r="AE223" s="596"/>
      <c r="AF223" s="596"/>
      <c r="AG223" s="596"/>
      <c r="AH223" s="596"/>
      <c r="AI223" s="596"/>
      <c r="AJ223" s="596"/>
      <c r="AK223" s="596"/>
      <c r="AL223" s="596"/>
      <c r="AM223" s="596"/>
      <c r="AN223" s="596"/>
      <c r="AO223" s="596"/>
      <c r="AP223" s="596"/>
      <c r="AQ223" s="596"/>
      <c r="AR223" s="596"/>
      <c r="AS223" s="596"/>
      <c r="AT223" s="596"/>
      <c r="AU223" s="596"/>
      <c r="AV223" s="596"/>
      <c r="AW223" s="596"/>
      <c r="AX223" s="596"/>
      <c r="AY223" s="596"/>
      <c r="AZ223" s="596"/>
      <c r="BA223" s="596"/>
      <c r="BB223" s="596"/>
      <c r="BC223" s="596"/>
      <c r="BD223" s="596"/>
      <c r="BE223" s="596"/>
      <c r="BF223" s="596"/>
      <c r="BG223" s="596"/>
      <c r="BH223" s="596"/>
      <c r="BI223" s="596"/>
    </row>
    <row r="224" spans="1:255" s="171" customFormat="1" ht="12.75" x14ac:dyDescent="0.25">
      <c r="A224" s="597"/>
      <c r="B224" s="551" t="s">
        <v>112</v>
      </c>
      <c r="C224" s="550" t="s">
        <v>29</v>
      </c>
      <c r="D224" s="552">
        <v>2.06</v>
      </c>
      <c r="E224" s="553">
        <f>E223*D224</f>
        <v>2.3731199999999997</v>
      </c>
      <c r="F224" s="1177"/>
      <c r="G224" s="548">
        <f>E224*F224</f>
        <v>0</v>
      </c>
      <c r="H224" s="548"/>
      <c r="I224" s="549"/>
      <c r="J224" s="549"/>
      <c r="K224" s="548"/>
      <c r="L224" s="610">
        <f>K224+I224+G224</f>
        <v>0</v>
      </c>
      <c r="M224" s="598"/>
      <c r="N224" s="598"/>
      <c r="O224" s="598"/>
      <c r="P224" s="598"/>
      <c r="Q224" s="598"/>
      <c r="R224" s="598"/>
      <c r="S224" s="598"/>
      <c r="T224" s="598"/>
      <c r="U224" s="598"/>
      <c r="V224" s="598"/>
      <c r="W224" s="598"/>
      <c r="X224" s="598"/>
      <c r="Y224" s="598"/>
      <c r="Z224" s="598"/>
      <c r="AA224" s="598"/>
      <c r="AB224" s="598"/>
      <c r="AC224" s="598"/>
      <c r="AD224" s="598"/>
      <c r="AE224" s="598"/>
      <c r="AF224" s="598"/>
      <c r="AG224" s="598"/>
      <c r="AH224" s="598"/>
      <c r="AI224" s="598"/>
      <c r="AJ224" s="598"/>
      <c r="AK224" s="598"/>
      <c r="AL224" s="598"/>
      <c r="AM224" s="598"/>
      <c r="AN224" s="598"/>
      <c r="AO224" s="598"/>
      <c r="AP224" s="598"/>
      <c r="AQ224" s="598"/>
      <c r="AR224" s="598"/>
      <c r="AS224" s="598"/>
      <c r="AT224" s="598"/>
      <c r="AU224" s="598"/>
      <c r="AV224" s="598"/>
      <c r="AW224" s="598"/>
      <c r="AX224" s="598"/>
      <c r="AY224" s="598"/>
      <c r="AZ224" s="598"/>
      <c r="BA224" s="598"/>
      <c r="BB224" s="598"/>
      <c r="BC224" s="598"/>
      <c r="BD224" s="598"/>
      <c r="BE224" s="598"/>
      <c r="BF224" s="598"/>
      <c r="BG224" s="598"/>
      <c r="BH224" s="598"/>
      <c r="BI224" s="598"/>
    </row>
    <row r="225" spans="1:61" s="336" customFormat="1" ht="12.75" x14ac:dyDescent="0.25">
      <c r="A225" s="595">
        <v>2</v>
      </c>
      <c r="B225" s="546" t="s">
        <v>366</v>
      </c>
      <c r="C225" s="545" t="s">
        <v>26</v>
      </c>
      <c r="D225" s="547" t="s">
        <v>111</v>
      </c>
      <c r="E225" s="733">
        <f>E223/100</f>
        <v>1.1519999999999999E-2</v>
      </c>
      <c r="F225" s="548"/>
      <c r="G225" s="548"/>
      <c r="H225" s="548"/>
      <c r="I225" s="549"/>
      <c r="J225" s="549"/>
      <c r="K225" s="548"/>
      <c r="L225" s="610"/>
      <c r="M225" s="596"/>
      <c r="N225" s="596"/>
      <c r="O225" s="596"/>
      <c r="P225" s="596"/>
      <c r="Q225" s="596"/>
      <c r="R225" s="596"/>
      <c r="S225" s="596"/>
      <c r="T225" s="596"/>
      <c r="U225" s="596"/>
      <c r="V225" s="596"/>
      <c r="W225" s="596"/>
      <c r="X225" s="596"/>
      <c r="Y225" s="596"/>
      <c r="Z225" s="596"/>
      <c r="AA225" s="596"/>
      <c r="AB225" s="596"/>
      <c r="AC225" s="596"/>
      <c r="AD225" s="596"/>
      <c r="AE225" s="596"/>
      <c r="AF225" s="596"/>
      <c r="AG225" s="596"/>
      <c r="AH225" s="596"/>
      <c r="AI225" s="596"/>
      <c r="AJ225" s="596"/>
      <c r="AK225" s="596"/>
      <c r="AL225" s="596"/>
      <c r="AM225" s="596"/>
      <c r="AN225" s="596"/>
      <c r="AO225" s="596"/>
      <c r="AP225" s="596"/>
      <c r="AQ225" s="596"/>
      <c r="AR225" s="596"/>
      <c r="AS225" s="596"/>
      <c r="AT225" s="596"/>
      <c r="AU225" s="596"/>
      <c r="AV225" s="596"/>
      <c r="AW225" s="596"/>
      <c r="AX225" s="596"/>
      <c r="AY225" s="596"/>
      <c r="AZ225" s="596"/>
      <c r="BA225" s="596"/>
      <c r="BB225" s="596"/>
      <c r="BC225" s="596"/>
      <c r="BD225" s="596"/>
      <c r="BE225" s="596"/>
      <c r="BF225" s="596"/>
      <c r="BG225" s="596"/>
      <c r="BH225" s="596"/>
      <c r="BI225" s="596"/>
    </row>
    <row r="226" spans="1:61" s="171" customFormat="1" ht="12.75" x14ac:dyDescent="0.25">
      <c r="A226" s="597"/>
      <c r="B226" s="551" t="s">
        <v>112</v>
      </c>
      <c r="C226" s="550" t="s">
        <v>28</v>
      </c>
      <c r="D226" s="552">
        <v>450</v>
      </c>
      <c r="E226" s="553">
        <f>E225*D226</f>
        <v>5.1839999999999993</v>
      </c>
      <c r="F226" s="1177"/>
      <c r="G226" s="548">
        <f>E226*F226</f>
        <v>0</v>
      </c>
      <c r="H226" s="549"/>
      <c r="I226" s="549"/>
      <c r="J226" s="548"/>
      <c r="K226" s="548"/>
      <c r="L226" s="610">
        <f t="shared" ref="L226:L231" si="14">K226+I226+G226</f>
        <v>0</v>
      </c>
      <c r="M226" s="598"/>
      <c r="N226" s="598"/>
      <c r="O226" s="598"/>
      <c r="P226" s="598"/>
      <c r="Q226" s="598"/>
      <c r="R226" s="598"/>
      <c r="S226" s="598"/>
      <c r="T226" s="598"/>
      <c r="U226" s="598"/>
      <c r="V226" s="598"/>
      <c r="W226" s="598"/>
      <c r="X226" s="598"/>
      <c r="Y226" s="598"/>
      <c r="Z226" s="598"/>
      <c r="AA226" s="598"/>
      <c r="AB226" s="598"/>
      <c r="AC226" s="598"/>
      <c r="AD226" s="598"/>
      <c r="AE226" s="598"/>
      <c r="AF226" s="598"/>
      <c r="AG226" s="598"/>
      <c r="AH226" s="598"/>
      <c r="AI226" s="598"/>
      <c r="AJ226" s="598"/>
      <c r="AK226" s="598"/>
      <c r="AL226" s="598"/>
      <c r="AM226" s="598"/>
      <c r="AN226" s="598"/>
      <c r="AO226" s="598"/>
      <c r="AP226" s="598"/>
      <c r="AQ226" s="598"/>
      <c r="AR226" s="598"/>
      <c r="AS226" s="598"/>
      <c r="AT226" s="598"/>
      <c r="AU226" s="598"/>
      <c r="AV226" s="598"/>
      <c r="AW226" s="598"/>
      <c r="AX226" s="598"/>
      <c r="AY226" s="598"/>
      <c r="AZ226" s="598"/>
      <c r="BA226" s="598"/>
      <c r="BB226" s="598"/>
      <c r="BC226" s="598"/>
      <c r="BD226" s="598"/>
      <c r="BE226" s="598"/>
      <c r="BF226" s="598"/>
      <c r="BG226" s="598"/>
      <c r="BH226" s="598"/>
      <c r="BI226" s="598"/>
    </row>
    <row r="227" spans="1:61" s="171" customFormat="1" ht="12.75" x14ac:dyDescent="0.25">
      <c r="A227" s="597"/>
      <c r="B227" s="551" t="s">
        <v>24</v>
      </c>
      <c r="C227" s="550" t="s">
        <v>33</v>
      </c>
      <c r="D227" s="552">
        <v>37</v>
      </c>
      <c r="E227" s="553">
        <f>E225*D227</f>
        <v>0.42623999999999995</v>
      </c>
      <c r="F227" s="548"/>
      <c r="G227" s="548"/>
      <c r="H227" s="548"/>
      <c r="I227" s="549"/>
      <c r="J227" s="1178"/>
      <c r="K227" s="548">
        <f>J227*E227</f>
        <v>0</v>
      </c>
      <c r="L227" s="610">
        <f t="shared" si="14"/>
        <v>0</v>
      </c>
      <c r="M227" s="598"/>
      <c r="N227" s="598"/>
      <c r="O227" s="598"/>
      <c r="P227" s="598"/>
      <c r="Q227" s="598"/>
      <c r="R227" s="598"/>
      <c r="S227" s="598"/>
      <c r="T227" s="598"/>
      <c r="U227" s="598"/>
      <c r="V227" s="598"/>
      <c r="W227" s="598"/>
      <c r="X227" s="598"/>
      <c r="Y227" s="598"/>
      <c r="Z227" s="598"/>
      <c r="AA227" s="598"/>
      <c r="AB227" s="598"/>
      <c r="AC227" s="598"/>
      <c r="AD227" s="598"/>
      <c r="AE227" s="598"/>
      <c r="AF227" s="598"/>
      <c r="AG227" s="598"/>
      <c r="AH227" s="598"/>
      <c r="AI227" s="598"/>
      <c r="AJ227" s="598"/>
      <c r="AK227" s="598"/>
      <c r="AL227" s="598"/>
      <c r="AM227" s="598"/>
      <c r="AN227" s="598"/>
      <c r="AO227" s="598"/>
      <c r="AP227" s="598"/>
      <c r="AQ227" s="598"/>
      <c r="AR227" s="598"/>
      <c r="AS227" s="598"/>
      <c r="AT227" s="598"/>
      <c r="AU227" s="598"/>
      <c r="AV227" s="598"/>
      <c r="AW227" s="598"/>
      <c r="AX227" s="598"/>
      <c r="AY227" s="598"/>
      <c r="AZ227" s="598"/>
      <c r="BA227" s="598"/>
      <c r="BB227" s="598"/>
      <c r="BC227" s="598"/>
      <c r="BD227" s="598"/>
      <c r="BE227" s="598"/>
      <c r="BF227" s="598"/>
      <c r="BG227" s="598"/>
      <c r="BH227" s="598"/>
      <c r="BI227" s="598"/>
    </row>
    <row r="228" spans="1:61" s="171" customFormat="1" ht="12.75" x14ac:dyDescent="0.25">
      <c r="A228" s="597"/>
      <c r="B228" s="551" t="s">
        <v>113</v>
      </c>
      <c r="C228" s="550" t="s">
        <v>10</v>
      </c>
      <c r="D228" s="552">
        <v>102</v>
      </c>
      <c r="E228" s="553">
        <f>E225*D228</f>
        <v>1.1750399999999999</v>
      </c>
      <c r="F228" s="548"/>
      <c r="G228" s="548"/>
      <c r="H228" s="1185"/>
      <c r="I228" s="549">
        <f>H228*E228</f>
        <v>0</v>
      </c>
      <c r="J228" s="548"/>
      <c r="K228" s="548"/>
      <c r="L228" s="610">
        <f t="shared" si="14"/>
        <v>0</v>
      </c>
      <c r="M228" s="598"/>
      <c r="N228" s="598"/>
      <c r="O228" s="598"/>
      <c r="P228" s="598"/>
      <c r="Q228" s="598"/>
      <c r="R228" s="598"/>
      <c r="S228" s="598"/>
      <c r="T228" s="598"/>
      <c r="U228" s="598"/>
      <c r="V228" s="598"/>
      <c r="W228" s="598"/>
      <c r="X228" s="598"/>
      <c r="Y228" s="598"/>
      <c r="Z228" s="598"/>
      <c r="AA228" s="598"/>
      <c r="AB228" s="598"/>
      <c r="AC228" s="598"/>
      <c r="AD228" s="598"/>
      <c r="AE228" s="598"/>
      <c r="AF228" s="598"/>
      <c r="AG228" s="598"/>
      <c r="AH228" s="598"/>
      <c r="AI228" s="598"/>
      <c r="AJ228" s="598"/>
      <c r="AK228" s="598"/>
      <c r="AL228" s="598"/>
      <c r="AM228" s="598"/>
      <c r="AN228" s="598"/>
      <c r="AO228" s="598"/>
      <c r="AP228" s="598"/>
      <c r="AQ228" s="598"/>
      <c r="AR228" s="598"/>
      <c r="AS228" s="598"/>
      <c r="AT228" s="598"/>
      <c r="AU228" s="598"/>
      <c r="AV228" s="598"/>
      <c r="AW228" s="598"/>
      <c r="AX228" s="598"/>
      <c r="AY228" s="598"/>
      <c r="AZ228" s="598"/>
      <c r="BA228" s="598"/>
      <c r="BB228" s="598"/>
      <c r="BC228" s="598"/>
      <c r="BD228" s="598"/>
      <c r="BE228" s="598"/>
      <c r="BF228" s="598"/>
      <c r="BG228" s="598"/>
      <c r="BH228" s="598"/>
      <c r="BI228" s="598"/>
    </row>
    <row r="229" spans="1:61" s="171" customFormat="1" x14ac:dyDescent="0.25">
      <c r="A229" s="597"/>
      <c r="B229" s="361" t="s">
        <v>221</v>
      </c>
      <c r="C229" s="550" t="s">
        <v>17</v>
      </c>
      <c r="D229" s="552">
        <v>161</v>
      </c>
      <c r="E229" s="553">
        <f>D229*E225</f>
        <v>1.8547199999999999</v>
      </c>
      <c r="F229" s="548"/>
      <c r="G229" s="548"/>
      <c r="H229" s="1121"/>
      <c r="I229" s="549">
        <f>H229*E229</f>
        <v>0</v>
      </c>
      <c r="J229" s="549"/>
      <c r="K229" s="548"/>
      <c r="L229" s="610">
        <f t="shared" si="14"/>
        <v>0</v>
      </c>
      <c r="M229" s="598"/>
      <c r="N229" s="598"/>
      <c r="O229" s="598"/>
      <c r="P229" s="598"/>
      <c r="Q229" s="598"/>
      <c r="R229" s="598"/>
      <c r="S229" s="598"/>
      <c r="T229" s="598"/>
      <c r="U229" s="598"/>
      <c r="V229" s="598"/>
      <c r="W229" s="598"/>
      <c r="X229" s="598"/>
      <c r="Y229" s="598"/>
      <c r="Z229" s="598"/>
      <c r="AA229" s="598"/>
      <c r="AB229" s="598"/>
      <c r="AC229" s="598"/>
      <c r="AD229" s="598"/>
      <c r="AE229" s="598"/>
      <c r="AF229" s="598"/>
      <c r="AG229" s="598"/>
      <c r="AH229" s="598"/>
      <c r="AI229" s="598"/>
      <c r="AJ229" s="598"/>
      <c r="AK229" s="598"/>
      <c r="AL229" s="598"/>
      <c r="AM229" s="598"/>
      <c r="AN229" s="598"/>
      <c r="AO229" s="598"/>
      <c r="AP229" s="598"/>
      <c r="AQ229" s="598"/>
      <c r="AR229" s="598"/>
      <c r="AS229" s="598"/>
      <c r="AT229" s="598"/>
      <c r="AU229" s="598"/>
      <c r="AV229" s="598"/>
      <c r="AW229" s="598"/>
      <c r="AX229" s="598"/>
      <c r="AY229" s="598"/>
      <c r="AZ229" s="598"/>
      <c r="BA229" s="598"/>
      <c r="BB229" s="598"/>
      <c r="BC229" s="598"/>
      <c r="BD229" s="598"/>
      <c r="BE229" s="598"/>
      <c r="BF229" s="598"/>
      <c r="BG229" s="598"/>
      <c r="BH229" s="598"/>
      <c r="BI229" s="598"/>
    </row>
    <row r="230" spans="1:61" s="171" customFormat="1" ht="12.75" x14ac:dyDescent="0.25">
      <c r="A230" s="597"/>
      <c r="B230" s="362" t="s">
        <v>225</v>
      </c>
      <c r="C230" s="550" t="s">
        <v>115</v>
      </c>
      <c r="D230" s="552">
        <v>1.72</v>
      </c>
      <c r="E230" s="553">
        <f>D230*E225</f>
        <v>1.9814399999999999E-2</v>
      </c>
      <c r="F230" s="548"/>
      <c r="G230" s="548"/>
      <c r="H230" s="1187"/>
      <c r="I230" s="549">
        <f>H230*E230</f>
        <v>0</v>
      </c>
      <c r="J230" s="549"/>
      <c r="K230" s="548"/>
      <c r="L230" s="610">
        <f t="shared" si="14"/>
        <v>0</v>
      </c>
      <c r="M230" s="598"/>
      <c r="N230" s="598"/>
      <c r="O230" s="598"/>
      <c r="P230" s="598"/>
      <c r="Q230" s="598"/>
      <c r="R230" s="598"/>
      <c r="S230" s="598"/>
      <c r="T230" s="598"/>
      <c r="U230" s="598"/>
      <c r="V230" s="598"/>
      <c r="W230" s="598"/>
      <c r="X230" s="598"/>
      <c r="Y230" s="598"/>
      <c r="Z230" s="598"/>
      <c r="AA230" s="598"/>
      <c r="AB230" s="598"/>
      <c r="AC230" s="598"/>
      <c r="AD230" s="598"/>
      <c r="AE230" s="598"/>
      <c r="AF230" s="598"/>
      <c r="AG230" s="598"/>
      <c r="AH230" s="598"/>
      <c r="AI230" s="598"/>
      <c r="AJ230" s="598"/>
      <c r="AK230" s="598"/>
      <c r="AL230" s="598"/>
      <c r="AM230" s="598"/>
      <c r="AN230" s="598"/>
      <c r="AO230" s="598"/>
      <c r="AP230" s="598"/>
      <c r="AQ230" s="598"/>
      <c r="AR230" s="598"/>
      <c r="AS230" s="598"/>
      <c r="AT230" s="598"/>
      <c r="AU230" s="598"/>
      <c r="AV230" s="598"/>
      <c r="AW230" s="598"/>
      <c r="AX230" s="598"/>
      <c r="AY230" s="598"/>
      <c r="AZ230" s="598"/>
      <c r="BA230" s="598"/>
      <c r="BB230" s="598"/>
      <c r="BC230" s="598"/>
      <c r="BD230" s="598"/>
      <c r="BE230" s="598"/>
      <c r="BF230" s="598"/>
      <c r="BG230" s="598"/>
      <c r="BH230" s="598"/>
      <c r="BI230" s="598"/>
    </row>
    <row r="231" spans="1:61" s="171" customFormat="1" ht="12.75" x14ac:dyDescent="0.25">
      <c r="A231" s="597"/>
      <c r="B231" s="551" t="s">
        <v>116</v>
      </c>
      <c r="C231" s="550" t="s">
        <v>15</v>
      </c>
      <c r="D231" s="552">
        <v>28</v>
      </c>
      <c r="E231" s="553">
        <f>D231*E225</f>
        <v>0.32255999999999996</v>
      </c>
      <c r="F231" s="548"/>
      <c r="G231" s="548"/>
      <c r="H231" s="1185"/>
      <c r="I231" s="549">
        <f>H231*E231</f>
        <v>0</v>
      </c>
      <c r="J231" s="548"/>
      <c r="K231" s="548"/>
      <c r="L231" s="610">
        <f t="shared" si="14"/>
        <v>0</v>
      </c>
      <c r="M231" s="598"/>
      <c r="N231" s="598"/>
      <c r="O231" s="598"/>
      <c r="P231" s="598"/>
      <c r="Q231" s="598"/>
      <c r="R231" s="598"/>
      <c r="S231" s="598"/>
      <c r="T231" s="598"/>
      <c r="U231" s="598"/>
      <c r="V231" s="598"/>
      <c r="W231" s="598"/>
      <c r="X231" s="598"/>
      <c r="Y231" s="598"/>
      <c r="Z231" s="598"/>
      <c r="AA231" s="598"/>
      <c r="AB231" s="598"/>
      <c r="AC231" s="598"/>
      <c r="AD231" s="598"/>
      <c r="AE231" s="598"/>
      <c r="AF231" s="598"/>
      <c r="AG231" s="598"/>
      <c r="AH231" s="598"/>
      <c r="AI231" s="598"/>
      <c r="AJ231" s="598"/>
      <c r="AK231" s="598"/>
      <c r="AL231" s="598"/>
      <c r="AM231" s="598"/>
      <c r="AN231" s="598"/>
      <c r="AO231" s="598"/>
      <c r="AP231" s="598"/>
      <c r="AQ231" s="598"/>
      <c r="AR231" s="598"/>
      <c r="AS231" s="598"/>
      <c r="AT231" s="598"/>
      <c r="AU231" s="598"/>
      <c r="AV231" s="598"/>
      <c r="AW231" s="598"/>
      <c r="AX231" s="598"/>
      <c r="AY231" s="598"/>
      <c r="AZ231" s="598"/>
      <c r="BA231" s="598"/>
      <c r="BB231" s="598"/>
      <c r="BC231" s="598"/>
      <c r="BD231" s="598"/>
      <c r="BE231" s="598"/>
      <c r="BF231" s="598"/>
      <c r="BG231" s="598"/>
      <c r="BH231" s="598"/>
      <c r="BI231" s="598"/>
    </row>
    <row r="232" spans="1:61" s="197" customFormat="1" ht="12.75" x14ac:dyDescent="0.25">
      <c r="A232" s="1032">
        <v>3</v>
      </c>
      <c r="B232" s="529" t="s">
        <v>367</v>
      </c>
      <c r="C232" s="46" t="s">
        <v>13</v>
      </c>
      <c r="D232" s="46"/>
      <c r="E232" s="554">
        <f>E236</f>
        <v>0.4158</v>
      </c>
      <c r="F232" s="46"/>
      <c r="G232" s="242"/>
      <c r="H232" s="557"/>
      <c r="I232" s="242"/>
      <c r="J232" s="557"/>
      <c r="K232" s="242"/>
      <c r="L232" s="1037"/>
      <c r="M232" s="137"/>
      <c r="N232" s="341"/>
      <c r="O232" s="341"/>
      <c r="P232" s="341"/>
      <c r="Q232" s="341"/>
      <c r="R232" s="341"/>
      <c r="S232" s="341"/>
      <c r="T232" s="341"/>
      <c r="U232" s="341"/>
      <c r="V232" s="341"/>
      <c r="W232" s="341"/>
      <c r="X232" s="341"/>
      <c r="Y232" s="341"/>
      <c r="Z232" s="341"/>
      <c r="AA232" s="341"/>
      <c r="AB232" s="341"/>
      <c r="AC232" s="341"/>
      <c r="AD232" s="341"/>
      <c r="AE232" s="341"/>
      <c r="AF232" s="341"/>
      <c r="AG232" s="341"/>
      <c r="AH232" s="341"/>
      <c r="AI232" s="341"/>
      <c r="AJ232" s="341"/>
      <c r="AK232" s="341"/>
      <c r="AL232" s="341"/>
      <c r="AM232" s="341"/>
      <c r="AN232" s="341"/>
      <c r="AO232" s="341"/>
      <c r="AP232" s="341"/>
      <c r="AQ232" s="341"/>
      <c r="AR232" s="341"/>
      <c r="AS232" s="341"/>
      <c r="AT232" s="341"/>
      <c r="AU232" s="341"/>
      <c r="AV232" s="341"/>
      <c r="AW232" s="341"/>
      <c r="AX232" s="341"/>
      <c r="AY232" s="341"/>
      <c r="AZ232" s="341"/>
      <c r="BA232" s="341"/>
      <c r="BB232" s="341"/>
      <c r="BC232" s="341"/>
      <c r="BD232" s="341"/>
      <c r="BE232" s="341"/>
      <c r="BF232" s="341"/>
      <c r="BG232" s="341"/>
      <c r="BH232" s="341"/>
      <c r="BI232" s="341"/>
    </row>
    <row r="233" spans="1:61" s="183" customFormat="1" ht="12.75" x14ac:dyDescent="0.25">
      <c r="A233" s="1034"/>
      <c r="B233" s="322" t="s">
        <v>36</v>
      </c>
      <c r="C233" s="366" t="s">
        <v>37</v>
      </c>
      <c r="D233" s="366">
        <v>53.8</v>
      </c>
      <c r="E233" s="368">
        <f>E232*D233</f>
        <v>22.370039999999999</v>
      </c>
      <c r="F233" s="1160"/>
      <c r="G233" s="368">
        <f>E233*F233</f>
        <v>0</v>
      </c>
      <c r="H233" s="367"/>
      <c r="I233" s="368"/>
      <c r="J233" s="367"/>
      <c r="K233" s="368"/>
      <c r="L233" s="1038">
        <f>G233+I233+K233</f>
        <v>0</v>
      </c>
      <c r="M233" s="118"/>
      <c r="N233" s="974"/>
      <c r="O233" s="974"/>
      <c r="P233" s="974"/>
      <c r="Q233" s="974"/>
      <c r="R233" s="974"/>
      <c r="S233" s="974"/>
      <c r="T233" s="974"/>
      <c r="U233" s="974"/>
      <c r="V233" s="974"/>
      <c r="W233" s="974"/>
      <c r="X233" s="974"/>
      <c r="Y233" s="974"/>
      <c r="Z233" s="974"/>
      <c r="AA233" s="974"/>
      <c r="AB233" s="974"/>
      <c r="AC233" s="974"/>
      <c r="AD233" s="974"/>
      <c r="AE233" s="974"/>
      <c r="AF233" s="974"/>
      <c r="AG233" s="974"/>
      <c r="AH233" s="974"/>
      <c r="AI233" s="974"/>
      <c r="AJ233" s="974"/>
      <c r="AK233" s="974"/>
      <c r="AL233" s="974"/>
      <c r="AM233" s="974"/>
      <c r="AN233" s="974"/>
      <c r="AO233" s="974"/>
      <c r="AP233" s="974"/>
      <c r="AQ233" s="974"/>
      <c r="AR233" s="974"/>
      <c r="AS233" s="974"/>
      <c r="AT233" s="974"/>
      <c r="AU233" s="974"/>
      <c r="AV233" s="974"/>
      <c r="AW233" s="974"/>
      <c r="AX233" s="974"/>
      <c r="AY233" s="974"/>
      <c r="AZ233" s="974"/>
      <c r="BA233" s="974"/>
      <c r="BB233" s="974"/>
      <c r="BC233" s="974"/>
      <c r="BD233" s="974"/>
      <c r="BE233" s="974"/>
      <c r="BF233" s="974"/>
      <c r="BG233" s="974"/>
      <c r="BH233" s="974"/>
      <c r="BI233" s="974"/>
    </row>
    <row r="234" spans="1:61" ht="12.75" x14ac:dyDescent="0.25">
      <c r="A234" s="597"/>
      <c r="B234" s="551" t="s">
        <v>165</v>
      </c>
      <c r="C234" s="550" t="s">
        <v>15</v>
      </c>
      <c r="D234" s="558">
        <v>0.35</v>
      </c>
      <c r="E234" s="553">
        <f>E232*D234</f>
        <v>0.14552999999999999</v>
      </c>
      <c r="F234" s="548"/>
      <c r="G234" s="548"/>
      <c r="H234" s="548"/>
      <c r="I234" s="548"/>
      <c r="J234" s="1185"/>
      <c r="K234" s="549">
        <f>ROUND(E234*J234,2)</f>
        <v>0</v>
      </c>
      <c r="L234" s="610">
        <f>K234</f>
        <v>0</v>
      </c>
      <c r="M234" s="598"/>
      <c r="N234" s="598"/>
      <c r="O234" s="598"/>
      <c r="P234" s="598"/>
      <c r="Q234" s="598"/>
      <c r="R234" s="598"/>
      <c r="S234" s="598"/>
      <c r="T234" s="598"/>
      <c r="U234" s="598"/>
      <c r="V234" s="598"/>
      <c r="W234" s="598"/>
      <c r="X234" s="598"/>
      <c r="Y234" s="598"/>
    </row>
    <row r="235" spans="1:61" s="183" customFormat="1" ht="12.75" x14ac:dyDescent="0.25">
      <c r="A235" s="1034"/>
      <c r="B235" s="322" t="s">
        <v>40</v>
      </c>
      <c r="C235" s="366" t="s">
        <v>15</v>
      </c>
      <c r="D235" s="366">
        <v>18.399999999999999</v>
      </c>
      <c r="E235" s="368">
        <f>E232*D235</f>
        <v>7.6507199999999997</v>
      </c>
      <c r="F235" s="366"/>
      <c r="G235" s="368"/>
      <c r="H235" s="367"/>
      <c r="I235" s="368"/>
      <c r="J235" s="1160"/>
      <c r="K235" s="368">
        <f>E235*J235</f>
        <v>0</v>
      </c>
      <c r="L235" s="1038">
        <f>G235+I235+K235</f>
        <v>0</v>
      </c>
      <c r="M235" s="118"/>
      <c r="N235" s="974"/>
      <c r="O235" s="974"/>
      <c r="P235" s="974"/>
      <c r="Q235" s="974"/>
      <c r="R235" s="974"/>
      <c r="S235" s="974"/>
      <c r="T235" s="974"/>
      <c r="U235" s="974"/>
      <c r="V235" s="974"/>
      <c r="W235" s="974"/>
      <c r="X235" s="974"/>
      <c r="Y235" s="974"/>
      <c r="Z235" s="974"/>
      <c r="AA235" s="974"/>
      <c r="AB235" s="974"/>
      <c r="AC235" s="974"/>
      <c r="AD235" s="974"/>
      <c r="AE235" s="974"/>
      <c r="AF235" s="974"/>
      <c r="AG235" s="974"/>
      <c r="AH235" s="974"/>
      <c r="AI235" s="974"/>
      <c r="AJ235" s="974"/>
      <c r="AK235" s="974"/>
      <c r="AL235" s="974"/>
      <c r="AM235" s="974"/>
      <c r="AN235" s="974"/>
      <c r="AO235" s="974"/>
      <c r="AP235" s="974"/>
      <c r="AQ235" s="974"/>
      <c r="AR235" s="974"/>
      <c r="AS235" s="974"/>
      <c r="AT235" s="974"/>
      <c r="AU235" s="974"/>
      <c r="AV235" s="974"/>
      <c r="AW235" s="974"/>
      <c r="AX235" s="974"/>
      <c r="AY235" s="974"/>
      <c r="AZ235" s="974"/>
      <c r="BA235" s="974"/>
      <c r="BB235" s="974"/>
      <c r="BC235" s="974"/>
      <c r="BD235" s="974"/>
      <c r="BE235" s="974"/>
      <c r="BF235" s="974"/>
      <c r="BG235" s="974"/>
      <c r="BH235" s="974"/>
      <c r="BI235" s="974"/>
    </row>
    <row r="236" spans="1:61" s="183" customFormat="1" ht="12.75" x14ac:dyDescent="0.25">
      <c r="A236" s="1034"/>
      <c r="B236" s="322" t="s">
        <v>203</v>
      </c>
      <c r="C236" s="366" t="s">
        <v>13</v>
      </c>
      <c r="D236" s="366"/>
      <c r="E236" s="559">
        <f>(((5.8*4)+(1.3*20)+(10*3))*5.25)/1000</f>
        <v>0.4158</v>
      </c>
      <c r="F236" s="366"/>
      <c r="G236" s="368"/>
      <c r="H236" s="1160"/>
      <c r="I236" s="368">
        <f>H236*E236</f>
        <v>0</v>
      </c>
      <c r="J236" s="367"/>
      <c r="K236" s="368"/>
      <c r="L236" s="1038">
        <f>G236+I236+K236</f>
        <v>0</v>
      </c>
      <c r="M236" s="118"/>
      <c r="N236" s="974"/>
      <c r="O236" s="974"/>
      <c r="P236" s="974"/>
      <c r="Q236" s="974"/>
      <c r="R236" s="974"/>
      <c r="S236" s="974"/>
      <c r="T236" s="974"/>
      <c r="U236" s="974"/>
      <c r="V236" s="974"/>
      <c r="W236" s="974"/>
      <c r="X236" s="974"/>
      <c r="Y236" s="974"/>
      <c r="Z236" s="974"/>
      <c r="AA236" s="974"/>
      <c r="AB236" s="974"/>
      <c r="AC236" s="974"/>
      <c r="AD236" s="974"/>
      <c r="AE236" s="974"/>
      <c r="AF236" s="974"/>
      <c r="AG236" s="974"/>
      <c r="AH236" s="974"/>
      <c r="AI236" s="974"/>
      <c r="AJ236" s="974"/>
      <c r="AK236" s="974"/>
      <c r="AL236" s="974"/>
      <c r="AM236" s="974"/>
      <c r="AN236" s="974"/>
      <c r="AO236" s="974"/>
      <c r="AP236" s="974"/>
      <c r="AQ236" s="974"/>
      <c r="AR236" s="974"/>
      <c r="AS236" s="974"/>
      <c r="AT236" s="974"/>
      <c r="AU236" s="974"/>
      <c r="AV236" s="974"/>
      <c r="AW236" s="974"/>
      <c r="AX236" s="974"/>
      <c r="AY236" s="974"/>
      <c r="AZ236" s="974"/>
      <c r="BA236" s="974"/>
      <c r="BB236" s="974"/>
      <c r="BC236" s="974"/>
      <c r="BD236" s="974"/>
      <c r="BE236" s="974"/>
      <c r="BF236" s="974"/>
      <c r="BG236" s="974"/>
      <c r="BH236" s="974"/>
      <c r="BI236" s="974"/>
    </row>
    <row r="237" spans="1:61" s="183" customFormat="1" x14ac:dyDescent="0.25">
      <c r="A237" s="1034"/>
      <c r="B237" s="322" t="s">
        <v>202</v>
      </c>
      <c r="C237" s="366" t="s">
        <v>18</v>
      </c>
      <c r="D237" s="366"/>
      <c r="E237" s="368">
        <f>7.6</f>
        <v>7.6</v>
      </c>
      <c r="F237" s="366"/>
      <c r="G237" s="368"/>
      <c r="H237" s="1128"/>
      <c r="I237" s="368">
        <f>H237*E237</f>
        <v>0</v>
      </c>
      <c r="J237" s="367"/>
      <c r="K237" s="368"/>
      <c r="L237" s="1038">
        <f>G237+I237+K237</f>
        <v>0</v>
      </c>
      <c r="M237" s="118"/>
      <c r="N237" s="974"/>
      <c r="O237" s="974"/>
      <c r="P237" s="974"/>
      <c r="Q237" s="974"/>
      <c r="R237" s="974"/>
      <c r="S237" s="974"/>
      <c r="T237" s="974"/>
      <c r="U237" s="974"/>
      <c r="V237" s="974"/>
      <c r="W237" s="974"/>
      <c r="X237" s="974"/>
      <c r="Y237" s="974"/>
      <c r="Z237" s="974"/>
      <c r="AA237" s="974"/>
      <c r="AB237" s="974"/>
      <c r="AC237" s="974"/>
      <c r="AD237" s="974"/>
      <c r="AE237" s="974"/>
      <c r="AF237" s="974"/>
      <c r="AG237" s="974"/>
      <c r="AH237" s="974"/>
      <c r="AI237" s="974"/>
      <c r="AJ237" s="974"/>
      <c r="AK237" s="974"/>
      <c r="AL237" s="974"/>
      <c r="AM237" s="974"/>
      <c r="AN237" s="974"/>
      <c r="AO237" s="974"/>
      <c r="AP237" s="974"/>
      <c r="AQ237" s="974"/>
      <c r="AR237" s="974"/>
      <c r="AS237" s="974"/>
      <c r="AT237" s="974"/>
      <c r="AU237" s="974"/>
      <c r="AV237" s="974"/>
      <c r="AW237" s="974"/>
      <c r="AX237" s="974"/>
      <c r="AY237" s="974"/>
      <c r="AZ237" s="974"/>
      <c r="BA237" s="974"/>
      <c r="BB237" s="974"/>
      <c r="BC237" s="974"/>
      <c r="BD237" s="974"/>
      <c r="BE237" s="974"/>
      <c r="BF237" s="974"/>
      <c r="BG237" s="974"/>
      <c r="BH237" s="974"/>
      <c r="BI237" s="974"/>
    </row>
    <row r="238" spans="1:61" s="183" customFormat="1" x14ac:dyDescent="0.25">
      <c r="A238" s="1034"/>
      <c r="B238" s="322" t="s">
        <v>118</v>
      </c>
      <c r="C238" s="366" t="s">
        <v>18</v>
      </c>
      <c r="D238" s="366">
        <v>24.4</v>
      </c>
      <c r="E238" s="368">
        <f>E232*D238</f>
        <v>10.145519999999999</v>
      </c>
      <c r="F238" s="366"/>
      <c r="G238" s="368"/>
      <c r="H238" s="1124"/>
      <c r="I238" s="368">
        <f>H238*E238</f>
        <v>0</v>
      </c>
      <c r="J238" s="367"/>
      <c r="K238" s="368"/>
      <c r="L238" s="1038">
        <f>G238+I238+K238</f>
        <v>0</v>
      </c>
      <c r="M238" s="118"/>
      <c r="N238" s="974"/>
      <c r="O238" s="974"/>
      <c r="P238" s="974"/>
      <c r="Q238" s="974"/>
      <c r="R238" s="974"/>
      <c r="S238" s="974"/>
      <c r="T238" s="974"/>
      <c r="U238" s="974"/>
      <c r="V238" s="974"/>
      <c r="W238" s="974"/>
      <c r="X238" s="974"/>
      <c r="Y238" s="974"/>
      <c r="Z238" s="974"/>
      <c r="AA238" s="974"/>
      <c r="AB238" s="974"/>
      <c r="AC238" s="974"/>
      <c r="AD238" s="974"/>
      <c r="AE238" s="974"/>
      <c r="AF238" s="974"/>
      <c r="AG238" s="974"/>
      <c r="AH238" s="974"/>
      <c r="AI238" s="974"/>
      <c r="AJ238" s="974"/>
      <c r="AK238" s="974"/>
      <c r="AL238" s="974"/>
      <c r="AM238" s="974"/>
      <c r="AN238" s="974"/>
      <c r="AO238" s="974"/>
      <c r="AP238" s="974"/>
      <c r="AQ238" s="974"/>
      <c r="AR238" s="974"/>
      <c r="AS238" s="974"/>
      <c r="AT238" s="974"/>
      <c r="AU238" s="974"/>
      <c r="AV238" s="974"/>
      <c r="AW238" s="974"/>
      <c r="AX238" s="974"/>
      <c r="AY238" s="974"/>
      <c r="AZ238" s="974"/>
      <c r="BA238" s="974"/>
      <c r="BB238" s="974"/>
      <c r="BC238" s="974"/>
      <c r="BD238" s="974"/>
      <c r="BE238" s="974"/>
      <c r="BF238" s="974"/>
      <c r="BG238" s="974"/>
      <c r="BH238" s="974"/>
      <c r="BI238" s="974"/>
    </row>
    <row r="239" spans="1:61" s="183" customFormat="1" ht="12.75" x14ac:dyDescent="0.25">
      <c r="A239" s="1034"/>
      <c r="B239" s="322" t="s">
        <v>42</v>
      </c>
      <c r="C239" s="366" t="s">
        <v>15</v>
      </c>
      <c r="D239" s="366">
        <v>2.78</v>
      </c>
      <c r="E239" s="368">
        <f>E232*D239</f>
        <v>1.155924</v>
      </c>
      <c r="F239" s="366"/>
      <c r="G239" s="368"/>
      <c r="H239" s="1160"/>
      <c r="I239" s="368">
        <f>H239*E239</f>
        <v>0</v>
      </c>
      <c r="J239" s="367"/>
      <c r="K239" s="368"/>
      <c r="L239" s="1038">
        <f>G239+I239+K239</f>
        <v>0</v>
      </c>
      <c r="M239" s="118"/>
      <c r="N239" s="974"/>
      <c r="O239" s="974"/>
      <c r="P239" s="974"/>
      <c r="Q239" s="974"/>
      <c r="R239" s="974"/>
      <c r="S239" s="974"/>
      <c r="T239" s="974"/>
      <c r="U239" s="974"/>
      <c r="V239" s="974"/>
      <c r="W239" s="974"/>
      <c r="X239" s="974"/>
      <c r="Y239" s="974"/>
      <c r="Z239" s="974"/>
      <c r="AA239" s="974"/>
      <c r="AB239" s="974"/>
      <c r="AC239" s="974"/>
      <c r="AD239" s="974"/>
      <c r="AE239" s="974"/>
      <c r="AF239" s="974"/>
      <c r="AG239" s="974"/>
      <c r="AH239" s="974"/>
      <c r="AI239" s="974"/>
      <c r="AJ239" s="974"/>
      <c r="AK239" s="974"/>
      <c r="AL239" s="974"/>
      <c r="AM239" s="974"/>
      <c r="AN239" s="974"/>
      <c r="AO239" s="974"/>
      <c r="AP239" s="974"/>
      <c r="AQ239" s="974"/>
      <c r="AR239" s="974"/>
      <c r="AS239" s="974"/>
      <c r="AT239" s="974"/>
      <c r="AU239" s="974"/>
      <c r="AV239" s="974"/>
      <c r="AW239" s="974"/>
      <c r="AX239" s="974"/>
      <c r="AY239" s="974"/>
      <c r="AZ239" s="974"/>
      <c r="BA239" s="974"/>
      <c r="BB239" s="974"/>
      <c r="BC239" s="974"/>
      <c r="BD239" s="974"/>
      <c r="BE239" s="974"/>
      <c r="BF239" s="974"/>
      <c r="BG239" s="974"/>
      <c r="BH239" s="974"/>
      <c r="BI239" s="974"/>
    </row>
    <row r="240" spans="1:61" s="345" customFormat="1" ht="27" customHeight="1" x14ac:dyDescent="0.25">
      <c r="A240" s="590">
        <v>4</v>
      </c>
      <c r="B240" s="174" t="s">
        <v>201</v>
      </c>
      <c r="C240" s="173" t="s">
        <v>17</v>
      </c>
      <c r="D240" s="173"/>
      <c r="E240" s="175">
        <f>((5.8*4)+(1.3*20)+(10*3))*(0.06*4)</f>
        <v>19.007999999999999</v>
      </c>
      <c r="F240" s="63"/>
      <c r="G240" s="63"/>
      <c r="H240" s="63"/>
      <c r="I240" s="63"/>
      <c r="J240" s="63"/>
      <c r="K240" s="63"/>
      <c r="L240" s="611"/>
      <c r="M240" s="977"/>
      <c r="N240" s="977"/>
      <c r="O240" s="977"/>
      <c r="P240" s="977"/>
      <c r="Q240" s="977"/>
      <c r="R240" s="977"/>
      <c r="S240" s="977"/>
      <c r="T240" s="977"/>
      <c r="U240" s="977"/>
      <c r="V240" s="977"/>
      <c r="W240" s="977"/>
      <c r="X240" s="977"/>
      <c r="Y240" s="977"/>
      <c r="Z240" s="977"/>
      <c r="AA240" s="977"/>
      <c r="AB240" s="977"/>
      <c r="AC240" s="977"/>
      <c r="AD240" s="977"/>
      <c r="AE240" s="977"/>
      <c r="AF240" s="977"/>
      <c r="AG240" s="977"/>
      <c r="AH240" s="977"/>
      <c r="AI240" s="977"/>
      <c r="AJ240" s="977"/>
      <c r="AK240" s="977"/>
      <c r="AL240" s="977"/>
      <c r="AM240" s="977"/>
      <c r="AN240" s="977"/>
      <c r="AO240" s="977"/>
      <c r="AP240" s="977"/>
      <c r="AQ240" s="977"/>
      <c r="AR240" s="977"/>
      <c r="AS240" s="977"/>
      <c r="AT240" s="977"/>
      <c r="AU240" s="977"/>
      <c r="AV240" s="977"/>
      <c r="AW240" s="977"/>
      <c r="AX240" s="977"/>
      <c r="AY240" s="977"/>
      <c r="AZ240" s="977"/>
      <c r="BA240" s="977"/>
      <c r="BB240" s="977"/>
      <c r="BC240" s="977"/>
      <c r="BD240" s="977"/>
      <c r="BE240" s="977"/>
      <c r="BF240" s="977"/>
      <c r="BG240" s="977"/>
      <c r="BH240" s="977"/>
      <c r="BI240" s="977"/>
    </row>
    <row r="241" spans="1:61" s="71" customFormat="1" ht="12.75" x14ac:dyDescent="0.25">
      <c r="A241" s="504"/>
      <c r="B241" s="72" t="s">
        <v>27</v>
      </c>
      <c r="C241" s="70" t="s">
        <v>28</v>
      </c>
      <c r="D241" s="70">
        <v>0.68</v>
      </c>
      <c r="E241" s="73">
        <f>E240*D241</f>
        <v>12.92544</v>
      </c>
      <c r="F241" s="953"/>
      <c r="G241" s="73">
        <f>E241*F241</f>
        <v>0</v>
      </c>
      <c r="H241" s="63"/>
      <c r="I241" s="73"/>
      <c r="J241" s="73"/>
      <c r="K241" s="73"/>
      <c r="L241" s="505">
        <f>K241+I241+G241</f>
        <v>0</v>
      </c>
      <c r="M241" s="496"/>
      <c r="N241" s="496"/>
      <c r="O241" s="496"/>
      <c r="P241" s="496"/>
      <c r="Q241" s="496"/>
      <c r="R241" s="496"/>
      <c r="S241" s="496"/>
      <c r="T241" s="496"/>
      <c r="U241" s="496"/>
      <c r="V241" s="496"/>
      <c r="W241" s="496"/>
      <c r="X241" s="496"/>
      <c r="Y241" s="496"/>
      <c r="Z241" s="496"/>
      <c r="AA241" s="496"/>
      <c r="AB241" s="496"/>
      <c r="AC241" s="496"/>
      <c r="AD241" s="496"/>
      <c r="AE241" s="496"/>
      <c r="AF241" s="496"/>
      <c r="AG241" s="496"/>
      <c r="AH241" s="496"/>
      <c r="AI241" s="496"/>
      <c r="AJ241" s="496"/>
      <c r="AK241" s="496"/>
      <c r="AL241" s="496"/>
      <c r="AM241" s="496"/>
      <c r="AN241" s="496"/>
      <c r="AO241" s="496"/>
      <c r="AP241" s="496"/>
      <c r="AQ241" s="496"/>
      <c r="AR241" s="496"/>
      <c r="AS241" s="496"/>
      <c r="AT241" s="496"/>
      <c r="AU241" s="496"/>
      <c r="AV241" s="496"/>
      <c r="AW241" s="496"/>
      <c r="AX241" s="496"/>
      <c r="AY241" s="496"/>
      <c r="AZ241" s="496"/>
      <c r="BA241" s="496"/>
      <c r="BB241" s="496"/>
      <c r="BC241" s="496"/>
      <c r="BD241" s="496"/>
      <c r="BE241" s="496"/>
      <c r="BF241" s="496"/>
      <c r="BG241" s="496"/>
      <c r="BH241" s="496"/>
      <c r="BI241" s="496"/>
    </row>
    <row r="242" spans="1:61" s="71" customFormat="1" ht="12.75" x14ac:dyDescent="0.25">
      <c r="A242" s="504"/>
      <c r="B242" s="72" t="s">
        <v>30</v>
      </c>
      <c r="C242" s="70" t="s">
        <v>33</v>
      </c>
      <c r="D242" s="70">
        <v>2.9999999999999997E-4</v>
      </c>
      <c r="E242" s="73">
        <f>D242*E240</f>
        <v>5.702399999999999E-3</v>
      </c>
      <c r="F242" s="73"/>
      <c r="G242" s="73"/>
      <c r="H242" s="63"/>
      <c r="I242" s="73"/>
      <c r="J242" s="953"/>
      <c r="K242" s="73">
        <f>J242*E242</f>
        <v>0</v>
      </c>
      <c r="L242" s="505">
        <f>K242+I242+G242</f>
        <v>0</v>
      </c>
      <c r="M242" s="496"/>
      <c r="N242" s="496"/>
      <c r="O242" s="496"/>
      <c r="P242" s="496"/>
      <c r="Q242" s="496"/>
      <c r="R242" s="496"/>
      <c r="S242" s="496"/>
      <c r="T242" s="496"/>
      <c r="U242" s="496"/>
      <c r="V242" s="496"/>
      <c r="W242" s="496"/>
      <c r="X242" s="496"/>
      <c r="Y242" s="496"/>
      <c r="Z242" s="496"/>
      <c r="AA242" s="496"/>
      <c r="AB242" s="496"/>
      <c r="AC242" s="496"/>
      <c r="AD242" s="496"/>
      <c r="AE242" s="496"/>
      <c r="AF242" s="496"/>
      <c r="AG242" s="496"/>
      <c r="AH242" s="496"/>
      <c r="AI242" s="496"/>
      <c r="AJ242" s="496"/>
      <c r="AK242" s="496"/>
      <c r="AL242" s="496"/>
      <c r="AM242" s="496"/>
      <c r="AN242" s="496"/>
      <c r="AO242" s="496"/>
      <c r="AP242" s="496"/>
      <c r="AQ242" s="496"/>
      <c r="AR242" s="496"/>
      <c r="AS242" s="496"/>
      <c r="AT242" s="496"/>
      <c r="AU242" s="496"/>
      <c r="AV242" s="496"/>
      <c r="AW242" s="496"/>
      <c r="AX242" s="496"/>
      <c r="AY242" s="496"/>
      <c r="AZ242" s="496"/>
      <c r="BA242" s="496"/>
      <c r="BB242" s="496"/>
      <c r="BC242" s="496"/>
      <c r="BD242" s="496"/>
      <c r="BE242" s="496"/>
      <c r="BF242" s="496"/>
      <c r="BG242" s="496"/>
      <c r="BH242" s="496"/>
      <c r="BI242" s="496"/>
    </row>
    <row r="243" spans="1:61" s="71" customFormat="1" x14ac:dyDescent="0.25">
      <c r="A243" s="504"/>
      <c r="B243" s="39" t="s">
        <v>311</v>
      </c>
      <c r="C243" s="70" t="s">
        <v>18</v>
      </c>
      <c r="D243" s="70">
        <v>0.246</v>
      </c>
      <c r="E243" s="73">
        <f>D243*E240</f>
        <v>4.6759680000000001</v>
      </c>
      <c r="F243" s="73"/>
      <c r="G243" s="73"/>
      <c r="H243" s="1120"/>
      <c r="I243" s="73">
        <f>H243*E243</f>
        <v>0</v>
      </c>
      <c r="J243" s="73"/>
      <c r="K243" s="73"/>
      <c r="L243" s="505">
        <f>K243+I243+G243</f>
        <v>0</v>
      </c>
      <c r="M243" s="496"/>
      <c r="N243" s="496"/>
      <c r="O243" s="496"/>
      <c r="P243" s="496"/>
      <c r="Q243" s="496"/>
      <c r="R243" s="496"/>
      <c r="S243" s="496"/>
      <c r="T243" s="496"/>
      <c r="U243" s="496"/>
      <c r="V243" s="496"/>
      <c r="W243" s="496"/>
      <c r="X243" s="496"/>
      <c r="Y243" s="496"/>
      <c r="Z243" s="496"/>
      <c r="AA243" s="496"/>
      <c r="AB243" s="496"/>
      <c r="AC243" s="496"/>
      <c r="AD243" s="496"/>
      <c r="AE243" s="496"/>
      <c r="AF243" s="496"/>
      <c r="AG243" s="496"/>
      <c r="AH243" s="496"/>
      <c r="AI243" s="496"/>
      <c r="AJ243" s="496"/>
      <c r="AK243" s="496"/>
      <c r="AL243" s="496"/>
      <c r="AM243" s="496"/>
      <c r="AN243" s="496"/>
      <c r="AO243" s="496"/>
      <c r="AP243" s="496"/>
      <c r="AQ243" s="496"/>
      <c r="AR243" s="496"/>
      <c r="AS243" s="496"/>
      <c r="AT243" s="496"/>
      <c r="AU243" s="496"/>
      <c r="AV243" s="496"/>
      <c r="AW243" s="496"/>
      <c r="AX243" s="496"/>
      <c r="AY243" s="496"/>
      <c r="AZ243" s="496"/>
      <c r="BA243" s="496"/>
      <c r="BB243" s="496"/>
      <c r="BC243" s="496"/>
      <c r="BD243" s="496"/>
      <c r="BE243" s="496"/>
      <c r="BF243" s="496"/>
      <c r="BG243" s="496"/>
      <c r="BH243" s="496"/>
      <c r="BI243" s="496"/>
    </row>
    <row r="244" spans="1:61" s="71" customFormat="1" ht="12.75" x14ac:dyDescent="0.25">
      <c r="A244" s="504"/>
      <c r="B244" s="72" t="s">
        <v>120</v>
      </c>
      <c r="C244" s="70" t="s">
        <v>98</v>
      </c>
      <c r="D244" s="73">
        <v>2.7E-2</v>
      </c>
      <c r="E244" s="178">
        <f>E240*D244</f>
        <v>0.51321600000000001</v>
      </c>
      <c r="F244" s="73"/>
      <c r="G244" s="73"/>
      <c r="H244" s="1120"/>
      <c r="I244" s="73">
        <f>H244*E244</f>
        <v>0</v>
      </c>
      <c r="J244" s="73"/>
      <c r="K244" s="73"/>
      <c r="L244" s="505">
        <f>K244+I244+G244</f>
        <v>0</v>
      </c>
      <c r="M244" s="496"/>
      <c r="N244" s="496"/>
      <c r="O244" s="496"/>
      <c r="P244" s="496"/>
      <c r="Q244" s="496"/>
      <c r="R244" s="496"/>
      <c r="S244" s="496"/>
      <c r="T244" s="496"/>
      <c r="U244" s="496"/>
      <c r="V244" s="496"/>
      <c r="W244" s="496"/>
      <c r="X244" s="496"/>
      <c r="Y244" s="496"/>
      <c r="Z244" s="496"/>
      <c r="AA244" s="496"/>
      <c r="AB244" s="496"/>
      <c r="AC244" s="496"/>
      <c r="AD244" s="496"/>
      <c r="AE244" s="496"/>
      <c r="AF244" s="496"/>
      <c r="AG244" s="496"/>
      <c r="AH244" s="496"/>
      <c r="AI244" s="496"/>
      <c r="AJ244" s="496"/>
      <c r="AK244" s="496"/>
      <c r="AL244" s="496"/>
      <c r="AM244" s="496"/>
      <c r="AN244" s="496"/>
      <c r="AO244" s="496"/>
      <c r="AP244" s="496"/>
      <c r="AQ244" s="496"/>
      <c r="AR244" s="496"/>
      <c r="AS244" s="496"/>
      <c r="AT244" s="496"/>
      <c r="AU244" s="496"/>
      <c r="AV244" s="496"/>
      <c r="AW244" s="496"/>
      <c r="AX244" s="496"/>
      <c r="AY244" s="496"/>
      <c r="AZ244" s="496"/>
      <c r="BA244" s="496"/>
      <c r="BB244" s="496"/>
      <c r="BC244" s="496"/>
      <c r="BD244" s="496"/>
      <c r="BE244" s="496"/>
      <c r="BF244" s="496"/>
      <c r="BG244" s="496"/>
      <c r="BH244" s="496"/>
      <c r="BI244" s="496"/>
    </row>
    <row r="245" spans="1:61" s="71" customFormat="1" ht="12.75" x14ac:dyDescent="0.25">
      <c r="A245" s="504"/>
      <c r="B245" s="172" t="s">
        <v>16</v>
      </c>
      <c r="C245" s="70" t="s">
        <v>33</v>
      </c>
      <c r="D245" s="70">
        <v>1.9E-3</v>
      </c>
      <c r="E245" s="73">
        <f>E240*D245</f>
        <v>3.61152E-2</v>
      </c>
      <c r="F245" s="73"/>
      <c r="G245" s="73"/>
      <c r="H245" s="1120"/>
      <c r="I245" s="73">
        <f>H245*E245</f>
        <v>0</v>
      </c>
      <c r="J245" s="73"/>
      <c r="K245" s="73"/>
      <c r="L245" s="505">
        <f>K245+I245+G245</f>
        <v>0</v>
      </c>
      <c r="M245" s="496"/>
      <c r="N245" s="496"/>
      <c r="O245" s="496"/>
      <c r="P245" s="496"/>
      <c r="Q245" s="496"/>
      <c r="R245" s="496"/>
      <c r="S245" s="496"/>
      <c r="T245" s="496"/>
      <c r="U245" s="496"/>
      <c r="V245" s="496"/>
      <c r="W245" s="496"/>
      <c r="X245" s="496"/>
      <c r="Y245" s="496"/>
      <c r="Z245" s="496"/>
      <c r="AA245" s="496"/>
      <c r="AB245" s="496"/>
      <c r="AC245" s="496"/>
      <c r="AD245" s="496"/>
      <c r="AE245" s="496"/>
      <c r="AF245" s="496"/>
      <c r="AG245" s="496"/>
      <c r="AH245" s="496"/>
      <c r="AI245" s="496"/>
      <c r="AJ245" s="496"/>
      <c r="AK245" s="496"/>
      <c r="AL245" s="496"/>
      <c r="AM245" s="496"/>
      <c r="AN245" s="496"/>
      <c r="AO245" s="496"/>
      <c r="AP245" s="496"/>
      <c r="AQ245" s="496"/>
      <c r="AR245" s="496"/>
      <c r="AS245" s="496"/>
      <c r="AT245" s="496"/>
      <c r="AU245" s="496"/>
      <c r="AV245" s="496"/>
      <c r="AW245" s="496"/>
      <c r="AX245" s="496"/>
      <c r="AY245" s="496"/>
      <c r="AZ245" s="496"/>
      <c r="BA245" s="496"/>
      <c r="BB245" s="496"/>
      <c r="BC245" s="496"/>
      <c r="BD245" s="496"/>
      <c r="BE245" s="496"/>
      <c r="BF245" s="496"/>
      <c r="BG245" s="496"/>
      <c r="BH245" s="496"/>
      <c r="BI245" s="496"/>
    </row>
    <row r="246" spans="1:61" s="103" customFormat="1" ht="12.75" x14ac:dyDescent="0.25">
      <c r="A246" s="1020"/>
      <c r="B246" s="45" t="s">
        <v>7</v>
      </c>
      <c r="C246" s="46"/>
      <c r="D246" s="46"/>
      <c r="E246" s="47"/>
      <c r="F246" s="48"/>
      <c r="G246" s="48">
        <f>SUM(G11:G245)</f>
        <v>0</v>
      </c>
      <c r="H246" s="48"/>
      <c r="I246" s="48">
        <f>SUM(I11:I245)</f>
        <v>0</v>
      </c>
      <c r="J246" s="48"/>
      <c r="K246" s="48">
        <f>SUM(K11:K245)</f>
        <v>0</v>
      </c>
      <c r="L246" s="1050">
        <f>SUM(L11:L245)</f>
        <v>0</v>
      </c>
      <c r="M246" s="992"/>
      <c r="N246" s="992"/>
      <c r="O246" s="992"/>
      <c r="P246" s="993"/>
      <c r="Q246" s="993"/>
      <c r="R246" s="993"/>
      <c r="S246" s="993"/>
      <c r="T246" s="993"/>
      <c r="U246" s="993"/>
      <c r="V246" s="993"/>
      <c r="W246" s="993"/>
      <c r="X246" s="993"/>
      <c r="Y246" s="993"/>
      <c r="Z246" s="993"/>
      <c r="AA246" s="993"/>
      <c r="AB246" s="993"/>
      <c r="AC246" s="993"/>
      <c r="AD246" s="993"/>
      <c r="AE246" s="993"/>
      <c r="AF246" s="993"/>
      <c r="AG246" s="993"/>
      <c r="AH246" s="993"/>
      <c r="AI246" s="993"/>
      <c r="AJ246" s="993"/>
      <c r="AK246" s="993"/>
      <c r="AL246" s="993"/>
      <c r="AM246" s="993"/>
      <c r="AN246" s="993"/>
      <c r="AO246" s="993"/>
      <c r="AP246" s="993"/>
      <c r="AQ246" s="993"/>
      <c r="AR246" s="993"/>
      <c r="AS246" s="993"/>
      <c r="AT246" s="993"/>
      <c r="AU246" s="993"/>
      <c r="AV246" s="993"/>
      <c r="AW246" s="993"/>
      <c r="AX246" s="993"/>
      <c r="AY246" s="993"/>
      <c r="AZ246" s="993"/>
      <c r="BA246" s="993"/>
      <c r="BB246" s="993"/>
      <c r="BC246" s="993"/>
      <c r="BD246" s="993"/>
      <c r="BE246" s="993"/>
      <c r="BF246" s="993"/>
      <c r="BG246" s="993"/>
      <c r="BH246" s="993"/>
      <c r="BI246" s="993"/>
    </row>
    <row r="247" spans="1:61" s="104" customFormat="1" ht="12.75" x14ac:dyDescent="0.25">
      <c r="A247" s="1051"/>
      <c r="B247" s="45" t="s">
        <v>67</v>
      </c>
      <c r="C247" s="1155"/>
      <c r="D247" s="50"/>
      <c r="E247" s="50"/>
      <c r="F247" s="51"/>
      <c r="G247" s="51"/>
      <c r="H247" s="51"/>
      <c r="I247" s="51"/>
      <c r="J247" s="51"/>
      <c r="K247" s="51"/>
      <c r="L247" s="1052">
        <f>I246*C247</f>
        <v>0</v>
      </c>
    </row>
    <row r="248" spans="1:61" s="94" customFormat="1" x14ac:dyDescent="0.25">
      <c r="A248" s="1053"/>
      <c r="B248" s="106" t="s">
        <v>7</v>
      </c>
      <c r="C248" s="14"/>
      <c r="D248" s="14"/>
      <c r="E248" s="17"/>
      <c r="F248" s="92"/>
      <c r="G248" s="92"/>
      <c r="H248" s="107"/>
      <c r="I248" s="107"/>
      <c r="J248" s="17"/>
      <c r="K248" s="17"/>
      <c r="L248" s="1054">
        <f>SUM(L246:L247)</f>
        <v>0</v>
      </c>
      <c r="M248" s="994"/>
      <c r="N248" s="994"/>
      <c r="O248" s="994"/>
      <c r="P248" s="994"/>
      <c r="Q248" s="994"/>
      <c r="R248" s="994"/>
      <c r="S248" s="994"/>
      <c r="T248" s="994"/>
      <c r="U248" s="994"/>
      <c r="V248" s="994"/>
      <c r="W248" s="994"/>
      <c r="X248" s="994"/>
      <c r="Y248" s="994"/>
      <c r="Z248" s="994"/>
      <c r="AA248" s="994"/>
      <c r="AB248" s="994"/>
      <c r="AC248" s="994"/>
      <c r="AD248" s="994"/>
      <c r="AE248" s="994"/>
      <c r="AF248" s="994"/>
      <c r="AG248" s="994"/>
      <c r="AH248" s="994"/>
      <c r="AI248" s="994"/>
      <c r="AJ248" s="994"/>
      <c r="AK248" s="994"/>
      <c r="AL248" s="994"/>
      <c r="AM248" s="994"/>
      <c r="AN248" s="994"/>
      <c r="AO248" s="994"/>
      <c r="AP248" s="994"/>
      <c r="AQ248" s="994"/>
      <c r="AR248" s="994"/>
      <c r="AS248" s="994"/>
      <c r="AT248" s="994"/>
      <c r="AU248" s="994"/>
      <c r="AV248" s="994"/>
      <c r="AW248" s="994"/>
      <c r="AX248" s="994"/>
      <c r="AY248" s="994"/>
      <c r="AZ248" s="994"/>
      <c r="BA248" s="994"/>
      <c r="BB248" s="994"/>
      <c r="BC248" s="994"/>
      <c r="BD248" s="994"/>
      <c r="BE248" s="994"/>
      <c r="BF248" s="994"/>
      <c r="BG248" s="994"/>
      <c r="BH248" s="994"/>
      <c r="BI248" s="994"/>
    </row>
    <row r="249" spans="1:61" s="94" customFormat="1" x14ac:dyDescent="0.25">
      <c r="A249" s="1053"/>
      <c r="B249" s="108" t="s">
        <v>86</v>
      </c>
      <c r="C249" s="1155"/>
      <c r="D249" s="14"/>
      <c r="E249" s="17"/>
      <c r="F249" s="92"/>
      <c r="G249" s="92"/>
      <c r="H249" s="107"/>
      <c r="I249" s="107"/>
      <c r="J249" s="17"/>
      <c r="K249" s="17"/>
      <c r="L249" s="1054">
        <f>L248*C249</f>
        <v>0</v>
      </c>
      <c r="M249" s="994"/>
      <c r="N249" s="994"/>
      <c r="O249" s="994"/>
      <c r="P249" s="994"/>
      <c r="Q249" s="994"/>
      <c r="R249" s="994"/>
      <c r="S249" s="994"/>
      <c r="T249" s="994"/>
      <c r="U249" s="994"/>
      <c r="V249" s="994"/>
      <c r="W249" s="994"/>
      <c r="X249" s="994"/>
      <c r="Y249" s="994"/>
      <c r="Z249" s="994"/>
      <c r="AA249" s="994"/>
      <c r="AB249" s="994"/>
      <c r="AC249" s="994"/>
      <c r="AD249" s="994"/>
      <c r="AE249" s="994"/>
      <c r="AF249" s="994"/>
      <c r="AG249" s="994"/>
      <c r="AH249" s="994"/>
      <c r="AI249" s="994"/>
      <c r="AJ249" s="994"/>
      <c r="AK249" s="994"/>
      <c r="AL249" s="994"/>
      <c r="AM249" s="994"/>
      <c r="AN249" s="994"/>
      <c r="AO249" s="994"/>
      <c r="AP249" s="994"/>
      <c r="AQ249" s="994"/>
      <c r="AR249" s="994"/>
      <c r="AS249" s="994"/>
      <c r="AT249" s="994"/>
      <c r="AU249" s="994"/>
      <c r="AV249" s="994"/>
      <c r="AW249" s="994"/>
      <c r="AX249" s="994"/>
      <c r="AY249" s="994"/>
      <c r="AZ249" s="994"/>
      <c r="BA249" s="994"/>
      <c r="BB249" s="994"/>
      <c r="BC249" s="994"/>
      <c r="BD249" s="994"/>
      <c r="BE249" s="994"/>
      <c r="BF249" s="994"/>
      <c r="BG249" s="994"/>
      <c r="BH249" s="994"/>
      <c r="BI249" s="994"/>
    </row>
    <row r="250" spans="1:61" s="94" customFormat="1" x14ac:dyDescent="0.25">
      <c r="A250" s="1053"/>
      <c r="B250" s="108" t="s">
        <v>7</v>
      </c>
      <c r="C250" s="14"/>
      <c r="D250" s="14"/>
      <c r="E250" s="17"/>
      <c r="F250" s="92"/>
      <c r="G250" s="92"/>
      <c r="H250" s="107"/>
      <c r="I250" s="107"/>
      <c r="J250" s="17"/>
      <c r="K250" s="17"/>
      <c r="L250" s="1054">
        <f>L248+L249</f>
        <v>0</v>
      </c>
      <c r="M250" s="994"/>
      <c r="N250" s="994"/>
      <c r="O250" s="994"/>
      <c r="P250" s="994"/>
      <c r="Q250" s="994"/>
      <c r="R250" s="994"/>
      <c r="S250" s="994"/>
      <c r="T250" s="994"/>
      <c r="U250" s="994"/>
      <c r="V250" s="994"/>
      <c r="W250" s="994"/>
      <c r="X250" s="994"/>
      <c r="Y250" s="994"/>
      <c r="Z250" s="994"/>
      <c r="AA250" s="994"/>
      <c r="AB250" s="994"/>
      <c r="AC250" s="994"/>
      <c r="AD250" s="994"/>
      <c r="AE250" s="994"/>
      <c r="AF250" s="994"/>
      <c r="AG250" s="994"/>
      <c r="AH250" s="994"/>
      <c r="AI250" s="994"/>
      <c r="AJ250" s="994"/>
      <c r="AK250" s="994"/>
      <c r="AL250" s="994"/>
      <c r="AM250" s="994"/>
      <c r="AN250" s="994"/>
      <c r="AO250" s="994"/>
      <c r="AP250" s="994"/>
      <c r="AQ250" s="994"/>
      <c r="AR250" s="994"/>
      <c r="AS250" s="994"/>
      <c r="AT250" s="994"/>
      <c r="AU250" s="994"/>
      <c r="AV250" s="994"/>
      <c r="AW250" s="994"/>
      <c r="AX250" s="994"/>
      <c r="AY250" s="994"/>
      <c r="AZ250" s="994"/>
      <c r="BA250" s="994"/>
      <c r="BB250" s="994"/>
      <c r="BC250" s="994"/>
      <c r="BD250" s="994"/>
      <c r="BE250" s="994"/>
      <c r="BF250" s="994"/>
      <c r="BG250" s="994"/>
      <c r="BH250" s="994"/>
      <c r="BI250" s="994"/>
    </row>
    <row r="251" spans="1:61" s="94" customFormat="1" x14ac:dyDescent="0.25">
      <c r="A251" s="1053"/>
      <c r="B251" s="108" t="s">
        <v>87</v>
      </c>
      <c r="C251" s="1155"/>
      <c r="D251" s="14"/>
      <c r="E251" s="17"/>
      <c r="F251" s="92"/>
      <c r="G251" s="92"/>
      <c r="H251" s="107"/>
      <c r="I251" s="107"/>
      <c r="J251" s="17"/>
      <c r="K251" s="17"/>
      <c r="L251" s="1054">
        <f>L250*C251</f>
        <v>0</v>
      </c>
      <c r="M251" s="994"/>
      <c r="N251" s="994"/>
      <c r="O251" s="994"/>
      <c r="P251" s="994"/>
      <c r="Q251" s="994"/>
      <c r="R251" s="994"/>
      <c r="S251" s="994"/>
      <c r="T251" s="994"/>
      <c r="U251" s="994"/>
      <c r="V251" s="994"/>
      <c r="W251" s="994"/>
      <c r="X251" s="994"/>
      <c r="Y251" s="994"/>
      <c r="Z251" s="994"/>
      <c r="AA251" s="994"/>
      <c r="AB251" s="994"/>
      <c r="AC251" s="994"/>
      <c r="AD251" s="994"/>
      <c r="AE251" s="994"/>
      <c r="AF251" s="994"/>
      <c r="AG251" s="994"/>
      <c r="AH251" s="994"/>
      <c r="AI251" s="994"/>
      <c r="AJ251" s="994"/>
      <c r="AK251" s="994"/>
      <c r="AL251" s="994"/>
      <c r="AM251" s="994"/>
      <c r="AN251" s="994"/>
      <c r="AO251" s="994"/>
      <c r="AP251" s="994"/>
      <c r="AQ251" s="994"/>
      <c r="AR251" s="994"/>
      <c r="AS251" s="994"/>
      <c r="AT251" s="994"/>
      <c r="AU251" s="994"/>
      <c r="AV251" s="994"/>
      <c r="AW251" s="994"/>
      <c r="AX251" s="994"/>
      <c r="AY251" s="994"/>
      <c r="AZ251" s="994"/>
      <c r="BA251" s="994"/>
      <c r="BB251" s="994"/>
      <c r="BC251" s="994"/>
      <c r="BD251" s="994"/>
      <c r="BE251" s="994"/>
      <c r="BF251" s="994"/>
      <c r="BG251" s="994"/>
      <c r="BH251" s="994"/>
      <c r="BI251" s="994"/>
    </row>
    <row r="252" spans="1:61" s="94" customFormat="1" ht="14.25" thickBot="1" x14ac:dyDescent="0.3">
      <c r="A252" s="1055"/>
      <c r="B252" s="1056" t="s">
        <v>7</v>
      </c>
      <c r="C252" s="1057"/>
      <c r="D252" s="1057"/>
      <c r="E252" s="1058"/>
      <c r="F252" s="1059"/>
      <c r="G252" s="1059"/>
      <c r="H252" s="1060"/>
      <c r="I252" s="1060"/>
      <c r="J252" s="1058"/>
      <c r="K252" s="1058"/>
      <c r="L252" s="1061">
        <f>L250+L251</f>
        <v>0</v>
      </c>
      <c r="M252" s="994"/>
      <c r="N252" s="994"/>
      <c r="O252" s="994"/>
      <c r="P252" s="994"/>
      <c r="Q252" s="994"/>
      <c r="R252" s="994"/>
      <c r="S252" s="994"/>
      <c r="T252" s="994"/>
      <c r="U252" s="994"/>
      <c r="V252" s="994"/>
      <c r="W252" s="994"/>
      <c r="X252" s="994"/>
      <c r="Y252" s="994"/>
      <c r="Z252" s="994"/>
      <c r="AA252" s="994"/>
      <c r="AB252" s="994"/>
      <c r="AC252" s="994"/>
      <c r="AD252" s="994"/>
      <c r="AE252" s="994"/>
      <c r="AF252" s="994"/>
      <c r="AG252" s="994"/>
      <c r="AH252" s="994"/>
      <c r="AI252" s="994"/>
      <c r="AJ252" s="994"/>
      <c r="AK252" s="994"/>
      <c r="AL252" s="994"/>
      <c r="AM252" s="994"/>
      <c r="AN252" s="994"/>
      <c r="AO252" s="994"/>
      <c r="AP252" s="994"/>
      <c r="AQ252" s="994"/>
      <c r="AR252" s="994"/>
      <c r="AS252" s="994"/>
      <c r="AT252" s="994"/>
      <c r="AU252" s="994"/>
      <c r="AV252" s="994"/>
      <c r="AW252" s="994"/>
      <c r="AX252" s="994"/>
      <c r="AY252" s="994"/>
      <c r="AZ252" s="994"/>
      <c r="BA252" s="994"/>
      <c r="BB252" s="994"/>
      <c r="BC252" s="994"/>
      <c r="BD252" s="994"/>
      <c r="BE252" s="994"/>
      <c r="BF252" s="994"/>
      <c r="BG252" s="994"/>
      <c r="BH252" s="994"/>
      <c r="BI252" s="994"/>
    </row>
    <row r="253" spans="1:61" s="4" customFormat="1" x14ac:dyDescent="0.25">
      <c r="A253" s="3"/>
      <c r="B253" s="5"/>
      <c r="C253" s="6"/>
      <c r="D253" s="6"/>
      <c r="E253" s="238"/>
      <c r="F253" s="8"/>
      <c r="M253" s="995"/>
      <c r="N253" s="995"/>
      <c r="O253" s="995"/>
      <c r="P253" s="995"/>
      <c r="Q253" s="995"/>
      <c r="R253" s="995"/>
      <c r="S253" s="995"/>
      <c r="T253" s="995"/>
      <c r="U253" s="995"/>
      <c r="V253" s="995"/>
      <c r="W253" s="995"/>
      <c r="X253" s="995"/>
      <c r="Y253" s="995"/>
      <c r="Z253" s="995"/>
      <c r="AA253" s="995"/>
      <c r="AB253" s="995"/>
      <c r="AC253" s="995"/>
      <c r="AD253" s="995"/>
      <c r="AE253" s="995"/>
      <c r="AF253" s="995"/>
      <c r="AG253" s="995"/>
      <c r="AH253" s="995"/>
      <c r="AI253" s="995"/>
      <c r="AJ253" s="995"/>
      <c r="AK253" s="995"/>
      <c r="AL253" s="995"/>
      <c r="AM253" s="995"/>
      <c r="AN253" s="995"/>
      <c r="AO253" s="995"/>
      <c r="AP253" s="995"/>
      <c r="AQ253" s="995"/>
      <c r="AR253" s="995"/>
      <c r="AS253" s="995"/>
      <c r="AT253" s="995"/>
      <c r="AU253" s="995"/>
      <c r="AV253" s="995"/>
      <c r="AW253" s="995"/>
      <c r="AX253" s="995"/>
      <c r="AY253" s="995"/>
      <c r="AZ253" s="995"/>
      <c r="BA253" s="995"/>
      <c r="BB253" s="995"/>
      <c r="BC253" s="995"/>
      <c r="BD253" s="995"/>
      <c r="BE253" s="995"/>
      <c r="BF253" s="995"/>
      <c r="BG253" s="995"/>
      <c r="BH253" s="995"/>
      <c r="BI253" s="995"/>
    </row>
    <row r="254" spans="1:61" s="4" customFormat="1" x14ac:dyDescent="0.25">
      <c r="A254" s="3"/>
      <c r="B254" s="5"/>
      <c r="C254" s="6"/>
      <c r="D254" s="6"/>
      <c r="E254" s="238"/>
      <c r="F254" s="8"/>
      <c r="M254" s="995"/>
      <c r="N254" s="995"/>
      <c r="O254" s="995"/>
      <c r="P254" s="995"/>
      <c r="Q254" s="995"/>
      <c r="R254" s="995"/>
      <c r="S254" s="995"/>
      <c r="T254" s="995"/>
      <c r="U254" s="995"/>
      <c r="V254" s="995"/>
      <c r="W254" s="995"/>
      <c r="X254" s="995"/>
      <c r="Y254" s="995"/>
      <c r="Z254" s="995"/>
      <c r="AA254" s="995"/>
      <c r="AB254" s="995"/>
      <c r="AC254" s="995"/>
      <c r="AD254" s="995"/>
      <c r="AE254" s="995"/>
      <c r="AF254" s="995"/>
      <c r="AG254" s="995"/>
      <c r="AH254" s="995"/>
      <c r="AI254" s="995"/>
      <c r="AJ254" s="995"/>
      <c r="AK254" s="995"/>
      <c r="AL254" s="995"/>
      <c r="AM254" s="995"/>
      <c r="AN254" s="995"/>
      <c r="AO254" s="995"/>
      <c r="AP254" s="995"/>
      <c r="AQ254" s="995"/>
      <c r="AR254" s="995"/>
      <c r="AS254" s="995"/>
      <c r="AT254" s="995"/>
      <c r="AU254" s="995"/>
      <c r="AV254" s="995"/>
      <c r="AW254" s="995"/>
      <c r="AX254" s="995"/>
      <c r="AY254" s="995"/>
      <c r="AZ254" s="995"/>
      <c r="BA254" s="995"/>
      <c r="BB254" s="995"/>
      <c r="BC254" s="995"/>
      <c r="BD254" s="995"/>
      <c r="BE254" s="995"/>
      <c r="BF254" s="995"/>
      <c r="BG254" s="995"/>
      <c r="BH254" s="995"/>
      <c r="BI254" s="995"/>
    </row>
    <row r="255" spans="1:61" s="4" customFormat="1" x14ac:dyDescent="0.25">
      <c r="A255" s="3"/>
      <c r="B255" s="5"/>
      <c r="C255" s="6"/>
      <c r="D255" s="6"/>
      <c r="E255" s="238"/>
      <c r="F255" s="8"/>
      <c r="M255" s="995"/>
      <c r="N255" s="995"/>
      <c r="O255" s="995"/>
      <c r="P255" s="995"/>
      <c r="Q255" s="995"/>
      <c r="R255" s="995"/>
      <c r="S255" s="995"/>
      <c r="T255" s="995"/>
      <c r="U255" s="995"/>
      <c r="V255" s="995"/>
      <c r="W255" s="995"/>
      <c r="X255" s="995"/>
      <c r="Y255" s="995"/>
      <c r="Z255" s="995"/>
      <c r="AA255" s="995"/>
      <c r="AB255" s="995"/>
      <c r="AC255" s="995"/>
      <c r="AD255" s="995"/>
      <c r="AE255" s="995"/>
      <c r="AF255" s="995"/>
      <c r="AG255" s="995"/>
      <c r="AH255" s="995"/>
      <c r="AI255" s="995"/>
      <c r="AJ255" s="995"/>
      <c r="AK255" s="995"/>
      <c r="AL255" s="995"/>
      <c r="AM255" s="995"/>
      <c r="AN255" s="995"/>
      <c r="AO255" s="995"/>
      <c r="AP255" s="995"/>
      <c r="AQ255" s="995"/>
      <c r="AR255" s="995"/>
      <c r="AS255" s="995"/>
      <c r="AT255" s="995"/>
      <c r="AU255" s="995"/>
      <c r="AV255" s="995"/>
      <c r="AW255" s="995"/>
      <c r="AX255" s="995"/>
      <c r="AY255" s="995"/>
      <c r="AZ255" s="995"/>
      <c r="BA255" s="995"/>
      <c r="BB255" s="995"/>
      <c r="BC255" s="995"/>
      <c r="BD255" s="995"/>
      <c r="BE255" s="995"/>
      <c r="BF255" s="995"/>
      <c r="BG255" s="995"/>
      <c r="BH255" s="995"/>
      <c r="BI255" s="995"/>
    </row>
  </sheetData>
  <protectedRanges>
    <protectedRange sqref="F51:L53" name="Range1"/>
  </protectedRanges>
  <autoFilter ref="A10:L252"/>
  <mergeCells count="16">
    <mergeCell ref="A6:D6"/>
    <mergeCell ref="K1:L1"/>
    <mergeCell ref="A2:J2"/>
    <mergeCell ref="K2:L2"/>
    <mergeCell ref="A4:L4"/>
    <mergeCell ref="A5:L5"/>
    <mergeCell ref="A7:B7"/>
    <mergeCell ref="A8:A9"/>
    <mergeCell ref="B8:B9"/>
    <mergeCell ref="C8:C9"/>
    <mergeCell ref="F8:G8"/>
    <mergeCell ref="H8:I8"/>
    <mergeCell ref="J8:K8"/>
    <mergeCell ref="L8:L9"/>
    <mergeCell ref="A32:A33"/>
    <mergeCell ref="D8:E8"/>
  </mergeCells>
  <pageMargins left="0.7" right="0.7" top="0.75" bottom="0.75" header="0.3" footer="0.3"/>
  <pageSetup paperSize="9" scale="54" orientation="portrait" r:id="rId1"/>
  <rowBreaks count="2" manualBreakCount="2">
    <brk id="77" max="12" man="1"/>
    <brk id="1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სანაკრებო</vt:lpstr>
      <vt:lpstr>შენობის მოწყობა</vt:lpstr>
      <vt:lpstr>წყალ-კანალი </vt:lpstr>
      <vt:lpstr>ელექტრობა-სუსტი დენები </vt:lpstr>
      <vt:lpstr>კეთილმოწყობა</vt:lpstr>
      <vt:lpstr>'ელექტრობა-სუსტი დენები '!Print_Area</vt:lpstr>
      <vt:lpstr>კეთილმოწყობა!Print_Area</vt:lpstr>
      <vt:lpstr>სანაკრებო!Print_Area</vt:lpstr>
      <vt:lpstr>'შენობის მოწყობა'!Print_Area</vt:lpstr>
      <vt:lpstr>'წყალ-კანალი '!Print_Area</vt:lpstr>
      <vt:lpstr>სანაკრებო!Print_Titles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2023-02-21T06:50:23Z</dcterms:modified>
</cp:coreProperties>
</file>