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3040" windowHeight="9300" tabRatio="891" activeTab="13"/>
  </bookViews>
  <sheets>
    <sheet name="gan.barat" sheetId="2" r:id="rId1"/>
    <sheet name="B" sheetId="369" r:id="rId2"/>
    <sheet name="B-1" sheetId="368" r:id="rId3"/>
    <sheet name="B-2" sheetId="370" r:id="rId4"/>
    <sheet name="B-3" sheetId="371" r:id="rId5"/>
    <sheet name="B-4" sheetId="373" r:id="rId6"/>
    <sheet name="B-5" sheetId="375" r:id="rId7"/>
    <sheet name="B-5.1" sheetId="376" r:id="rId8"/>
    <sheet name="B-5.2" sheetId="377" r:id="rId9"/>
    <sheet name="B-6" sheetId="379" r:id="rId10"/>
    <sheet name="B-6.1" sheetId="380" r:id="rId11"/>
    <sheet name="B-6.2" sheetId="381" r:id="rId12"/>
    <sheet name="B-6.3" sheetId="382" r:id="rId13"/>
    <sheet name="B-7" sheetId="383" r:id="rId14"/>
  </sheets>
  <externalReferences>
    <externalReference r:id="rId15"/>
  </externalReferences>
  <definedNames>
    <definedName name="_xlnm._FilterDatabase" localSheetId="1" hidden="1">B!$A$7:$L$9</definedName>
    <definedName name="_xlnm._FilterDatabase" localSheetId="7" hidden="1">'B-5.1'!$A$9:$M$68</definedName>
    <definedName name="_xlnm._FilterDatabase" localSheetId="8" hidden="1">'B-5.2'!$A$9:$M$183</definedName>
    <definedName name="_xlnm._FilterDatabase" localSheetId="9" hidden="1">'B-6'!$A$6:$K$8</definedName>
    <definedName name="_xlnm._FilterDatabase" localSheetId="10" hidden="1">'B-6.1'!$A$9:$HP$148</definedName>
    <definedName name="_xlnm.Print_Area" localSheetId="1">B!$A$1:$J$28</definedName>
    <definedName name="_xlnm.Print_Area" localSheetId="2">'B-1'!$A$1:$M$45</definedName>
    <definedName name="_xlnm.Print_Area" localSheetId="3">'B-2'!$A$1:$M$31</definedName>
    <definedName name="_xlnm.Print_Area" localSheetId="4">'B-3'!$A$1:$M$126</definedName>
    <definedName name="_xlnm.Print_Area" localSheetId="5">'B-4'!$A$1:$M$76</definedName>
    <definedName name="_xlnm.Print_Area" localSheetId="6">'B-5'!$A$1:$J$18</definedName>
    <definedName name="_xlnm.Print_Area" localSheetId="7">'B-5.1'!$A$1:$M$73</definedName>
    <definedName name="_xlnm.Print_Area" localSheetId="8">'B-5.2'!$A$1:$M$188</definedName>
    <definedName name="_xlnm.Print_Area" localSheetId="9">'B-6'!$A$1:$I$17</definedName>
    <definedName name="_xlnm.Print_Area" localSheetId="10">'B-6.1'!$A$1:$M$230</definedName>
    <definedName name="_xlnm.Print_Area" localSheetId="11">'B-6.2'!$A$1:$M$103</definedName>
    <definedName name="_xlnm.Print_Area" localSheetId="12">'B-6.3'!$A$1:$M$70</definedName>
    <definedName name="_xlnm.Print_Area" localSheetId="13">'B-7'!$A$1:$M$62</definedName>
    <definedName name="_xlnm.Print_Area" localSheetId="0">gan.barat!$A$1:$M$28</definedName>
    <definedName name="_xlnm.Print_Titles" localSheetId="2">'B-1'!$7:$9</definedName>
    <definedName name="_xlnm.Print_Titles" localSheetId="3">'B-2'!$7:$9</definedName>
    <definedName name="_xlnm.Print_Titles" localSheetId="4">'B-3'!$7:$9</definedName>
    <definedName name="_xlnm.Print_Titles" localSheetId="5">'B-4'!$7:$9</definedName>
    <definedName name="_xlnm.Print_Titles" localSheetId="7">'B-5.1'!$7:$9</definedName>
    <definedName name="_xlnm.Print_Titles" localSheetId="8">'B-5.2'!$7:$9</definedName>
    <definedName name="_xlnm.Print_Titles" localSheetId="10">'B-6.1'!$7:$9</definedName>
    <definedName name="_xlnm.Print_Titles" localSheetId="11">'B-6.2'!$5:$7</definedName>
    <definedName name="_xlnm.Print_Titles" localSheetId="12">'B-6.3'!$6:$8</definedName>
    <definedName name="_xlnm.Print_Titles" localSheetId="13">'B-7'!$7:$9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371" l="1"/>
  <c r="F60" i="377" l="1"/>
  <c r="F71" i="377"/>
  <c r="F70" i="377"/>
  <c r="F44" i="377"/>
  <c r="F45" i="377"/>
  <c r="F33" i="377"/>
  <c r="F34" i="377" s="1"/>
  <c r="F23" i="377"/>
  <c r="F24" i="377" s="1"/>
  <c r="G2" i="377" l="1"/>
  <c r="A1" i="377"/>
  <c r="B5" i="383"/>
  <c r="A3" i="383"/>
  <c r="G2" i="383"/>
  <c r="A1" i="383"/>
  <c r="E51" i="383"/>
  <c r="E50" i="383"/>
  <c r="E49" i="383"/>
  <c r="E48" i="383"/>
  <c r="F46" i="383"/>
  <c r="H46" i="383" s="1"/>
  <c r="M46" i="383" s="1"/>
  <c r="F45" i="383"/>
  <c r="L45" i="383" s="1"/>
  <c r="M45" i="383" s="1"/>
  <c r="M44" i="383"/>
  <c r="H44" i="383"/>
  <c r="H43" i="383"/>
  <c r="M43" i="383" s="1"/>
  <c r="H42" i="383"/>
  <c r="M42" i="383" s="1"/>
  <c r="M41" i="383"/>
  <c r="H41" i="383"/>
  <c r="H40" i="383"/>
  <c r="M40" i="383" s="1"/>
  <c r="H39" i="383"/>
  <c r="M39" i="383" s="1"/>
  <c r="M38" i="383"/>
  <c r="H38" i="383"/>
  <c r="H37" i="383"/>
  <c r="M37" i="383" s="1"/>
  <c r="F36" i="383"/>
  <c r="J36" i="383" s="1"/>
  <c r="M36" i="383" s="1"/>
  <c r="F34" i="383"/>
  <c r="H34" i="383" s="1"/>
  <c r="M34" i="383" s="1"/>
  <c r="F33" i="383"/>
  <c r="F47" i="383" s="1"/>
  <c r="E32" i="383"/>
  <c r="F32" i="383" s="1"/>
  <c r="H32" i="383" s="1"/>
  <c r="M32" i="383" s="1"/>
  <c r="H31" i="383"/>
  <c r="M31" i="383" s="1"/>
  <c r="H30" i="383"/>
  <c r="M30" i="383" s="1"/>
  <c r="F29" i="383"/>
  <c r="L29" i="383" s="1"/>
  <c r="M29" i="383" s="1"/>
  <c r="E28" i="383"/>
  <c r="F28" i="383" s="1"/>
  <c r="L28" i="383" s="1"/>
  <c r="M28" i="383" s="1"/>
  <c r="E27" i="383"/>
  <c r="F27" i="383" s="1"/>
  <c r="J27" i="383" s="1"/>
  <c r="M27" i="383" s="1"/>
  <c r="F25" i="383"/>
  <c r="H25" i="383" s="1"/>
  <c r="M25" i="383" s="1"/>
  <c r="F24" i="383"/>
  <c r="H24" i="383" s="1"/>
  <c r="M24" i="383" s="1"/>
  <c r="F23" i="383"/>
  <c r="H23" i="383" s="1"/>
  <c r="M23" i="383" s="1"/>
  <c r="F22" i="383"/>
  <c r="H22" i="383" s="1"/>
  <c r="M22" i="383" s="1"/>
  <c r="F20" i="383"/>
  <c r="F21" i="383" s="1"/>
  <c r="L21" i="383" s="1"/>
  <c r="M21" i="383" s="1"/>
  <c r="F18" i="383"/>
  <c r="H18" i="383" s="1"/>
  <c r="M18" i="383" s="1"/>
  <c r="F17" i="383"/>
  <c r="H17" i="383" s="1"/>
  <c r="F15" i="383"/>
  <c r="J15" i="383" s="1"/>
  <c r="M15" i="383" s="1"/>
  <c r="F13" i="383"/>
  <c r="J13" i="383" s="1"/>
  <c r="M13" i="383" s="1"/>
  <c r="M12" i="383" s="1"/>
  <c r="F11" i="383"/>
  <c r="J11" i="383" s="1"/>
  <c r="M11" i="383" s="1"/>
  <c r="M10" i="383" s="1"/>
  <c r="F48" i="383" l="1"/>
  <c r="J48" i="383" s="1"/>
  <c r="M48" i="383" s="1"/>
  <c r="F50" i="383"/>
  <c r="H50" i="383" s="1"/>
  <c r="M50" i="383" s="1"/>
  <c r="H33" i="383"/>
  <c r="M33" i="383" s="1"/>
  <c r="M26" i="383" s="1"/>
  <c r="F51" i="383"/>
  <c r="H51" i="383" s="1"/>
  <c r="M51" i="383" s="1"/>
  <c r="M17" i="383"/>
  <c r="M35" i="383"/>
  <c r="F49" i="383"/>
  <c r="L49" i="383" s="1"/>
  <c r="M49" i="383" s="1"/>
  <c r="J20" i="383"/>
  <c r="M20" i="383" s="1"/>
  <c r="M19" i="383" s="1"/>
  <c r="F16" i="383"/>
  <c r="L16" i="383" s="1"/>
  <c r="H52" i="383" l="1"/>
  <c r="M53" i="383" s="1"/>
  <c r="M47" i="383"/>
  <c r="J52" i="383"/>
  <c r="L52" i="383"/>
  <c r="M16" i="383"/>
  <c r="M14" i="383" s="1"/>
  <c r="M52" i="383" l="1"/>
  <c r="M54" i="383" s="1"/>
  <c r="M55" i="383" s="1"/>
  <c r="M56" i="383" s="1"/>
  <c r="M57" i="383" l="1"/>
  <c r="M58" i="383" s="1"/>
  <c r="E17" i="369" s="1"/>
  <c r="B4" i="382" l="1"/>
  <c r="A1" i="382"/>
  <c r="B3" i="381"/>
  <c r="A1" i="381"/>
  <c r="B5" i="380"/>
  <c r="A1" i="380"/>
  <c r="A3" i="379"/>
  <c r="D2" i="379"/>
  <c r="A1" i="379"/>
  <c r="E59" i="382"/>
  <c r="F59" i="382" s="1"/>
  <c r="H59" i="382" s="1"/>
  <c r="M59" i="382" s="1"/>
  <c r="H58" i="382"/>
  <c r="M58" i="382" s="1"/>
  <c r="H57" i="382"/>
  <c r="M57" i="382" s="1"/>
  <c r="H56" i="382"/>
  <c r="M56" i="382" s="1"/>
  <c r="H55" i="382"/>
  <c r="M55" i="382" s="1"/>
  <c r="E54" i="382"/>
  <c r="F54" i="382" s="1"/>
  <c r="L54" i="382" s="1"/>
  <c r="M54" i="382" s="1"/>
  <c r="E53" i="382"/>
  <c r="F53" i="382" s="1"/>
  <c r="J53" i="382" s="1"/>
  <c r="M53" i="382" s="1"/>
  <c r="F50" i="382"/>
  <c r="H50" i="382" s="1"/>
  <c r="M50" i="382" s="1"/>
  <c r="H49" i="382"/>
  <c r="M49" i="382" s="1"/>
  <c r="H48" i="382"/>
  <c r="M48" i="382" s="1"/>
  <c r="E46" i="382"/>
  <c r="F45" i="382"/>
  <c r="F47" i="382" s="1"/>
  <c r="L47" i="382" s="1"/>
  <c r="M47" i="382" s="1"/>
  <c r="F44" i="382"/>
  <c r="H44" i="382" s="1"/>
  <c r="M44" i="382" s="1"/>
  <c r="F43" i="382"/>
  <c r="H43" i="382" s="1"/>
  <c r="M43" i="382" s="1"/>
  <c r="E42" i="382"/>
  <c r="F42" i="382" s="1"/>
  <c r="J42" i="382" s="1"/>
  <c r="M42" i="382" s="1"/>
  <c r="H40" i="382"/>
  <c r="M40" i="382" s="1"/>
  <c r="F40" i="382"/>
  <c r="H39" i="382"/>
  <c r="M39" i="382" s="1"/>
  <c r="F39" i="382"/>
  <c r="F38" i="382"/>
  <c r="L38" i="382" s="1"/>
  <c r="M38" i="382" s="1"/>
  <c r="F37" i="382"/>
  <c r="J37" i="382" s="1"/>
  <c r="M37" i="382" s="1"/>
  <c r="E35" i="382"/>
  <c r="F35" i="382" s="1"/>
  <c r="H35" i="382" s="1"/>
  <c r="M35" i="382" s="1"/>
  <c r="E34" i="382"/>
  <c r="F34" i="382" s="1"/>
  <c r="E33" i="382"/>
  <c r="F33" i="382" s="1"/>
  <c r="L33" i="382" s="1"/>
  <c r="M33" i="382" s="1"/>
  <c r="E32" i="382"/>
  <c r="F32" i="382" s="1"/>
  <c r="J32" i="382" s="1"/>
  <c r="M32" i="382" s="1"/>
  <c r="E30" i="382"/>
  <c r="F30" i="382" s="1"/>
  <c r="H30" i="382" s="1"/>
  <c r="M30" i="382" s="1"/>
  <c r="E29" i="382"/>
  <c r="F29" i="382" s="1"/>
  <c r="H29" i="382" s="1"/>
  <c r="M29" i="382" s="1"/>
  <c r="E28" i="382"/>
  <c r="F28" i="382" s="1"/>
  <c r="L28" i="382" s="1"/>
  <c r="M28" i="382" s="1"/>
  <c r="E27" i="382"/>
  <c r="F27" i="382" s="1"/>
  <c r="J27" i="382" s="1"/>
  <c r="M27" i="382" s="1"/>
  <c r="H25" i="382"/>
  <c r="M25" i="382" s="1"/>
  <c r="F25" i="382"/>
  <c r="H24" i="382"/>
  <c r="M24" i="382" s="1"/>
  <c r="F24" i="382"/>
  <c r="F23" i="382"/>
  <c r="L23" i="382" s="1"/>
  <c r="M23" i="382" s="1"/>
  <c r="F22" i="382"/>
  <c r="J22" i="382" s="1"/>
  <c r="M22" i="382" s="1"/>
  <c r="F20" i="382"/>
  <c r="H20" i="382" s="1"/>
  <c r="M20" i="382" s="1"/>
  <c r="F19" i="382"/>
  <c r="H19" i="382" s="1"/>
  <c r="M19" i="382" s="1"/>
  <c r="F18" i="382"/>
  <c r="L18" i="382" s="1"/>
  <c r="M18" i="382" s="1"/>
  <c r="J17" i="382"/>
  <c r="M17" i="382" s="1"/>
  <c r="F17" i="382"/>
  <c r="F15" i="382"/>
  <c r="H15" i="382" s="1"/>
  <c r="M15" i="382" s="1"/>
  <c r="F14" i="382"/>
  <c r="H14" i="382" s="1"/>
  <c r="F13" i="382"/>
  <c r="L13" i="382" s="1"/>
  <c r="F12" i="382"/>
  <c r="J12" i="382" s="1"/>
  <c r="M12" i="382" s="1"/>
  <c r="A3" i="382"/>
  <c r="D2" i="382"/>
  <c r="F92" i="381"/>
  <c r="H92" i="381" s="1"/>
  <c r="M92" i="381" s="1"/>
  <c r="F91" i="381"/>
  <c r="H91" i="381" s="1"/>
  <c r="M91" i="381" s="1"/>
  <c r="F90" i="381"/>
  <c r="L90" i="381" s="1"/>
  <c r="M90" i="381" s="1"/>
  <c r="F89" i="381"/>
  <c r="J89" i="381" s="1"/>
  <c r="M89" i="381" s="1"/>
  <c r="F81" i="381"/>
  <c r="L81" i="381" s="1"/>
  <c r="M81" i="381" s="1"/>
  <c r="F79" i="381"/>
  <c r="F83" i="381" s="1"/>
  <c r="H83" i="381" s="1"/>
  <c r="M83" i="381" s="1"/>
  <c r="F78" i="381"/>
  <c r="H78" i="381" s="1"/>
  <c r="M78" i="381" s="1"/>
  <c r="F77" i="381"/>
  <c r="H77" i="381" s="1"/>
  <c r="M77" i="381" s="1"/>
  <c r="F76" i="381"/>
  <c r="L76" i="381" s="1"/>
  <c r="M76" i="381" s="1"/>
  <c r="F75" i="381"/>
  <c r="J75" i="381" s="1"/>
  <c r="M75" i="381" s="1"/>
  <c r="F73" i="381"/>
  <c r="H73" i="381" s="1"/>
  <c r="M73" i="381" s="1"/>
  <c r="H72" i="381"/>
  <c r="M72" i="381" s="1"/>
  <c r="F72" i="381"/>
  <c r="F71" i="381"/>
  <c r="H71" i="381" s="1"/>
  <c r="M71" i="381" s="1"/>
  <c r="H70" i="381"/>
  <c r="M70" i="381" s="1"/>
  <c r="F70" i="381"/>
  <c r="F69" i="381"/>
  <c r="L69" i="381" s="1"/>
  <c r="M69" i="381" s="1"/>
  <c r="F68" i="381"/>
  <c r="J68" i="381" s="1"/>
  <c r="M68" i="381" s="1"/>
  <c r="E66" i="381"/>
  <c r="F65" i="381"/>
  <c r="H65" i="381" s="1"/>
  <c r="M65" i="381" s="1"/>
  <c r="F64" i="381"/>
  <c r="J64" i="381" s="1"/>
  <c r="M64" i="381" s="1"/>
  <c r="E64" i="381"/>
  <c r="F62" i="381"/>
  <c r="H62" i="381" s="1"/>
  <c r="M62" i="381" s="1"/>
  <c r="H61" i="381"/>
  <c r="M61" i="381" s="1"/>
  <c r="F61" i="381"/>
  <c r="F60" i="381"/>
  <c r="L60" i="381" s="1"/>
  <c r="M60" i="381" s="1"/>
  <c r="J59" i="381"/>
  <c r="M59" i="381" s="1"/>
  <c r="F59" i="381"/>
  <c r="H57" i="381"/>
  <c r="M57" i="381" s="1"/>
  <c r="H56" i="381"/>
  <c r="M56" i="381" s="1"/>
  <c r="H55" i="381"/>
  <c r="M55" i="381" s="1"/>
  <c r="F54" i="381"/>
  <c r="J54" i="381" s="1"/>
  <c r="M54" i="381" s="1"/>
  <c r="H52" i="381"/>
  <c r="M52" i="381" s="1"/>
  <c r="F52" i="381"/>
  <c r="F51" i="381"/>
  <c r="H51" i="381" s="1"/>
  <c r="M51" i="381" s="1"/>
  <c r="L50" i="381"/>
  <c r="M50" i="381" s="1"/>
  <c r="F50" i="381"/>
  <c r="F49" i="381"/>
  <c r="J49" i="381" s="1"/>
  <c r="M49" i="381" s="1"/>
  <c r="M47" i="381"/>
  <c r="F47" i="381"/>
  <c r="H47" i="381" s="1"/>
  <c r="F46" i="381"/>
  <c r="H46" i="381" s="1"/>
  <c r="M46" i="381" s="1"/>
  <c r="F45" i="381"/>
  <c r="L45" i="381" s="1"/>
  <c r="M45" i="381" s="1"/>
  <c r="F44" i="381"/>
  <c r="J44" i="381" s="1"/>
  <c r="M44" i="381" s="1"/>
  <c r="F42" i="381"/>
  <c r="H42" i="381" s="1"/>
  <c r="M42" i="381" s="1"/>
  <c r="F41" i="381"/>
  <c r="H41" i="381" s="1"/>
  <c r="M41" i="381" s="1"/>
  <c r="F40" i="381"/>
  <c r="H40" i="381" s="1"/>
  <c r="M40" i="381" s="1"/>
  <c r="M39" i="381"/>
  <c r="H39" i="381"/>
  <c r="H38" i="381"/>
  <c r="M38" i="381" s="1"/>
  <c r="H37" i="381"/>
  <c r="M37" i="381" s="1"/>
  <c r="H36" i="381"/>
  <c r="M36" i="381" s="1"/>
  <c r="F36" i="381"/>
  <c r="F35" i="381"/>
  <c r="H35" i="381" s="1"/>
  <c r="M35" i="381" s="1"/>
  <c r="F34" i="381"/>
  <c r="L34" i="381" s="1"/>
  <c r="M34" i="381" s="1"/>
  <c r="F33" i="381"/>
  <c r="J33" i="381" s="1"/>
  <c r="M33" i="381" s="1"/>
  <c r="F31" i="381"/>
  <c r="H31" i="381" s="1"/>
  <c r="M31" i="381" s="1"/>
  <c r="F30" i="381"/>
  <c r="H30" i="381" s="1"/>
  <c r="M30" i="381" s="1"/>
  <c r="F29" i="381"/>
  <c r="L29" i="381" s="1"/>
  <c r="M29" i="381" s="1"/>
  <c r="F28" i="381"/>
  <c r="J28" i="381" s="1"/>
  <c r="M28" i="381" s="1"/>
  <c r="F26" i="381"/>
  <c r="H26" i="381" s="1"/>
  <c r="M26" i="381" s="1"/>
  <c r="F25" i="381"/>
  <c r="H25" i="381" s="1"/>
  <c r="M25" i="381" s="1"/>
  <c r="H24" i="381"/>
  <c r="M24" i="381" s="1"/>
  <c r="H23" i="381"/>
  <c r="M23" i="381" s="1"/>
  <c r="F23" i="381"/>
  <c r="F22" i="381"/>
  <c r="H22" i="381" s="1"/>
  <c r="M22" i="381" s="1"/>
  <c r="F21" i="381"/>
  <c r="H21" i="381" s="1"/>
  <c r="M21" i="381" s="1"/>
  <c r="F20" i="381"/>
  <c r="H20" i="381" s="1"/>
  <c r="M20" i="381" s="1"/>
  <c r="H19" i="381"/>
  <c r="M19" i="381" s="1"/>
  <c r="H18" i="381"/>
  <c r="M18" i="381" s="1"/>
  <c r="F17" i="381"/>
  <c r="H17" i="381" s="1"/>
  <c r="M17" i="381" s="1"/>
  <c r="F16" i="381"/>
  <c r="H16" i="381" s="1"/>
  <c r="M16" i="381" s="1"/>
  <c r="F15" i="381"/>
  <c r="L15" i="381" s="1"/>
  <c r="M15" i="381" s="1"/>
  <c r="F14" i="381"/>
  <c r="J14" i="381" s="1"/>
  <c r="M14" i="381" s="1"/>
  <c r="F12" i="381"/>
  <c r="H12" i="381" s="1"/>
  <c r="M12" i="381" s="1"/>
  <c r="F11" i="381"/>
  <c r="H11" i="381" s="1"/>
  <c r="F10" i="381"/>
  <c r="L10" i="381" s="1"/>
  <c r="M10" i="381" s="1"/>
  <c r="F9" i="381"/>
  <c r="J9" i="381" s="1"/>
  <c r="D2" i="381"/>
  <c r="F216" i="380"/>
  <c r="H216" i="380" s="1"/>
  <c r="M216" i="380" s="1"/>
  <c r="F215" i="380"/>
  <c r="H215" i="380" s="1"/>
  <c r="M215" i="380" s="1"/>
  <c r="E214" i="380"/>
  <c r="F214" i="380" s="1"/>
  <c r="L214" i="380" s="1"/>
  <c r="M214" i="380" s="1"/>
  <c r="F213" i="380"/>
  <c r="J213" i="380" s="1"/>
  <c r="M213" i="380" s="1"/>
  <c r="F211" i="380"/>
  <c r="H211" i="380" s="1"/>
  <c r="M211" i="380" s="1"/>
  <c r="F210" i="380"/>
  <c r="H210" i="380" s="1"/>
  <c r="M210" i="380" s="1"/>
  <c r="F209" i="380"/>
  <c r="L209" i="380" s="1"/>
  <c r="M209" i="380" s="1"/>
  <c r="J208" i="380"/>
  <c r="M208" i="380" s="1"/>
  <c r="F208" i="380"/>
  <c r="E206" i="380"/>
  <c r="F206" i="380" s="1"/>
  <c r="H206" i="380" s="1"/>
  <c r="M206" i="380" s="1"/>
  <c r="F205" i="380"/>
  <c r="H205" i="380" s="1"/>
  <c r="M205" i="380" s="1"/>
  <c r="E204" i="380"/>
  <c r="F204" i="380" s="1"/>
  <c r="L204" i="380" s="1"/>
  <c r="M204" i="380" s="1"/>
  <c r="E203" i="380"/>
  <c r="F203" i="380" s="1"/>
  <c r="J203" i="380" s="1"/>
  <c r="M203" i="380" s="1"/>
  <c r="E201" i="380"/>
  <c r="F201" i="380" s="1"/>
  <c r="H201" i="380" s="1"/>
  <c r="M201" i="380" s="1"/>
  <c r="E200" i="380"/>
  <c r="F200" i="380" s="1"/>
  <c r="H200" i="380" s="1"/>
  <c r="M200" i="380" s="1"/>
  <c r="F199" i="380"/>
  <c r="H199" i="380" s="1"/>
  <c r="M199" i="380" s="1"/>
  <c r="E199" i="380"/>
  <c r="E198" i="380"/>
  <c r="F198" i="380" s="1"/>
  <c r="L198" i="380" s="1"/>
  <c r="M198" i="380" s="1"/>
  <c r="E197" i="380"/>
  <c r="F197" i="380" s="1"/>
  <c r="J197" i="380" s="1"/>
  <c r="M197" i="380" s="1"/>
  <c r="F194" i="380"/>
  <c r="H194" i="380" s="1"/>
  <c r="M194" i="380" s="1"/>
  <c r="F193" i="380"/>
  <c r="H193" i="380" s="1"/>
  <c r="M193" i="380" s="1"/>
  <c r="H192" i="380"/>
  <c r="M192" i="380" s="1"/>
  <c r="F192" i="380"/>
  <c r="F191" i="380"/>
  <c r="L191" i="380" s="1"/>
  <c r="M191" i="380" s="1"/>
  <c r="F190" i="380"/>
  <c r="J190" i="380" s="1"/>
  <c r="M190" i="380" s="1"/>
  <c r="F188" i="380"/>
  <c r="H188" i="380" s="1"/>
  <c r="M188" i="380" s="1"/>
  <c r="H187" i="380"/>
  <c r="M187" i="380" s="1"/>
  <c r="F186" i="380"/>
  <c r="L186" i="380" s="1"/>
  <c r="M186" i="380" s="1"/>
  <c r="F185" i="380"/>
  <c r="J185" i="380" s="1"/>
  <c r="M185" i="380" s="1"/>
  <c r="F183" i="380"/>
  <c r="H183" i="380" s="1"/>
  <c r="M183" i="380" s="1"/>
  <c r="F182" i="380"/>
  <c r="H182" i="380" s="1"/>
  <c r="M182" i="380" s="1"/>
  <c r="F181" i="380"/>
  <c r="L181" i="380" s="1"/>
  <c r="M181" i="380" s="1"/>
  <c r="F180" i="380"/>
  <c r="J180" i="380" s="1"/>
  <c r="M180" i="380" s="1"/>
  <c r="E178" i="380"/>
  <c r="H177" i="380"/>
  <c r="M177" i="380" s="1"/>
  <c r="H176" i="380"/>
  <c r="M176" i="380" s="1"/>
  <c r="H175" i="380"/>
  <c r="M175" i="380" s="1"/>
  <c r="E174" i="380"/>
  <c r="E173" i="380"/>
  <c r="F172" i="380"/>
  <c r="F173" i="380" s="1"/>
  <c r="J173" i="380" s="1"/>
  <c r="M173" i="380" s="1"/>
  <c r="H171" i="380"/>
  <c r="M171" i="380" s="1"/>
  <c r="F171" i="380"/>
  <c r="F170" i="380"/>
  <c r="H170" i="380" s="1"/>
  <c r="M170" i="380" s="1"/>
  <c r="H169" i="380"/>
  <c r="M169" i="380" s="1"/>
  <c r="F169" i="380"/>
  <c r="F168" i="380"/>
  <c r="L168" i="380" s="1"/>
  <c r="M168" i="380" s="1"/>
  <c r="J167" i="380"/>
  <c r="M167" i="380" s="1"/>
  <c r="F167" i="380"/>
  <c r="F165" i="380"/>
  <c r="H165" i="380" s="1"/>
  <c r="M165" i="380" s="1"/>
  <c r="F164" i="380"/>
  <c r="H164" i="380" s="1"/>
  <c r="M164" i="380" s="1"/>
  <c r="F163" i="380"/>
  <c r="L163" i="380" s="1"/>
  <c r="M163" i="380" s="1"/>
  <c r="F162" i="380"/>
  <c r="J162" i="380" s="1"/>
  <c r="M162" i="380" s="1"/>
  <c r="F160" i="380"/>
  <c r="H160" i="380" s="1"/>
  <c r="M160" i="380" s="1"/>
  <c r="F159" i="380"/>
  <c r="F158" i="380"/>
  <c r="H158" i="380" s="1"/>
  <c r="M158" i="380" s="1"/>
  <c r="F157" i="380"/>
  <c r="L157" i="380" s="1"/>
  <c r="M157" i="380" s="1"/>
  <c r="F156" i="380"/>
  <c r="J156" i="380" s="1"/>
  <c r="M156" i="380" s="1"/>
  <c r="F154" i="380"/>
  <c r="H154" i="380" s="1"/>
  <c r="M154" i="380" s="1"/>
  <c r="F153" i="380"/>
  <c r="F152" i="380"/>
  <c r="L152" i="380" s="1"/>
  <c r="F151" i="380"/>
  <c r="J151" i="380" s="1"/>
  <c r="F148" i="380"/>
  <c r="H148" i="380" s="1"/>
  <c r="M148" i="380" s="1"/>
  <c r="L147" i="380"/>
  <c r="M147" i="380" s="1"/>
  <c r="F147" i="380"/>
  <c r="H146" i="380"/>
  <c r="M146" i="380" s="1"/>
  <c r="F145" i="380"/>
  <c r="H145" i="380" s="1"/>
  <c r="M145" i="380" s="1"/>
  <c r="F144" i="380"/>
  <c r="J144" i="380" s="1"/>
  <c r="M144" i="380" s="1"/>
  <c r="F142" i="380"/>
  <c r="H142" i="380" s="1"/>
  <c r="M142" i="380" s="1"/>
  <c r="H141" i="380"/>
  <c r="M141" i="380" s="1"/>
  <c r="F141" i="380"/>
  <c r="F140" i="380"/>
  <c r="H140" i="380" s="1"/>
  <c r="M140" i="380" s="1"/>
  <c r="L139" i="380"/>
  <c r="M139" i="380" s="1"/>
  <c r="F139" i="380"/>
  <c r="F138" i="380"/>
  <c r="J138" i="380" s="1"/>
  <c r="M138" i="380" s="1"/>
  <c r="E136" i="380"/>
  <c r="F136" i="380" s="1"/>
  <c r="H136" i="380" s="1"/>
  <c r="M136" i="380" s="1"/>
  <c r="E135" i="380"/>
  <c r="F135" i="380" s="1"/>
  <c r="L135" i="380" s="1"/>
  <c r="M135" i="380" s="1"/>
  <c r="F134" i="380"/>
  <c r="H134" i="380" s="1"/>
  <c r="M134" i="380" s="1"/>
  <c r="F133" i="380"/>
  <c r="H133" i="380" s="1"/>
  <c r="M133" i="380" s="1"/>
  <c r="F132" i="380"/>
  <c r="H132" i="380" s="1"/>
  <c r="M132" i="380" s="1"/>
  <c r="H131" i="380"/>
  <c r="M131" i="380" s="1"/>
  <c r="M130" i="380"/>
  <c r="H130" i="380"/>
  <c r="H129" i="380"/>
  <c r="M129" i="380" s="1"/>
  <c r="E128" i="380"/>
  <c r="F128" i="380" s="1"/>
  <c r="J128" i="380" s="1"/>
  <c r="M128" i="380" s="1"/>
  <c r="H126" i="380"/>
  <c r="M126" i="380" s="1"/>
  <c r="F126" i="380"/>
  <c r="F125" i="380"/>
  <c r="L125" i="380" s="1"/>
  <c r="M125" i="380" s="1"/>
  <c r="F124" i="380"/>
  <c r="H124" i="380" s="1"/>
  <c r="M124" i="380" s="1"/>
  <c r="F123" i="380"/>
  <c r="J123" i="380" s="1"/>
  <c r="M123" i="380" s="1"/>
  <c r="E121" i="380"/>
  <c r="E120" i="380"/>
  <c r="E119" i="380"/>
  <c r="E118" i="380"/>
  <c r="E117" i="380"/>
  <c r="F116" i="380"/>
  <c r="F119" i="380" s="1"/>
  <c r="H119" i="380" s="1"/>
  <c r="M119" i="380" s="1"/>
  <c r="F115" i="380"/>
  <c r="H115" i="380" s="1"/>
  <c r="M115" i="380" s="1"/>
  <c r="F114" i="380"/>
  <c r="L114" i="380" s="1"/>
  <c r="M114" i="380" s="1"/>
  <c r="E113" i="380"/>
  <c r="F113" i="380" s="1"/>
  <c r="H113" i="380" s="1"/>
  <c r="M113" i="380" s="1"/>
  <c r="E112" i="380"/>
  <c r="F112" i="380" s="1"/>
  <c r="L112" i="380" s="1"/>
  <c r="M112" i="380" s="1"/>
  <c r="E111" i="380"/>
  <c r="F111" i="380" s="1"/>
  <c r="J111" i="380" s="1"/>
  <c r="M111" i="380" s="1"/>
  <c r="E109" i="380"/>
  <c r="E108" i="380"/>
  <c r="E107" i="380"/>
  <c r="E106" i="380"/>
  <c r="E105" i="380"/>
  <c r="F104" i="380"/>
  <c r="F107" i="380" s="1"/>
  <c r="H107" i="380" s="1"/>
  <c r="M107" i="380" s="1"/>
  <c r="E103" i="380"/>
  <c r="F103" i="380" s="1"/>
  <c r="H103" i="380" s="1"/>
  <c r="M103" i="380" s="1"/>
  <c r="E102" i="380"/>
  <c r="F102" i="380" s="1"/>
  <c r="L102" i="380" s="1"/>
  <c r="M102" i="380" s="1"/>
  <c r="E101" i="380"/>
  <c r="F101" i="380" s="1"/>
  <c r="H101" i="380" s="1"/>
  <c r="M101" i="380" s="1"/>
  <c r="E100" i="380"/>
  <c r="F100" i="380" s="1"/>
  <c r="L100" i="380" s="1"/>
  <c r="M100" i="380" s="1"/>
  <c r="E99" i="380"/>
  <c r="F99" i="380" s="1"/>
  <c r="J99" i="380" s="1"/>
  <c r="M99" i="380" s="1"/>
  <c r="E97" i="380"/>
  <c r="E96" i="380"/>
  <c r="F96" i="380" s="1"/>
  <c r="H96" i="380" s="1"/>
  <c r="M96" i="380" s="1"/>
  <c r="E95" i="380"/>
  <c r="F94" i="380"/>
  <c r="F93" i="380"/>
  <c r="J93" i="380" s="1"/>
  <c r="M93" i="380" s="1"/>
  <c r="F92" i="380"/>
  <c r="E91" i="380"/>
  <c r="F91" i="380" s="1"/>
  <c r="H91" i="380" s="1"/>
  <c r="M91" i="380" s="1"/>
  <c r="F90" i="380"/>
  <c r="H90" i="380" s="1"/>
  <c r="M90" i="380" s="1"/>
  <c r="H89" i="380"/>
  <c r="M89" i="380" s="1"/>
  <c r="E88" i="380"/>
  <c r="F88" i="380" s="1"/>
  <c r="H88" i="380" s="1"/>
  <c r="M88" i="380" s="1"/>
  <c r="E87" i="380"/>
  <c r="F87" i="380" s="1"/>
  <c r="L87" i="380" s="1"/>
  <c r="M87" i="380" s="1"/>
  <c r="F86" i="380"/>
  <c r="J86" i="380" s="1"/>
  <c r="M86" i="380" s="1"/>
  <c r="E84" i="380"/>
  <c r="E83" i="380"/>
  <c r="E82" i="380"/>
  <c r="E81" i="380"/>
  <c r="E80" i="380"/>
  <c r="F79" i="380"/>
  <c r="F83" i="380" s="1"/>
  <c r="L83" i="380" s="1"/>
  <c r="M83" i="380" s="1"/>
  <c r="E78" i="380"/>
  <c r="F78" i="380" s="1"/>
  <c r="H78" i="380" s="1"/>
  <c r="M78" i="380" s="1"/>
  <c r="E77" i="380"/>
  <c r="F77" i="380" s="1"/>
  <c r="L77" i="380" s="1"/>
  <c r="M77" i="380" s="1"/>
  <c r="H76" i="380"/>
  <c r="M76" i="380" s="1"/>
  <c r="E76" i="380"/>
  <c r="F76" i="380" s="1"/>
  <c r="E75" i="380"/>
  <c r="F75" i="380" s="1"/>
  <c r="L75" i="380" s="1"/>
  <c r="M75" i="380" s="1"/>
  <c r="E74" i="380"/>
  <c r="F74" i="380" s="1"/>
  <c r="J74" i="380" s="1"/>
  <c r="M74" i="380" s="1"/>
  <c r="E72" i="380"/>
  <c r="F72" i="380" s="1"/>
  <c r="H72" i="380" s="1"/>
  <c r="M72" i="380" s="1"/>
  <c r="E71" i="380"/>
  <c r="F71" i="380" s="1"/>
  <c r="H71" i="380" s="1"/>
  <c r="M71" i="380" s="1"/>
  <c r="H70" i="380"/>
  <c r="M70" i="380" s="1"/>
  <c r="F70" i="380"/>
  <c r="E69" i="380"/>
  <c r="F69" i="380" s="1"/>
  <c r="L69" i="380" s="1"/>
  <c r="M69" i="380" s="1"/>
  <c r="E68" i="380"/>
  <c r="F68" i="380" s="1"/>
  <c r="J68" i="380" s="1"/>
  <c r="M68" i="380" s="1"/>
  <c r="H65" i="380"/>
  <c r="M65" i="380" s="1"/>
  <c r="F65" i="380"/>
  <c r="F64" i="380"/>
  <c r="L64" i="380" s="1"/>
  <c r="M64" i="380" s="1"/>
  <c r="F63" i="380"/>
  <c r="H63" i="380" s="1"/>
  <c r="M63" i="380" s="1"/>
  <c r="H62" i="380"/>
  <c r="M62" i="380" s="1"/>
  <c r="F62" i="380"/>
  <c r="F61" i="380"/>
  <c r="H61" i="380" s="1"/>
  <c r="M61" i="380" s="1"/>
  <c r="H60" i="380"/>
  <c r="M60" i="380" s="1"/>
  <c r="F59" i="380"/>
  <c r="H59" i="380" s="1"/>
  <c r="M59" i="380" s="1"/>
  <c r="F58" i="380"/>
  <c r="J58" i="380" s="1"/>
  <c r="M58" i="380" s="1"/>
  <c r="E56" i="380"/>
  <c r="F56" i="380" s="1"/>
  <c r="H56" i="380" s="1"/>
  <c r="M56" i="380" s="1"/>
  <c r="E55" i="380"/>
  <c r="F55" i="380" s="1"/>
  <c r="H55" i="380" s="1"/>
  <c r="M55" i="380" s="1"/>
  <c r="H54" i="380"/>
  <c r="M54" i="380" s="1"/>
  <c r="E53" i="380"/>
  <c r="F53" i="380" s="1"/>
  <c r="L53" i="380" s="1"/>
  <c r="M53" i="380" s="1"/>
  <c r="E52" i="380"/>
  <c r="F52" i="380" s="1"/>
  <c r="J52" i="380" s="1"/>
  <c r="M52" i="380" s="1"/>
  <c r="E50" i="380"/>
  <c r="F50" i="380" s="1"/>
  <c r="H50" i="380" s="1"/>
  <c r="M50" i="380" s="1"/>
  <c r="H49" i="380"/>
  <c r="M49" i="380" s="1"/>
  <c r="F49" i="380"/>
  <c r="E48" i="380"/>
  <c r="F48" i="380" s="1"/>
  <c r="H48" i="380" s="1"/>
  <c r="M48" i="380" s="1"/>
  <c r="E47" i="380"/>
  <c r="F47" i="380" s="1"/>
  <c r="H47" i="380" s="1"/>
  <c r="M47" i="380" s="1"/>
  <c r="H46" i="380"/>
  <c r="M46" i="380" s="1"/>
  <c r="E45" i="380"/>
  <c r="F45" i="380" s="1"/>
  <c r="H45" i="380" s="1"/>
  <c r="M45" i="380" s="1"/>
  <c r="E44" i="380"/>
  <c r="F44" i="380" s="1"/>
  <c r="L44" i="380" s="1"/>
  <c r="M44" i="380" s="1"/>
  <c r="E43" i="380"/>
  <c r="F43" i="380" s="1"/>
  <c r="J43" i="380" s="1"/>
  <c r="M43" i="380" s="1"/>
  <c r="F41" i="380"/>
  <c r="H41" i="380" s="1"/>
  <c r="M41" i="380" s="1"/>
  <c r="E41" i="380"/>
  <c r="F40" i="380"/>
  <c r="H40" i="380" s="1"/>
  <c r="M40" i="380" s="1"/>
  <c r="F39" i="380"/>
  <c r="H39" i="380" s="1"/>
  <c r="M39" i="380" s="1"/>
  <c r="E39" i="380"/>
  <c r="E38" i="380"/>
  <c r="F38" i="380" s="1"/>
  <c r="H38" i="380" s="1"/>
  <c r="M38" i="380" s="1"/>
  <c r="H37" i="380"/>
  <c r="M37" i="380" s="1"/>
  <c r="E36" i="380"/>
  <c r="F36" i="380" s="1"/>
  <c r="H36" i="380" s="1"/>
  <c r="M36" i="380" s="1"/>
  <c r="E35" i="380"/>
  <c r="F35" i="380" s="1"/>
  <c r="L35" i="380" s="1"/>
  <c r="M35" i="380" s="1"/>
  <c r="E34" i="380"/>
  <c r="F34" i="380" s="1"/>
  <c r="J34" i="380" s="1"/>
  <c r="M34" i="380" s="1"/>
  <c r="F32" i="380"/>
  <c r="H32" i="380" s="1"/>
  <c r="M32" i="380" s="1"/>
  <c r="E32" i="380"/>
  <c r="E31" i="380"/>
  <c r="F31" i="380" s="1"/>
  <c r="H31" i="380" s="1"/>
  <c r="M31" i="380" s="1"/>
  <c r="L30" i="380"/>
  <c r="M30" i="380" s="1"/>
  <c r="E30" i="380"/>
  <c r="F30" i="380" s="1"/>
  <c r="E29" i="380"/>
  <c r="F29" i="380" s="1"/>
  <c r="J29" i="380" s="1"/>
  <c r="M29" i="380" s="1"/>
  <c r="F27" i="380"/>
  <c r="H27" i="380" s="1"/>
  <c r="M27" i="380" s="1"/>
  <c r="H26" i="380"/>
  <c r="F26" i="380"/>
  <c r="F25" i="380"/>
  <c r="L25" i="380" s="1"/>
  <c r="M25" i="380" s="1"/>
  <c r="J24" i="380"/>
  <c r="M24" i="380" s="1"/>
  <c r="F24" i="380"/>
  <c r="E20" i="380"/>
  <c r="E19" i="380"/>
  <c r="F19" i="380" s="1"/>
  <c r="L19" i="380" s="1"/>
  <c r="M19" i="380" s="1"/>
  <c r="F18" i="380"/>
  <c r="J18" i="380" s="1"/>
  <c r="M18" i="380" s="1"/>
  <c r="F17" i="380"/>
  <c r="F21" i="380" s="1"/>
  <c r="F22" i="380" s="1"/>
  <c r="L22" i="380" s="1"/>
  <c r="M22" i="380" s="1"/>
  <c r="M21" i="380" s="1"/>
  <c r="F16" i="380"/>
  <c r="L16" i="380" s="1"/>
  <c r="M16" i="380" s="1"/>
  <c r="E16" i="380"/>
  <c r="E15" i="380"/>
  <c r="F15" i="380" s="1"/>
  <c r="J15" i="380" s="1"/>
  <c r="M15" i="380" s="1"/>
  <c r="E13" i="380"/>
  <c r="F13" i="380" s="1"/>
  <c r="L13" i="380" s="1"/>
  <c r="M13" i="380" s="1"/>
  <c r="F12" i="380"/>
  <c r="J12" i="380" s="1"/>
  <c r="E12" i="380"/>
  <c r="A3" i="380"/>
  <c r="D2" i="380"/>
  <c r="B5" i="375"/>
  <c r="F2" i="375"/>
  <c r="B1" i="375"/>
  <c r="B3" i="375"/>
  <c r="E176" i="377"/>
  <c r="F175" i="377"/>
  <c r="F174" i="377"/>
  <c r="L174" i="377" s="1"/>
  <c r="M174" i="377" s="1"/>
  <c r="M173" i="377" s="1"/>
  <c r="J172" i="377"/>
  <c r="M172" i="377" s="1"/>
  <c r="M171" i="377" s="1"/>
  <c r="F172" i="377"/>
  <c r="F170" i="377"/>
  <c r="H170" i="377" s="1"/>
  <c r="M170" i="377" s="1"/>
  <c r="F169" i="377"/>
  <c r="H169" i="377" s="1"/>
  <c r="M169" i="377" s="1"/>
  <c r="F168" i="377"/>
  <c r="H168" i="377" s="1"/>
  <c r="M168" i="377" s="1"/>
  <c r="F167" i="377"/>
  <c r="L167" i="377" s="1"/>
  <c r="M167" i="377" s="1"/>
  <c r="F166" i="377"/>
  <c r="J166" i="377" s="1"/>
  <c r="M166" i="377" s="1"/>
  <c r="H164" i="377"/>
  <c r="M164" i="377" s="1"/>
  <c r="F164" i="377"/>
  <c r="F163" i="377"/>
  <c r="H163" i="377" s="1"/>
  <c r="M163" i="377" s="1"/>
  <c r="F162" i="377"/>
  <c r="L162" i="377" s="1"/>
  <c r="M162" i="377" s="1"/>
  <c r="F161" i="377"/>
  <c r="J161" i="377" s="1"/>
  <c r="M161" i="377" s="1"/>
  <c r="E159" i="377"/>
  <c r="F159" i="377" s="1"/>
  <c r="H159" i="377" s="1"/>
  <c r="M159" i="377" s="1"/>
  <c r="E158" i="377"/>
  <c r="F158" i="377" s="1"/>
  <c r="H158" i="377" s="1"/>
  <c r="M158" i="377" s="1"/>
  <c r="E157" i="377"/>
  <c r="F157" i="377" s="1"/>
  <c r="L157" i="377" s="1"/>
  <c r="M157" i="377" s="1"/>
  <c r="E156" i="377"/>
  <c r="F156" i="377" s="1"/>
  <c r="J156" i="377" s="1"/>
  <c r="M156" i="377" s="1"/>
  <c r="E154" i="377"/>
  <c r="F154" i="377" s="1"/>
  <c r="H154" i="377" s="1"/>
  <c r="M154" i="377" s="1"/>
  <c r="E153" i="377"/>
  <c r="F153" i="377" s="1"/>
  <c r="L153" i="377" s="1"/>
  <c r="M153" i="377" s="1"/>
  <c r="E152" i="377"/>
  <c r="F152" i="377" s="1"/>
  <c r="J152" i="377" s="1"/>
  <c r="M152" i="377" s="1"/>
  <c r="F150" i="377"/>
  <c r="J150" i="377" s="1"/>
  <c r="M150" i="377" s="1"/>
  <c r="M149" i="377" s="1"/>
  <c r="H148" i="377"/>
  <c r="M148" i="377" s="1"/>
  <c r="F147" i="377"/>
  <c r="J147" i="377" s="1"/>
  <c r="M147" i="377" s="1"/>
  <c r="E145" i="377"/>
  <c r="F145" i="377" s="1"/>
  <c r="H145" i="377" s="1"/>
  <c r="M145" i="377" s="1"/>
  <c r="E144" i="377"/>
  <c r="F144" i="377" s="1"/>
  <c r="H144" i="377" s="1"/>
  <c r="M144" i="377" s="1"/>
  <c r="E143" i="377"/>
  <c r="F143" i="377" s="1"/>
  <c r="L143" i="377" s="1"/>
  <c r="M143" i="377" s="1"/>
  <c r="F142" i="377"/>
  <c r="J142" i="377" s="1"/>
  <c r="M142" i="377" s="1"/>
  <c r="E142" i="377"/>
  <c r="F140" i="377"/>
  <c r="H140" i="377" s="1"/>
  <c r="M140" i="377" s="1"/>
  <c r="F139" i="377"/>
  <c r="H139" i="377" s="1"/>
  <c r="M139" i="377" s="1"/>
  <c r="F138" i="377"/>
  <c r="J138" i="377" s="1"/>
  <c r="M138" i="377" s="1"/>
  <c r="H136" i="377"/>
  <c r="M136" i="377" s="1"/>
  <c r="L135" i="377"/>
  <c r="M135" i="377" s="1"/>
  <c r="F135" i="377"/>
  <c r="F134" i="377"/>
  <c r="J134" i="377" s="1"/>
  <c r="M134" i="377" s="1"/>
  <c r="E132" i="377"/>
  <c r="F132" i="377" s="1"/>
  <c r="H132" i="377" s="1"/>
  <c r="M132" i="377" s="1"/>
  <c r="E131" i="377"/>
  <c r="F131" i="377" s="1"/>
  <c r="L131" i="377" s="1"/>
  <c r="M131" i="377" s="1"/>
  <c r="E130" i="377"/>
  <c r="F130" i="377" s="1"/>
  <c r="J130" i="377" s="1"/>
  <c r="M130" i="377" s="1"/>
  <c r="H128" i="377"/>
  <c r="M128" i="377" s="1"/>
  <c r="F128" i="377"/>
  <c r="F127" i="377"/>
  <c r="H127" i="377" s="1"/>
  <c r="M127" i="377" s="1"/>
  <c r="H126" i="377"/>
  <c r="M126" i="377" s="1"/>
  <c r="F126" i="377"/>
  <c r="F125" i="377"/>
  <c r="L125" i="377" s="1"/>
  <c r="M125" i="377" s="1"/>
  <c r="F124" i="377"/>
  <c r="J124" i="377" s="1"/>
  <c r="M124" i="377" s="1"/>
  <c r="E122" i="377"/>
  <c r="F122" i="377" s="1"/>
  <c r="H122" i="377" s="1"/>
  <c r="M122" i="377" s="1"/>
  <c r="F121" i="377"/>
  <c r="H121" i="377" s="1"/>
  <c r="M121" i="377" s="1"/>
  <c r="E120" i="377"/>
  <c r="F120" i="377" s="1"/>
  <c r="J120" i="377" s="1"/>
  <c r="M120" i="377" s="1"/>
  <c r="H118" i="377"/>
  <c r="M118" i="377" s="1"/>
  <c r="F118" i="377"/>
  <c r="F117" i="377"/>
  <c r="H117" i="377" s="1"/>
  <c r="M117" i="377" s="1"/>
  <c r="H116" i="377"/>
  <c r="M116" i="377" s="1"/>
  <c r="E116" i="377"/>
  <c r="F116" i="377" s="1"/>
  <c r="E115" i="377"/>
  <c r="F115" i="377" s="1"/>
  <c r="H115" i="377" s="1"/>
  <c r="M115" i="377" s="1"/>
  <c r="F114" i="377"/>
  <c r="H114" i="377" s="1"/>
  <c r="M114" i="377" s="1"/>
  <c r="H113" i="377"/>
  <c r="M113" i="377" s="1"/>
  <c r="F113" i="377"/>
  <c r="F112" i="377"/>
  <c r="L112" i="377" s="1"/>
  <c r="M112" i="377" s="1"/>
  <c r="F111" i="377"/>
  <c r="J111" i="377" s="1"/>
  <c r="M111" i="377" s="1"/>
  <c r="F101" i="377"/>
  <c r="F108" i="377" s="1"/>
  <c r="H108" i="377" s="1"/>
  <c r="M108" i="377" s="1"/>
  <c r="F100" i="377"/>
  <c r="H100" i="377" s="1"/>
  <c r="M100" i="377" s="1"/>
  <c r="H99" i="377"/>
  <c r="M99" i="377" s="1"/>
  <c r="F99" i="377"/>
  <c r="L98" i="377"/>
  <c r="M98" i="377" s="1"/>
  <c r="F98" i="377"/>
  <c r="J97" i="377"/>
  <c r="M97" i="377" s="1"/>
  <c r="F97" i="377"/>
  <c r="H95" i="377"/>
  <c r="M95" i="377" s="1"/>
  <c r="F95" i="377"/>
  <c r="M94" i="377"/>
  <c r="F94" i="377"/>
  <c r="H94" i="377" s="1"/>
  <c r="H93" i="377"/>
  <c r="M93" i="377" s="1"/>
  <c r="F93" i="377"/>
  <c r="F92" i="377"/>
  <c r="H92" i="377" s="1"/>
  <c r="M92" i="377" s="1"/>
  <c r="F91" i="377"/>
  <c r="H91" i="377" s="1"/>
  <c r="F90" i="377"/>
  <c r="L90" i="377" s="1"/>
  <c r="M90" i="377" s="1"/>
  <c r="F89" i="377"/>
  <c r="J89" i="377" s="1"/>
  <c r="M89" i="377" s="1"/>
  <c r="F87" i="377"/>
  <c r="H87" i="377" s="1"/>
  <c r="M87" i="377" s="1"/>
  <c r="L86" i="377"/>
  <c r="M86" i="377" s="1"/>
  <c r="F86" i="377"/>
  <c r="F85" i="377"/>
  <c r="J85" i="377" s="1"/>
  <c r="M85" i="377" s="1"/>
  <c r="F83" i="377"/>
  <c r="H83" i="377" s="1"/>
  <c r="M83" i="377" s="1"/>
  <c r="F82" i="377"/>
  <c r="H82" i="377" s="1"/>
  <c r="M82" i="377" s="1"/>
  <c r="M81" i="377"/>
  <c r="H81" i="377"/>
  <c r="F81" i="377"/>
  <c r="F80" i="377"/>
  <c r="L80" i="377" s="1"/>
  <c r="M80" i="377" s="1"/>
  <c r="F79" i="377"/>
  <c r="J79" i="377" s="1"/>
  <c r="M79" i="377" s="1"/>
  <c r="F77" i="377"/>
  <c r="H77" i="377" s="1"/>
  <c r="M77" i="377" s="1"/>
  <c r="F76" i="377"/>
  <c r="H76" i="377" s="1"/>
  <c r="M76" i="377" s="1"/>
  <c r="F75" i="377"/>
  <c r="H75" i="377" s="1"/>
  <c r="M75" i="377" s="1"/>
  <c r="F74" i="377"/>
  <c r="L74" i="377" s="1"/>
  <c r="M74" i="377" s="1"/>
  <c r="F73" i="377"/>
  <c r="J73" i="377" s="1"/>
  <c r="M73" i="377" s="1"/>
  <c r="H71" i="377"/>
  <c r="M71" i="377" s="1"/>
  <c r="H70" i="377"/>
  <c r="M70" i="377" s="1"/>
  <c r="F69" i="377"/>
  <c r="H69" i="377" s="1"/>
  <c r="M69" i="377" s="1"/>
  <c r="F68" i="377"/>
  <c r="H68" i="377" s="1"/>
  <c r="M68" i="377" s="1"/>
  <c r="E67" i="377"/>
  <c r="F67" i="377" s="1"/>
  <c r="H67" i="377" s="1"/>
  <c r="M67" i="377" s="1"/>
  <c r="E66" i="377"/>
  <c r="F66" i="377" s="1"/>
  <c r="H66" i="377" s="1"/>
  <c r="M66" i="377" s="1"/>
  <c r="F65" i="377"/>
  <c r="H65" i="377" s="1"/>
  <c r="M65" i="377" s="1"/>
  <c r="L64" i="377"/>
  <c r="M64" i="377" s="1"/>
  <c r="F64" i="377"/>
  <c r="F63" i="377"/>
  <c r="J63" i="377" s="1"/>
  <c r="M63" i="377" s="1"/>
  <c r="H61" i="377"/>
  <c r="M61" i="377" s="1"/>
  <c r="H60" i="377"/>
  <c r="M60" i="377" s="1"/>
  <c r="F59" i="377"/>
  <c r="H59" i="377" s="1"/>
  <c r="M59" i="377" s="1"/>
  <c r="F58" i="377"/>
  <c r="H58" i="377" s="1"/>
  <c r="M58" i="377" s="1"/>
  <c r="F57" i="377"/>
  <c r="H57" i="377" s="1"/>
  <c r="M57" i="377" s="1"/>
  <c r="E57" i="377"/>
  <c r="E56" i="377"/>
  <c r="F56" i="377" s="1"/>
  <c r="H56" i="377" s="1"/>
  <c r="M56" i="377" s="1"/>
  <c r="F55" i="377"/>
  <c r="H55" i="377" s="1"/>
  <c r="M55" i="377" s="1"/>
  <c r="H54" i="377"/>
  <c r="M54" i="377" s="1"/>
  <c r="F54" i="377"/>
  <c r="F53" i="377"/>
  <c r="L53" i="377" s="1"/>
  <c r="M53" i="377" s="1"/>
  <c r="F52" i="377"/>
  <c r="J52" i="377" s="1"/>
  <c r="M52" i="377" s="1"/>
  <c r="F50" i="377"/>
  <c r="H50" i="377" s="1"/>
  <c r="M50" i="377" s="1"/>
  <c r="H49" i="377"/>
  <c r="M49" i="377" s="1"/>
  <c r="F48" i="377"/>
  <c r="L48" i="377" s="1"/>
  <c r="M48" i="377" s="1"/>
  <c r="J47" i="377"/>
  <c r="M47" i="377" s="1"/>
  <c r="F47" i="377"/>
  <c r="H45" i="377"/>
  <c r="M45" i="377" s="1"/>
  <c r="H44" i="377"/>
  <c r="M44" i="377" s="1"/>
  <c r="H43" i="377"/>
  <c r="M43" i="377" s="1"/>
  <c r="F43" i="377"/>
  <c r="H42" i="377"/>
  <c r="M42" i="377" s="1"/>
  <c r="F42" i="377"/>
  <c r="F41" i="377"/>
  <c r="H41" i="377" s="1"/>
  <c r="M41" i="377" s="1"/>
  <c r="F40" i="377"/>
  <c r="H40" i="377" s="1"/>
  <c r="M40" i="377" s="1"/>
  <c r="H39" i="377"/>
  <c r="M39" i="377" s="1"/>
  <c r="F39" i="377"/>
  <c r="F38" i="377"/>
  <c r="H38" i="377" s="1"/>
  <c r="M38" i="377" s="1"/>
  <c r="F37" i="377"/>
  <c r="L37" i="377" s="1"/>
  <c r="M37" i="377" s="1"/>
  <c r="J36" i="377"/>
  <c r="M36" i="377" s="1"/>
  <c r="F36" i="377"/>
  <c r="H34" i="377"/>
  <c r="M34" i="377" s="1"/>
  <c r="H33" i="377"/>
  <c r="M33" i="377" s="1"/>
  <c r="F32" i="377"/>
  <c r="H32" i="377" s="1"/>
  <c r="M32" i="377" s="1"/>
  <c r="F31" i="377"/>
  <c r="H31" i="377" s="1"/>
  <c r="M31" i="377" s="1"/>
  <c r="E30" i="377"/>
  <c r="F30" i="377" s="1"/>
  <c r="H30" i="377" s="1"/>
  <c r="M30" i="377" s="1"/>
  <c r="E29" i="377"/>
  <c r="F29" i="377" s="1"/>
  <c r="H29" i="377" s="1"/>
  <c r="M29" i="377" s="1"/>
  <c r="F28" i="377"/>
  <c r="H28" i="377" s="1"/>
  <c r="M28" i="377" s="1"/>
  <c r="L27" i="377"/>
  <c r="M27" i="377" s="1"/>
  <c r="F27" i="377"/>
  <c r="M26" i="377"/>
  <c r="F26" i="377"/>
  <c r="J26" i="377" s="1"/>
  <c r="H24" i="377"/>
  <c r="M24" i="377" s="1"/>
  <c r="H23" i="377"/>
  <c r="M23" i="377" s="1"/>
  <c r="F22" i="377"/>
  <c r="H22" i="377" s="1"/>
  <c r="M22" i="377" s="1"/>
  <c r="F21" i="377"/>
  <c r="H21" i="377" s="1"/>
  <c r="M21" i="377" s="1"/>
  <c r="F20" i="377"/>
  <c r="H20" i="377" s="1"/>
  <c r="M20" i="377" s="1"/>
  <c r="E20" i="377"/>
  <c r="E19" i="377"/>
  <c r="F19" i="377" s="1"/>
  <c r="H19" i="377" s="1"/>
  <c r="M19" i="377" s="1"/>
  <c r="F18" i="377"/>
  <c r="H18" i="377" s="1"/>
  <c r="M18" i="377" s="1"/>
  <c r="F17" i="377"/>
  <c r="L17" i="377" s="1"/>
  <c r="M17" i="377" s="1"/>
  <c r="F16" i="377"/>
  <c r="J16" i="377" s="1"/>
  <c r="M16" i="377" s="1"/>
  <c r="F14" i="377"/>
  <c r="H14" i="377" s="1"/>
  <c r="M14" i="377" s="1"/>
  <c r="F13" i="377"/>
  <c r="H13" i="377" s="1"/>
  <c r="J12" i="377"/>
  <c r="F12" i="377"/>
  <c r="B5" i="377"/>
  <c r="A3" i="377"/>
  <c r="E61" i="376"/>
  <c r="F61" i="376" s="1"/>
  <c r="L61" i="376" s="1"/>
  <c r="M61" i="376" s="1"/>
  <c r="M60" i="376" s="1"/>
  <c r="F59" i="376"/>
  <c r="H59" i="376" s="1"/>
  <c r="M59" i="376" s="1"/>
  <c r="E59" i="376"/>
  <c r="E58" i="376"/>
  <c r="F58" i="376" s="1"/>
  <c r="H58" i="376" s="1"/>
  <c r="M58" i="376" s="1"/>
  <c r="E57" i="376"/>
  <c r="F57" i="376" s="1"/>
  <c r="H57" i="376" s="1"/>
  <c r="M57" i="376" s="1"/>
  <c r="L56" i="376"/>
  <c r="M56" i="376" s="1"/>
  <c r="E56" i="376"/>
  <c r="F56" i="376" s="1"/>
  <c r="E55" i="376"/>
  <c r="F55" i="376" s="1"/>
  <c r="L55" i="376" s="1"/>
  <c r="M55" i="376" s="1"/>
  <c r="E54" i="376"/>
  <c r="F54" i="376" s="1"/>
  <c r="L54" i="376" s="1"/>
  <c r="M54" i="376" s="1"/>
  <c r="E53" i="376"/>
  <c r="F53" i="376" s="1"/>
  <c r="L53" i="376" s="1"/>
  <c r="M53" i="376" s="1"/>
  <c r="F52" i="376"/>
  <c r="L52" i="376" s="1"/>
  <c r="M52" i="376" s="1"/>
  <c r="E52" i="376"/>
  <c r="L51" i="376"/>
  <c r="M51" i="376" s="1"/>
  <c r="E51" i="376"/>
  <c r="F51" i="376" s="1"/>
  <c r="J50" i="376"/>
  <c r="M50" i="376" s="1"/>
  <c r="E50" i="376"/>
  <c r="F50" i="376" s="1"/>
  <c r="E47" i="376"/>
  <c r="E46" i="376"/>
  <c r="F45" i="376"/>
  <c r="E44" i="376"/>
  <c r="F44" i="376" s="1"/>
  <c r="L44" i="376" s="1"/>
  <c r="M44" i="376" s="1"/>
  <c r="E43" i="376"/>
  <c r="F43" i="376" s="1"/>
  <c r="J43" i="376" s="1"/>
  <c r="M43" i="376" s="1"/>
  <c r="F41" i="376"/>
  <c r="L41" i="376" s="1"/>
  <c r="M41" i="376" s="1"/>
  <c r="M40" i="376" s="1"/>
  <c r="F40" i="376"/>
  <c r="F39" i="376"/>
  <c r="H39" i="376" s="1"/>
  <c r="M39" i="376" s="1"/>
  <c r="E39" i="376"/>
  <c r="E38" i="376"/>
  <c r="F38" i="376" s="1"/>
  <c r="L38" i="376" s="1"/>
  <c r="M38" i="376" s="1"/>
  <c r="E37" i="376"/>
  <c r="F37" i="376" s="1"/>
  <c r="L37" i="376" s="1"/>
  <c r="M37" i="376" s="1"/>
  <c r="F36" i="376"/>
  <c r="J36" i="376" s="1"/>
  <c r="M36" i="376" s="1"/>
  <c r="E36" i="376"/>
  <c r="F34" i="376"/>
  <c r="E34" i="376"/>
  <c r="E33" i="376"/>
  <c r="F33" i="376" s="1"/>
  <c r="J33" i="376" s="1"/>
  <c r="M33" i="376" s="1"/>
  <c r="F32" i="376"/>
  <c r="E31" i="376"/>
  <c r="F31" i="376" s="1"/>
  <c r="L31" i="376" s="1"/>
  <c r="M31" i="376" s="1"/>
  <c r="F30" i="376"/>
  <c r="H30" i="376" s="1"/>
  <c r="M30" i="376" s="1"/>
  <c r="F28" i="376"/>
  <c r="L28" i="376" s="1"/>
  <c r="M28" i="376" s="1"/>
  <c r="E28" i="376"/>
  <c r="E27" i="376"/>
  <c r="F27" i="376" s="1"/>
  <c r="J27" i="376" s="1"/>
  <c r="M27" i="376" s="1"/>
  <c r="E25" i="376"/>
  <c r="E24" i="376"/>
  <c r="F23" i="376"/>
  <c r="F22" i="376"/>
  <c r="L22" i="376" s="1"/>
  <c r="M22" i="376" s="1"/>
  <c r="M21" i="376" s="1"/>
  <c r="E22" i="376"/>
  <c r="J20" i="376"/>
  <c r="M20" i="376" s="1"/>
  <c r="M19" i="376" s="1"/>
  <c r="F20" i="376"/>
  <c r="F18" i="376"/>
  <c r="H18" i="376" s="1"/>
  <c r="F17" i="376"/>
  <c r="J17" i="376" s="1"/>
  <c r="M17" i="376" s="1"/>
  <c r="F15" i="376"/>
  <c r="J15" i="376" s="1"/>
  <c r="M15" i="376" s="1"/>
  <c r="M14" i="376" s="1"/>
  <c r="E15" i="376"/>
  <c r="E13" i="376"/>
  <c r="F13" i="376" s="1"/>
  <c r="L13" i="376" s="1"/>
  <c r="E12" i="376"/>
  <c r="F12" i="376" s="1"/>
  <c r="J12" i="376" s="1"/>
  <c r="A3" i="376"/>
  <c r="G2" i="376"/>
  <c r="A1" i="376"/>
  <c r="B5" i="376"/>
  <c r="M88" i="381" l="1"/>
  <c r="M74" i="381"/>
  <c r="M143" i="380"/>
  <c r="M73" i="380"/>
  <c r="M67" i="380"/>
  <c r="M14" i="380"/>
  <c r="M155" i="377"/>
  <c r="M84" i="377"/>
  <c r="M42" i="376"/>
  <c r="M184" i="380"/>
  <c r="M202" i="380"/>
  <c r="F82" i="380"/>
  <c r="H82" i="380" s="1"/>
  <c r="M82" i="380" s="1"/>
  <c r="M29" i="376"/>
  <c r="L91" i="377"/>
  <c r="M57" i="380"/>
  <c r="M161" i="380"/>
  <c r="F46" i="376"/>
  <c r="J46" i="376" s="1"/>
  <c r="M46" i="376" s="1"/>
  <c r="L34" i="376"/>
  <c r="M34" i="376" s="1"/>
  <c r="M122" i="380"/>
  <c r="M16" i="382"/>
  <c r="M21" i="382"/>
  <c r="F24" i="376"/>
  <c r="J24" i="376" s="1"/>
  <c r="M24" i="376" s="1"/>
  <c r="F95" i="380"/>
  <c r="H95" i="380" s="1"/>
  <c r="M95" i="380" s="1"/>
  <c r="M98" i="380"/>
  <c r="H153" i="380"/>
  <c r="M153" i="380" s="1"/>
  <c r="F174" i="380"/>
  <c r="L174" i="380" s="1"/>
  <c r="M174" i="380" s="1"/>
  <c r="M172" i="380" s="1"/>
  <c r="F178" i="380"/>
  <c r="H178" i="380" s="1"/>
  <c r="M178" i="380" s="1"/>
  <c r="M212" i="380"/>
  <c r="H34" i="382"/>
  <c r="M34" i="382" s="1"/>
  <c r="M31" i="382" s="1"/>
  <c r="F66" i="381"/>
  <c r="H66" i="381" s="1"/>
  <c r="M66" i="381" s="1"/>
  <c r="M63" i="381" s="1"/>
  <c r="M41" i="382"/>
  <c r="M189" i="380"/>
  <c r="M53" i="381"/>
  <c r="F46" i="382"/>
  <c r="J46" i="382" s="1"/>
  <c r="M46" i="382" s="1"/>
  <c r="M45" i="382" s="1"/>
  <c r="M165" i="377"/>
  <c r="M146" i="377"/>
  <c r="M119" i="377"/>
  <c r="M91" i="377"/>
  <c r="M88" i="377" s="1"/>
  <c r="M48" i="381"/>
  <c r="M58" i="381"/>
  <c r="M67" i="381"/>
  <c r="M127" i="380"/>
  <c r="M196" i="380"/>
  <c r="M13" i="381"/>
  <c r="M27" i="381"/>
  <c r="M13" i="382"/>
  <c r="L60" i="382"/>
  <c r="M51" i="380"/>
  <c r="F117" i="380"/>
  <c r="J117" i="380" s="1"/>
  <c r="M117" i="380" s="1"/>
  <c r="F118" i="380"/>
  <c r="H118" i="380" s="1"/>
  <c r="M118" i="380" s="1"/>
  <c r="F120" i="380"/>
  <c r="L120" i="380" s="1"/>
  <c r="M120" i="380" s="1"/>
  <c r="M28" i="380"/>
  <c r="M110" i="380"/>
  <c r="M33" i="380"/>
  <c r="M42" i="380"/>
  <c r="L94" i="380"/>
  <c r="M94" i="380" s="1"/>
  <c r="F97" i="380"/>
  <c r="H97" i="380" s="1"/>
  <c r="M97" i="380" s="1"/>
  <c r="M12" i="380"/>
  <c r="M11" i="380" s="1"/>
  <c r="M85" i="380"/>
  <c r="F121" i="380"/>
  <c r="H121" i="380" s="1"/>
  <c r="M121" i="380" s="1"/>
  <c r="M137" i="380"/>
  <c r="M207" i="380"/>
  <c r="M43" i="381"/>
  <c r="M11" i="381"/>
  <c r="M179" i="380"/>
  <c r="M9" i="381"/>
  <c r="F87" i="381"/>
  <c r="H87" i="381" s="1"/>
  <c r="M87" i="381" s="1"/>
  <c r="F84" i="380"/>
  <c r="H84" i="380" s="1"/>
  <c r="M84" i="380" s="1"/>
  <c r="F81" i="380"/>
  <c r="H81" i="380" s="1"/>
  <c r="M81" i="380" s="1"/>
  <c r="F109" i="380"/>
  <c r="H109" i="380" s="1"/>
  <c r="M109" i="380" s="1"/>
  <c r="F106" i="380"/>
  <c r="H106" i="380" s="1"/>
  <c r="M106" i="380" s="1"/>
  <c r="F108" i="380"/>
  <c r="L108" i="380" s="1"/>
  <c r="M108" i="380" s="1"/>
  <c r="M26" i="380"/>
  <c r="M23" i="380" s="1"/>
  <c r="F80" i="380"/>
  <c r="J80" i="380" s="1"/>
  <c r="M80" i="380" s="1"/>
  <c r="F105" i="380"/>
  <c r="J105" i="380" s="1"/>
  <c r="M105" i="380" s="1"/>
  <c r="M14" i="382"/>
  <c r="M26" i="382"/>
  <c r="J60" i="382"/>
  <c r="M63" i="382" s="1"/>
  <c r="M166" i="380"/>
  <c r="F86" i="381"/>
  <c r="H86" i="381" s="1"/>
  <c r="M86" i="381" s="1"/>
  <c r="F84" i="381"/>
  <c r="H84" i="381" s="1"/>
  <c r="M84" i="381" s="1"/>
  <c r="F82" i="381"/>
  <c r="L82" i="381" s="1"/>
  <c r="M82" i="381" s="1"/>
  <c r="F80" i="381"/>
  <c r="J80" i="381" s="1"/>
  <c r="M80" i="381" s="1"/>
  <c r="F20" i="380"/>
  <c r="L20" i="380" s="1"/>
  <c r="M152" i="380"/>
  <c r="M32" i="381"/>
  <c r="F85" i="381"/>
  <c r="H85" i="381" s="1"/>
  <c r="M85" i="381" s="1"/>
  <c r="L93" i="381"/>
  <c r="M52" i="382"/>
  <c r="M151" i="380"/>
  <c r="J219" i="380"/>
  <c r="J221" i="380" s="1"/>
  <c r="H159" i="380"/>
  <c r="M159" i="380" s="1"/>
  <c r="M155" i="380" s="1"/>
  <c r="M36" i="382"/>
  <c r="M141" i="377"/>
  <c r="M133" i="377"/>
  <c r="M129" i="377"/>
  <c r="M46" i="377"/>
  <c r="M62" i="377"/>
  <c r="M13" i="376"/>
  <c r="M35" i="376"/>
  <c r="M78" i="377"/>
  <c r="M15" i="377"/>
  <c r="M12" i="376"/>
  <c r="M26" i="376"/>
  <c r="M25" i="377"/>
  <c r="M51" i="377"/>
  <c r="M72" i="377"/>
  <c r="H62" i="376"/>
  <c r="M63" i="376" s="1"/>
  <c r="M18" i="376"/>
  <c r="M16" i="376" s="1"/>
  <c r="M49" i="376"/>
  <c r="M32" i="376"/>
  <c r="M13" i="377"/>
  <c r="M110" i="377"/>
  <c r="F25" i="376"/>
  <c r="L25" i="376" s="1"/>
  <c r="M25" i="376" s="1"/>
  <c r="M23" i="376" s="1"/>
  <c r="M123" i="377"/>
  <c r="F47" i="376"/>
  <c r="L47" i="376" s="1"/>
  <c r="M47" i="376" s="1"/>
  <c r="M96" i="377"/>
  <c r="M151" i="377"/>
  <c r="M160" i="377"/>
  <c r="M137" i="377"/>
  <c r="F176" i="377"/>
  <c r="L176" i="377" s="1"/>
  <c r="M176" i="377" s="1"/>
  <c r="M175" i="377" s="1"/>
  <c r="M12" i="377"/>
  <c r="M11" i="377" s="1"/>
  <c r="M35" i="377"/>
  <c r="F103" i="377"/>
  <c r="L103" i="377" s="1"/>
  <c r="M103" i="377" s="1"/>
  <c r="F105" i="377"/>
  <c r="H105" i="377" s="1"/>
  <c r="M105" i="377" s="1"/>
  <c r="F107" i="377"/>
  <c r="H107" i="377" s="1"/>
  <c r="M107" i="377" s="1"/>
  <c r="F109" i="377"/>
  <c r="H109" i="377" s="1"/>
  <c r="M109" i="377" s="1"/>
  <c r="F102" i="377"/>
  <c r="J102" i="377" s="1"/>
  <c r="M102" i="377" s="1"/>
  <c r="F104" i="377"/>
  <c r="L104" i="377" s="1"/>
  <c r="M104" i="377" s="1"/>
  <c r="F106" i="377"/>
  <c r="H106" i="377" s="1"/>
  <c r="M106" i="377" s="1"/>
  <c r="M11" i="382" l="1"/>
  <c r="L219" i="380"/>
  <c r="L221" i="380" s="1"/>
  <c r="H219" i="380"/>
  <c r="H221" i="380" s="1"/>
  <c r="M45" i="376"/>
  <c r="M150" i="380"/>
  <c r="M219" i="380" s="1"/>
  <c r="M221" i="380" s="1"/>
  <c r="M79" i="380"/>
  <c r="M8" i="381"/>
  <c r="J177" i="377"/>
  <c r="J62" i="376"/>
  <c r="H60" i="382"/>
  <c r="M61" i="382" s="1"/>
  <c r="J217" i="380"/>
  <c r="M92" i="380"/>
  <c r="M116" i="380"/>
  <c r="M20" i="380"/>
  <c r="M17" i="380" s="1"/>
  <c r="M217" i="380" s="1"/>
  <c r="L218" i="380"/>
  <c r="L220" i="380" s="1"/>
  <c r="M104" i="380"/>
  <c r="H218" i="380"/>
  <c r="H220" i="380" s="1"/>
  <c r="J218" i="380"/>
  <c r="J220" i="380" s="1"/>
  <c r="M79" i="381"/>
  <c r="H93" i="381"/>
  <c r="M94" i="381" s="1"/>
  <c r="H217" i="380"/>
  <c r="M60" i="382"/>
  <c r="J93" i="381"/>
  <c r="L217" i="380"/>
  <c r="M11" i="376"/>
  <c r="M62" i="376" s="1"/>
  <c r="M64" i="376" s="1"/>
  <c r="H177" i="377"/>
  <c r="L177" i="377"/>
  <c r="L62" i="376"/>
  <c r="M101" i="377"/>
  <c r="M177" i="377" s="1"/>
  <c r="M218" i="380" l="1"/>
  <c r="M220" i="380" s="1"/>
  <c r="M222" i="380" s="1"/>
  <c r="L222" i="380"/>
  <c r="J222" i="380"/>
  <c r="M62" i="382"/>
  <c r="M64" i="382" s="1"/>
  <c r="M65" i="382" s="1"/>
  <c r="M66" i="382" s="1"/>
  <c r="D12" i="379" s="1"/>
  <c r="H12" i="379" s="1"/>
  <c r="M93" i="381"/>
  <c r="M95" i="381" s="1"/>
  <c r="H222" i="380"/>
  <c r="M223" i="380" s="1"/>
  <c r="M65" i="376"/>
  <c r="M66" i="376" s="1"/>
  <c r="N177" i="377"/>
  <c r="O177" i="377" s="1"/>
  <c r="M178" i="377"/>
  <c r="M179" i="377" s="1"/>
  <c r="M224" i="380" l="1"/>
  <c r="M225" i="380" s="1"/>
  <c r="M226" i="380" s="1"/>
  <c r="D10" i="379" s="1"/>
  <c r="M96" i="381"/>
  <c r="M97" i="381" s="1"/>
  <c r="M67" i="376"/>
  <c r="M68" i="376" s="1"/>
  <c r="E10" i="375" s="1"/>
  <c r="I10" i="375" s="1"/>
  <c r="M180" i="377"/>
  <c r="M181" i="377" s="1"/>
  <c r="H10" i="379" l="1"/>
  <c r="M98" i="381"/>
  <c r="M99" i="381" s="1"/>
  <c r="D11" i="379" s="1"/>
  <c r="M182" i="377"/>
  <c r="M183" i="377" s="1"/>
  <c r="E11" i="375" s="1"/>
  <c r="I11" i="375" s="1"/>
  <c r="H11" i="379" l="1"/>
  <c r="H13" i="379" s="1"/>
  <c r="E16" i="369" s="1"/>
  <c r="D13" i="379"/>
  <c r="I12" i="375"/>
  <c r="E15" i="369" s="1"/>
  <c r="I15" i="369" l="1"/>
  <c r="I16" i="369"/>
  <c r="I17" i="369"/>
  <c r="H63" i="373"/>
  <c r="M63" i="373" s="1"/>
  <c r="H64" i="373"/>
  <c r="M64" i="373" s="1"/>
  <c r="H62" i="373"/>
  <c r="M62" i="373" s="1"/>
  <c r="F59" i="373"/>
  <c r="F65" i="373" s="1"/>
  <c r="H65" i="373" s="1"/>
  <c r="M65" i="373" s="1"/>
  <c r="E58" i="373"/>
  <c r="H57" i="373"/>
  <c r="M57" i="373" s="1"/>
  <c r="H56" i="373"/>
  <c r="M56" i="373" s="1"/>
  <c r="H55" i="373"/>
  <c r="M55" i="373" s="1"/>
  <c r="E53" i="373"/>
  <c r="E52" i="373"/>
  <c r="F51" i="373"/>
  <c r="H48" i="373"/>
  <c r="M48" i="373" s="1"/>
  <c r="E50" i="373"/>
  <c r="H49" i="373"/>
  <c r="M49" i="373" s="1"/>
  <c r="H47" i="373"/>
  <c r="M47" i="373" s="1"/>
  <c r="E45" i="373"/>
  <c r="E44" i="373"/>
  <c r="F43" i="373"/>
  <c r="F29" i="373"/>
  <c r="H29" i="373" s="1"/>
  <c r="M29" i="373" s="1"/>
  <c r="F28" i="373"/>
  <c r="F27" i="373"/>
  <c r="L27" i="373" s="1"/>
  <c r="M27" i="373" s="1"/>
  <c r="F26" i="373"/>
  <c r="J26" i="373" s="1"/>
  <c r="M26" i="373" s="1"/>
  <c r="F24" i="373"/>
  <c r="H24" i="373" s="1"/>
  <c r="M24" i="373" s="1"/>
  <c r="F23" i="373"/>
  <c r="F22" i="373"/>
  <c r="L22" i="373" s="1"/>
  <c r="M22" i="373" s="1"/>
  <c r="F21" i="373"/>
  <c r="J21" i="373" s="1"/>
  <c r="M21" i="373" s="1"/>
  <c r="E42" i="373"/>
  <c r="H41" i="373"/>
  <c r="M41" i="373" s="1"/>
  <c r="E39" i="373"/>
  <c r="E38" i="373"/>
  <c r="F37" i="373"/>
  <c r="E36" i="373"/>
  <c r="E32" i="373"/>
  <c r="E31" i="373"/>
  <c r="H35" i="373"/>
  <c r="M35" i="373" s="1"/>
  <c r="H34" i="373"/>
  <c r="M34" i="373" s="1"/>
  <c r="F30" i="373"/>
  <c r="E46" i="371"/>
  <c r="E45" i="371"/>
  <c r="E40" i="371"/>
  <c r="E39" i="371"/>
  <c r="F47" i="371"/>
  <c r="F16" i="371"/>
  <c r="F11" i="371"/>
  <c r="F112" i="371"/>
  <c r="H112" i="371" s="1"/>
  <c r="M112" i="371" s="1"/>
  <c r="F111" i="371"/>
  <c r="F110" i="371"/>
  <c r="H110" i="371" s="1"/>
  <c r="M110" i="371" s="1"/>
  <c r="F109" i="371"/>
  <c r="H109" i="371" s="1"/>
  <c r="M109" i="371" s="1"/>
  <c r="F108" i="371"/>
  <c r="L108" i="371" s="1"/>
  <c r="M108" i="371" s="1"/>
  <c r="F107" i="371"/>
  <c r="J107" i="371" s="1"/>
  <c r="M107" i="371" s="1"/>
  <c r="E105" i="371"/>
  <c r="E104" i="371"/>
  <c r="E103" i="371"/>
  <c r="E102" i="371"/>
  <c r="E101" i="371"/>
  <c r="F100" i="371"/>
  <c r="E99" i="371"/>
  <c r="E98" i="371"/>
  <c r="H97" i="371"/>
  <c r="M97" i="371" s="1"/>
  <c r="H96" i="371"/>
  <c r="M96" i="371" s="1"/>
  <c r="H95" i="371"/>
  <c r="M95" i="371" s="1"/>
  <c r="H94" i="371"/>
  <c r="M94" i="371" s="1"/>
  <c r="E93" i="371"/>
  <c r="E92" i="371"/>
  <c r="F91" i="371"/>
  <c r="F98" i="371" s="1"/>
  <c r="H98" i="371" s="1"/>
  <c r="M98" i="371" s="1"/>
  <c r="F90" i="371"/>
  <c r="H90" i="371" s="1"/>
  <c r="M90" i="371" s="1"/>
  <c r="E89" i="371"/>
  <c r="F89" i="371" s="1"/>
  <c r="H89" i="371" s="1"/>
  <c r="M89" i="371" s="1"/>
  <c r="F88" i="371"/>
  <c r="L88" i="371" s="1"/>
  <c r="M88" i="371" s="1"/>
  <c r="F87" i="371"/>
  <c r="J87" i="371" s="1"/>
  <c r="M87" i="371" s="1"/>
  <c r="E83" i="371"/>
  <c r="E82" i="371"/>
  <c r="F82" i="371" s="1"/>
  <c r="J82" i="371" s="1"/>
  <c r="M82" i="371" s="1"/>
  <c r="F81" i="371"/>
  <c r="F83" i="371" s="1"/>
  <c r="E80" i="371"/>
  <c r="F80" i="371" s="1"/>
  <c r="L80" i="371" s="1"/>
  <c r="M80" i="371" s="1"/>
  <c r="M79" i="371" s="1"/>
  <c r="E78" i="371"/>
  <c r="E77" i="371"/>
  <c r="E76" i="371"/>
  <c r="E75" i="371"/>
  <c r="E73" i="371"/>
  <c r="E71" i="371"/>
  <c r="E70" i="371"/>
  <c r="F69" i="371"/>
  <c r="E68" i="371"/>
  <c r="E66" i="371"/>
  <c r="E65" i="371"/>
  <c r="F64" i="371"/>
  <c r="F65" i="371" s="1"/>
  <c r="J65" i="371" s="1"/>
  <c r="F28" i="368"/>
  <c r="F25" i="368"/>
  <c r="F15" i="368"/>
  <c r="F10" i="368"/>
  <c r="E27" i="368"/>
  <c r="E26" i="368"/>
  <c r="E20" i="370"/>
  <c r="E19" i="370"/>
  <c r="E17" i="370"/>
  <c r="E15" i="370"/>
  <c r="F15" i="370" s="1"/>
  <c r="H15" i="370" s="1"/>
  <c r="M15" i="370" s="1"/>
  <c r="E12" i="370"/>
  <c r="F12" i="370" s="1"/>
  <c r="L12" i="370" s="1"/>
  <c r="M12" i="370" s="1"/>
  <c r="E11" i="370"/>
  <c r="F11" i="370" s="1"/>
  <c r="J11" i="370" s="1"/>
  <c r="M11" i="370" s="1"/>
  <c r="F16" i="370"/>
  <c r="E14" i="370"/>
  <c r="F14" i="370" s="1"/>
  <c r="H14" i="370" s="1"/>
  <c r="M14" i="370" s="1"/>
  <c r="F92" i="371" l="1"/>
  <c r="J92" i="371" s="1"/>
  <c r="M92" i="371" s="1"/>
  <c r="F67" i="371"/>
  <c r="F68" i="371" s="1"/>
  <c r="J68" i="371" s="1"/>
  <c r="M68" i="371" s="1"/>
  <c r="M67" i="371" s="1"/>
  <c r="F103" i="371"/>
  <c r="H103" i="371" s="1"/>
  <c r="M103" i="371" s="1"/>
  <c r="F38" i="373"/>
  <c r="J38" i="373" s="1"/>
  <c r="M38" i="373" s="1"/>
  <c r="F52" i="373"/>
  <c r="J52" i="373" s="1"/>
  <c r="M52" i="373" s="1"/>
  <c r="H28" i="373"/>
  <c r="M28" i="373" s="1"/>
  <c r="M25" i="373" s="1"/>
  <c r="F50" i="373"/>
  <c r="H50" i="373" s="1"/>
  <c r="M50" i="373" s="1"/>
  <c r="F44" i="373"/>
  <c r="J44" i="373" s="1"/>
  <c r="M44" i="373" s="1"/>
  <c r="F53" i="373"/>
  <c r="L53" i="373" s="1"/>
  <c r="M53" i="373" s="1"/>
  <c r="F58" i="373"/>
  <c r="H58" i="373" s="1"/>
  <c r="M58" i="373" s="1"/>
  <c r="F61" i="373"/>
  <c r="L61" i="373" s="1"/>
  <c r="M61" i="373" s="1"/>
  <c r="F60" i="373"/>
  <c r="J60" i="373" s="1"/>
  <c r="M60" i="373" s="1"/>
  <c r="F45" i="373"/>
  <c r="L45" i="373" s="1"/>
  <c r="M45" i="373" s="1"/>
  <c r="H23" i="373"/>
  <c r="M23" i="373" s="1"/>
  <c r="M20" i="373" s="1"/>
  <c r="F39" i="373"/>
  <c r="L39" i="373" s="1"/>
  <c r="M39" i="373" s="1"/>
  <c r="F42" i="373"/>
  <c r="H42" i="373" s="1"/>
  <c r="M42" i="373" s="1"/>
  <c r="F31" i="373"/>
  <c r="J31" i="373" s="1"/>
  <c r="M31" i="373" s="1"/>
  <c r="F32" i="373"/>
  <c r="L32" i="373" s="1"/>
  <c r="M32" i="373" s="1"/>
  <c r="F36" i="373"/>
  <c r="H36" i="373" s="1"/>
  <c r="M36" i="373" s="1"/>
  <c r="F93" i="371"/>
  <c r="L93" i="371" s="1"/>
  <c r="M93" i="371" s="1"/>
  <c r="L83" i="371"/>
  <c r="M83" i="371" s="1"/>
  <c r="M81" i="371" s="1"/>
  <c r="F99" i="371"/>
  <c r="H99" i="371" s="1"/>
  <c r="M99" i="371" s="1"/>
  <c r="M86" i="371"/>
  <c r="F72" i="371"/>
  <c r="F73" i="371" s="1"/>
  <c r="J73" i="371" s="1"/>
  <c r="M73" i="371" s="1"/>
  <c r="M72" i="371" s="1"/>
  <c r="F70" i="371"/>
  <c r="J70" i="371" s="1"/>
  <c r="M70" i="371" s="1"/>
  <c r="M65" i="371"/>
  <c r="F104" i="371"/>
  <c r="H104" i="371" s="1"/>
  <c r="M104" i="371" s="1"/>
  <c r="F102" i="371"/>
  <c r="L102" i="371" s="1"/>
  <c r="M102" i="371" s="1"/>
  <c r="F71" i="371"/>
  <c r="L71" i="371" s="1"/>
  <c r="M71" i="371" s="1"/>
  <c r="F101" i="371"/>
  <c r="J101" i="371" s="1"/>
  <c r="M101" i="371" s="1"/>
  <c r="F105" i="371"/>
  <c r="H105" i="371" s="1"/>
  <c r="M105" i="371" s="1"/>
  <c r="H111" i="371"/>
  <c r="M111" i="371" s="1"/>
  <c r="M106" i="371" s="1"/>
  <c r="F66" i="371"/>
  <c r="L66" i="371" s="1"/>
  <c r="F27" i="368"/>
  <c r="H27" i="368" s="1"/>
  <c r="M27" i="368" s="1"/>
  <c r="F26" i="368"/>
  <c r="J26" i="368" s="1"/>
  <c r="M26" i="368" s="1"/>
  <c r="M10" i="370"/>
  <c r="F20" i="370"/>
  <c r="H20" i="370" s="1"/>
  <c r="M20" i="370" s="1"/>
  <c r="F19" i="370"/>
  <c r="H19" i="370" s="1"/>
  <c r="M19" i="370" s="1"/>
  <c r="F17" i="370"/>
  <c r="J17" i="370" s="1"/>
  <c r="M17" i="370" s="1"/>
  <c r="M59" i="373" l="1"/>
  <c r="M51" i="373"/>
  <c r="M43" i="373"/>
  <c r="M91" i="371"/>
  <c r="M37" i="373"/>
  <c r="M30" i="373"/>
  <c r="F74" i="371"/>
  <c r="F76" i="371" s="1"/>
  <c r="L76" i="371" s="1"/>
  <c r="M69" i="371"/>
  <c r="M100" i="371"/>
  <c r="M66" i="371"/>
  <c r="M64" i="371" s="1"/>
  <c r="M25" i="368"/>
  <c r="M16" i="370"/>
  <c r="M21" i="370" s="1"/>
  <c r="M76" i="371" l="1"/>
  <c r="F78" i="371"/>
  <c r="H78" i="371" s="1"/>
  <c r="H113" i="371" s="1"/>
  <c r="H115" i="371" s="1"/>
  <c r="F84" i="371"/>
  <c r="F85" i="371" s="1"/>
  <c r="L85" i="371" s="1"/>
  <c r="M85" i="371" s="1"/>
  <c r="M84" i="371" s="1"/>
  <c r="F75" i="371"/>
  <c r="J75" i="371" s="1"/>
  <c r="M75" i="371" s="1"/>
  <c r="F77" i="371"/>
  <c r="L77" i="371" s="1"/>
  <c r="M77" i="371" s="1"/>
  <c r="M78" i="371"/>
  <c r="J113" i="371" l="1"/>
  <c r="J115" i="371" s="1"/>
  <c r="M74" i="371"/>
  <c r="M113" i="371"/>
  <c r="M115" i="371" s="1"/>
  <c r="L113" i="371"/>
  <c r="L115" i="371" s="1"/>
  <c r="C21" i="369" l="1"/>
  <c r="C19" i="369"/>
  <c r="F19" i="373" l="1"/>
  <c r="H19" i="373" s="1"/>
  <c r="M19" i="373" s="1"/>
  <c r="F18" i="373"/>
  <c r="F17" i="373"/>
  <c r="L17" i="373" s="1"/>
  <c r="M17" i="373" s="1"/>
  <c r="F16" i="373"/>
  <c r="J16" i="373" s="1"/>
  <c r="M16" i="373" s="1"/>
  <c r="F14" i="373"/>
  <c r="H14" i="373" s="1"/>
  <c r="M14" i="373" s="1"/>
  <c r="F13" i="373"/>
  <c r="F12" i="373"/>
  <c r="L12" i="373" s="1"/>
  <c r="M12" i="373" s="1"/>
  <c r="F11" i="373"/>
  <c r="J11" i="373" s="1"/>
  <c r="M11" i="373" s="1"/>
  <c r="A3" i="373"/>
  <c r="G2" i="373"/>
  <c r="B5" i="373"/>
  <c r="A1" i="373"/>
  <c r="F38" i="371"/>
  <c r="F19" i="371"/>
  <c r="F59" i="371"/>
  <c r="H59" i="371" s="1"/>
  <c r="M59" i="371" s="1"/>
  <c r="F58" i="371"/>
  <c r="H58" i="371" s="1"/>
  <c r="M58" i="371" s="1"/>
  <c r="F57" i="371"/>
  <c r="H57" i="371" s="1"/>
  <c r="M57" i="371" s="1"/>
  <c r="F56" i="371"/>
  <c r="H56" i="371" s="1"/>
  <c r="M56" i="371" s="1"/>
  <c r="F55" i="371"/>
  <c r="L55" i="371" s="1"/>
  <c r="M55" i="371" s="1"/>
  <c r="F54" i="371"/>
  <c r="J54" i="371" s="1"/>
  <c r="M54" i="371" s="1"/>
  <c r="E52" i="371"/>
  <c r="E51" i="371"/>
  <c r="E50" i="371"/>
  <c r="E49" i="371"/>
  <c r="E48" i="371"/>
  <c r="H44" i="371"/>
  <c r="M44" i="371" s="1"/>
  <c r="H43" i="371"/>
  <c r="M43" i="371" s="1"/>
  <c r="H42" i="371"/>
  <c r="M42" i="371" s="1"/>
  <c r="H41" i="371"/>
  <c r="M41" i="371" s="1"/>
  <c r="F37" i="371"/>
  <c r="H37" i="371" s="1"/>
  <c r="M37" i="371" s="1"/>
  <c r="E36" i="371"/>
  <c r="F36" i="371" s="1"/>
  <c r="H36" i="371" s="1"/>
  <c r="M36" i="371" s="1"/>
  <c r="F35" i="371"/>
  <c r="L35" i="371" s="1"/>
  <c r="M35" i="371" s="1"/>
  <c r="F34" i="371"/>
  <c r="J34" i="371" s="1"/>
  <c r="M34" i="371" s="1"/>
  <c r="E30" i="371"/>
  <c r="E29" i="371"/>
  <c r="F28" i="371"/>
  <c r="E27" i="371"/>
  <c r="F27" i="371" s="1"/>
  <c r="L27" i="371" s="1"/>
  <c r="M27" i="371" s="1"/>
  <c r="M26" i="371" s="1"/>
  <c r="E25" i="371"/>
  <c r="E24" i="371"/>
  <c r="E23" i="371"/>
  <c r="E22" i="371"/>
  <c r="E20" i="371"/>
  <c r="E18" i="371"/>
  <c r="E17" i="371"/>
  <c r="E15" i="371"/>
  <c r="E13" i="371"/>
  <c r="F13" i="371" s="1"/>
  <c r="L13" i="371" s="1"/>
  <c r="E12" i="371"/>
  <c r="F14" i="371"/>
  <c r="A3" i="371"/>
  <c r="G2" i="371"/>
  <c r="B5" i="371"/>
  <c r="A1" i="371"/>
  <c r="F17" i="371" l="1"/>
  <c r="J17" i="371" s="1"/>
  <c r="M17" i="371" s="1"/>
  <c r="F48" i="371"/>
  <c r="J48" i="371" s="1"/>
  <c r="M48" i="371" s="1"/>
  <c r="F18" i="371"/>
  <c r="L18" i="371" s="1"/>
  <c r="M18" i="371" s="1"/>
  <c r="H18" i="373"/>
  <c r="M18" i="373" s="1"/>
  <c r="M15" i="373" s="1"/>
  <c r="F40" i="371"/>
  <c r="L40" i="371" s="1"/>
  <c r="M40" i="371" s="1"/>
  <c r="H13" i="373"/>
  <c r="F20" i="371"/>
  <c r="J20" i="371" s="1"/>
  <c r="M20" i="371" s="1"/>
  <c r="M19" i="371" s="1"/>
  <c r="F49" i="371"/>
  <c r="L49" i="371" s="1"/>
  <c r="M49" i="371" s="1"/>
  <c r="F15" i="371"/>
  <c r="J15" i="371" s="1"/>
  <c r="M15" i="371" s="1"/>
  <c r="M14" i="371" s="1"/>
  <c r="F50" i="371"/>
  <c r="H50" i="371" s="1"/>
  <c r="M50" i="371" s="1"/>
  <c r="F51" i="371"/>
  <c r="H51" i="371" s="1"/>
  <c r="M51" i="371" s="1"/>
  <c r="F39" i="371"/>
  <c r="J39" i="371" s="1"/>
  <c r="M39" i="371" s="1"/>
  <c r="F29" i="371"/>
  <c r="J29" i="371" s="1"/>
  <c r="M29" i="371" s="1"/>
  <c r="F52" i="371"/>
  <c r="H52" i="371" s="1"/>
  <c r="M52" i="371" s="1"/>
  <c r="M13" i="371"/>
  <c r="M33" i="371"/>
  <c r="M53" i="371"/>
  <c r="F21" i="371"/>
  <c r="F30" i="371"/>
  <c r="L30" i="371" s="1"/>
  <c r="M30" i="371" s="1"/>
  <c r="F12" i="371"/>
  <c r="J12" i="371" s="1"/>
  <c r="F45" i="371"/>
  <c r="H45" i="371" s="1"/>
  <c r="M45" i="371" s="1"/>
  <c r="F46" i="371"/>
  <c r="H46" i="371" s="1"/>
  <c r="M46" i="371" s="1"/>
  <c r="M13" i="373" l="1"/>
  <c r="M10" i="373" s="1"/>
  <c r="M66" i="373" s="1"/>
  <c r="H66" i="373"/>
  <c r="M47" i="371"/>
  <c r="M16" i="371"/>
  <c r="M28" i="371"/>
  <c r="M38" i="371"/>
  <c r="F25" i="371"/>
  <c r="H25" i="371" s="1"/>
  <c r="F23" i="371"/>
  <c r="L23" i="371" s="1"/>
  <c r="F24" i="371"/>
  <c r="L24" i="371" s="1"/>
  <c r="M24" i="371" s="1"/>
  <c r="F31" i="371"/>
  <c r="F32" i="371" s="1"/>
  <c r="L32" i="371" s="1"/>
  <c r="M32" i="371" s="1"/>
  <c r="M31" i="371" s="1"/>
  <c r="F22" i="371"/>
  <c r="J22" i="371" s="1"/>
  <c r="M22" i="371" s="1"/>
  <c r="M12" i="371"/>
  <c r="M11" i="371" s="1"/>
  <c r="M67" i="373" l="1"/>
  <c r="J66" i="373"/>
  <c r="L66" i="373"/>
  <c r="J60" i="371"/>
  <c r="J62" i="371" s="1"/>
  <c r="J116" i="371" s="1"/>
  <c r="M23" i="371"/>
  <c r="L60" i="371"/>
  <c r="L62" i="371" s="1"/>
  <c r="L116" i="371" s="1"/>
  <c r="M25" i="371"/>
  <c r="H60" i="371"/>
  <c r="H62" i="371" s="1"/>
  <c r="H116" i="371" s="1"/>
  <c r="M117" i="371" s="1"/>
  <c r="M21" i="371" l="1"/>
  <c r="M68" i="373"/>
  <c r="M60" i="371" l="1"/>
  <c r="M62" i="371" s="1"/>
  <c r="M69" i="373"/>
  <c r="M70" i="373" s="1"/>
  <c r="M116" i="371" l="1"/>
  <c r="M118" i="371"/>
  <c r="M119" i="371" s="1"/>
  <c r="M120" i="371" s="1"/>
  <c r="M71" i="373"/>
  <c r="M72" i="373" s="1"/>
  <c r="E14" i="369" l="1"/>
  <c r="I14" i="369" s="1"/>
  <c r="M121" i="371"/>
  <c r="M122" i="371" s="1"/>
  <c r="E13" i="369" s="1"/>
  <c r="A3" i="368"/>
  <c r="G2" i="368"/>
  <c r="A3" i="370"/>
  <c r="G2" i="370"/>
  <c r="B5" i="370" l="1"/>
  <c r="A1" i="370"/>
  <c r="I13" i="369"/>
  <c r="B5" i="369"/>
  <c r="A1" i="369"/>
  <c r="E29" i="368"/>
  <c r="F29" i="368"/>
  <c r="L29" i="368" s="1"/>
  <c r="M29" i="368" s="1"/>
  <c r="M28" i="368" s="1"/>
  <c r="E24" i="368"/>
  <c r="E23" i="368"/>
  <c r="E22" i="368"/>
  <c r="E21" i="368"/>
  <c r="E19" i="368"/>
  <c r="E17" i="368"/>
  <c r="F17" i="368" s="1"/>
  <c r="L17" i="368" s="1"/>
  <c r="M17" i="368" s="1"/>
  <c r="E16" i="368"/>
  <c r="F16" i="368" s="1"/>
  <c r="J16" i="368" s="1"/>
  <c r="M16" i="368" s="1"/>
  <c r="E14" i="368"/>
  <c r="E12" i="368"/>
  <c r="F12" i="368" s="1"/>
  <c r="L12" i="368" s="1"/>
  <c r="E11" i="368"/>
  <c r="F11" i="368" s="1"/>
  <c r="J11" i="368" s="1"/>
  <c r="F13" i="368"/>
  <c r="B5" i="368"/>
  <c r="A1" i="368"/>
  <c r="F14" i="368" l="1"/>
  <c r="J14" i="368" s="1"/>
  <c r="M14" i="368" s="1"/>
  <c r="M13" i="368" s="1"/>
  <c r="F18" i="368"/>
  <c r="F20" i="368" s="1"/>
  <c r="M11" i="368"/>
  <c r="M15" i="368"/>
  <c r="M12" i="368"/>
  <c r="F30" i="368"/>
  <c r="H21" i="370" l="1"/>
  <c r="J21" i="370"/>
  <c r="F19" i="368"/>
  <c r="J19" i="368" s="1"/>
  <c r="M19" i="368" s="1"/>
  <c r="M18" i="368" s="1"/>
  <c r="F33" i="368"/>
  <c r="F34" i="368" s="1"/>
  <c r="L34" i="368" s="1"/>
  <c r="M34" i="368" s="1"/>
  <c r="M33" i="368" s="1"/>
  <c r="F23" i="368"/>
  <c r="L23" i="368" s="1"/>
  <c r="M23" i="368" s="1"/>
  <c r="F24" i="368"/>
  <c r="H24" i="368" s="1"/>
  <c r="H35" i="368" s="1"/>
  <c r="M36" i="368" s="1"/>
  <c r="F21" i="368"/>
  <c r="J21" i="368" s="1"/>
  <c r="M21" i="368" s="1"/>
  <c r="F22" i="368"/>
  <c r="L22" i="368" s="1"/>
  <c r="M22" i="368" s="1"/>
  <c r="F31" i="368"/>
  <c r="J31" i="368" s="1"/>
  <c r="M31" i="368" s="1"/>
  <c r="F32" i="368"/>
  <c r="L32" i="368" s="1"/>
  <c r="M10" i="368"/>
  <c r="L21" i="370" l="1"/>
  <c r="M24" i="368"/>
  <c r="M20" i="368" s="1"/>
  <c r="M22" i="370"/>
  <c r="M32" i="368"/>
  <c r="M30" i="368" s="1"/>
  <c r="L35" i="368"/>
  <c r="J35" i="368"/>
  <c r="M35" i="368" l="1"/>
  <c r="M37" i="368"/>
  <c r="M38" i="368" s="1"/>
  <c r="M39" i="368" s="1"/>
  <c r="M23" i="370"/>
  <c r="M24" i="370" s="1"/>
  <c r="M25" i="370" s="1"/>
  <c r="M26" i="370" l="1"/>
  <c r="M27" i="370" s="1"/>
  <c r="M40" i="368"/>
  <c r="M41" i="368" s="1"/>
  <c r="E11" i="369" s="1"/>
  <c r="I11" i="369" s="1"/>
  <c r="E12" i="369" l="1"/>
  <c r="I12" i="369" s="1"/>
  <c r="I18" i="369" s="1"/>
  <c r="I19" i="369" l="1"/>
  <c r="I20" i="369" s="1"/>
  <c r="I21" i="369" s="1"/>
  <c r="I22" i="369" s="1"/>
  <c r="I24" i="369" s="1"/>
</calcChain>
</file>

<file path=xl/sharedStrings.xml><?xml version="1.0" encoding="utf-8"?>
<sst xmlns="http://schemas.openxmlformats.org/spreadsheetml/2006/main" count="2407" uniqueCount="763">
  <si>
    <t>სულ</t>
  </si>
  <si>
    <t>ხარჯთაღრიცხვა N</t>
  </si>
  <si>
    <t>ჯამი</t>
  </si>
  <si>
    <t>ზედნადები ხარჯები</t>
  </si>
  <si>
    <t>B-1</t>
  </si>
  <si>
    <t>kac/sT</t>
  </si>
  <si>
    <t>m3</t>
  </si>
  <si>
    <t>lari</t>
  </si>
  <si>
    <t>1-31-3</t>
  </si>
  <si>
    <t>N</t>
  </si>
  <si>
    <t>შიფრი</t>
  </si>
  <si>
    <t>სამუშაოს დასახელება</t>
  </si>
  <si>
    <t>განზომილება</t>
  </si>
  <si>
    <t>ნორმა</t>
  </si>
  <si>
    <t>რაოდენობა</t>
  </si>
  <si>
    <t>მასალები</t>
  </si>
  <si>
    <t>ხელფასი</t>
  </si>
  <si>
    <t>მანქანა მექანიზმები</t>
  </si>
  <si>
    <t>ერთ.ფასი</t>
  </si>
  <si>
    <t>(ლარი)</t>
  </si>
  <si>
    <t>შრ. დანახარჯი</t>
  </si>
  <si>
    <t>სხვა მანქანები</t>
  </si>
  <si>
    <t>ღორღი</t>
  </si>
  <si>
    <t>1-80-3</t>
  </si>
  <si>
    <t>შრომის დანახარჯი</t>
  </si>
  <si>
    <t>მ3</t>
  </si>
  <si>
    <t>ტ</t>
  </si>
  <si>
    <t xml:space="preserve">მასალის ტრანსპორტირება </t>
  </si>
  <si>
    <t>ზედნადები ხარჯი</t>
  </si>
  <si>
    <t>გეგმიური დაგროება</t>
  </si>
  <si>
    <t>სულ ჯამი</t>
  </si>
  <si>
    <t>კრებსითი ხარჯთაღრიცხვა #</t>
  </si>
  <si>
    <t>IV კატ. გრუნტის დამუშავება ექსკავატორით ჩამჩით 0.5მ3  ადგილზე დაყრით</t>
  </si>
  <si>
    <t xml:space="preserve">ექსკავატორი ჩამჩის მოც. 0,5-მ3, </t>
  </si>
  <si>
    <t>IV გრუნტის დამუშავება ხელით მექანიზმის შემდეგ</t>
  </si>
  <si>
    <t>გრუნტის დატვირთვა ექსკავატორით ავტოთვითმცლელზე</t>
  </si>
  <si>
    <t>ექსკავატორი 0.5მ3</t>
  </si>
  <si>
    <t>არსებული გრუნტით თხრილის შევსება ბულდოზერით  80ცხ.ძ/. (დატკეპნით)</t>
  </si>
  <si>
    <t>ბულდოზერი 80 ცხ.ძ</t>
  </si>
  <si>
    <t>გრუნტის დატკეპნა პნევმოსატკეპნით</t>
  </si>
  <si>
    <t>კაც/სთ</t>
  </si>
  <si>
    <t>მან/სთ</t>
  </si>
  <si>
    <t>მ/სთ</t>
  </si>
  <si>
    <t>მანქ/სთ</t>
  </si>
  <si>
    <t>1</t>
  </si>
  <si>
    <t>2</t>
  </si>
  <si>
    <t>3</t>
  </si>
  <si>
    <t>4</t>
  </si>
  <si>
    <t>8</t>
  </si>
  <si>
    <t>9</t>
  </si>
  <si>
    <t>1-80-4</t>
  </si>
  <si>
    <t>III კატ გრუნტის დამუშავება ხელით მექანიზმის შემდეგ</t>
  </si>
  <si>
    <t>1-11-16</t>
  </si>
  <si>
    <t>1-22-16</t>
  </si>
  <si>
    <t>23-1-1</t>
  </si>
  <si>
    <t>7</t>
  </si>
  <si>
    <t>ზედმეტი გრუნტის გატანა საშუალოდ 10-კმ-ზე</t>
  </si>
  <si>
    <t>1-118-11</t>
  </si>
  <si>
    <t>Sromis danaxarji</t>
  </si>
  <si>
    <t>manqanebi</t>
  </si>
  <si>
    <t>sxva masala</t>
  </si>
  <si>
    <t>wyali</t>
  </si>
  <si>
    <t>m</t>
  </si>
  <si>
    <t>SromiTi resursebi</t>
  </si>
  <si>
    <t>sxva manqanebi</t>
  </si>
  <si>
    <t>c</t>
  </si>
  <si>
    <t>k/sT</t>
  </si>
  <si>
    <t>t</t>
  </si>
  <si>
    <t>sxva masalebi</t>
  </si>
  <si>
    <t>l</t>
  </si>
  <si>
    <t>kg</t>
  </si>
  <si>
    <t xml:space="preserve">sxva manqana </t>
  </si>
  <si>
    <t>ც</t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</si>
  <si>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</si>
  <si>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</si>
  <si>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</si>
  <si>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</si>
  <si>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</si>
  <si>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</si>
  <si>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</si>
  <si>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</si>
  <si>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m2</t>
  </si>
  <si>
    <r>
      <t>xarjTaRricxvis</t>
    </r>
    <r>
      <rPr>
        <sz val="11"/>
        <rFont val="Academiuri Normaluri"/>
      </rPr>
      <t xml:space="preserve"> N</t>
    </r>
  </si>
  <si>
    <t>გვ.135-10</t>
  </si>
  <si>
    <t>B</t>
  </si>
  <si>
    <t>B-2</t>
  </si>
  <si>
    <t>B-3</t>
  </si>
  <si>
    <t>B-4</t>
  </si>
  <si>
    <t>1-12-3</t>
  </si>
  <si>
    <t>გვ.129-117</t>
  </si>
  <si>
    <t>5</t>
  </si>
  <si>
    <t>6</t>
  </si>
  <si>
    <t>Sromis danaxarjebi</t>
  </si>
  <si>
    <t xml:space="preserve"> </t>
  </si>
  <si>
    <t>სხვა მასალა</t>
  </si>
  <si>
    <t>III კატ. გრუნტის დამუშავება ექსკავატორით ჩამჩით 0.4 მ3  ადგილზე დაყრით</t>
  </si>
  <si>
    <t>ბულდოზერი 80ცხ.ძ.</t>
  </si>
  <si>
    <t>RorRi</t>
  </si>
  <si>
    <t>16-23-2</t>
  </si>
  <si>
    <t>პნევმოსატკეპნი მოძრავ კომპრესორზე</t>
  </si>
  <si>
    <t xml:space="preserve">RorRis fenilis mowyoba Wis ZirSi </t>
  </si>
  <si>
    <t>23-12-2</t>
  </si>
  <si>
    <t>r/betoni saxuravi fila თუჯის ხუფით</t>
  </si>
  <si>
    <t>rk/b Wis Ziris</t>
  </si>
  <si>
    <t>26-14-5</t>
  </si>
  <si>
    <t>Wis gare zedapiris hidroizolacia biTumis mastikiT 2 fena</t>
  </si>
  <si>
    <t>Sr. danaxarji</t>
  </si>
  <si>
    <t>ცემენტის რასტვორი მ-150</t>
  </si>
  <si>
    <t>silikoni bitumovani</t>
  </si>
  <si>
    <t>Toki</t>
  </si>
  <si>
    <t>8-3-2,</t>
  </si>
  <si>
    <t>მიწის სამუშაოები</t>
  </si>
  <si>
    <t xml:space="preserve"> 1-11-15</t>
  </si>
  <si>
    <t>22-24-5.</t>
  </si>
  <si>
    <t>uJangavi liTonis miltuCi WanWikiT (flaneci) da paronitis შეძენა და მონტაჟი დ=273 მმ</t>
  </si>
  <si>
    <t>IV გრუნტის დამუშავება ხელით მექანიზმის შემდეგ დ=108/4 მმ მილისთვის</t>
  </si>
  <si>
    <t>11</t>
  </si>
  <si>
    <t>22-29-3.</t>
  </si>
  <si>
    <t xml:space="preserve">III კატ. გრუნტის დამუშავება ექსკავატორით ჩამჩით 0.4 მ3  ადგილზე დაყრით </t>
  </si>
  <si>
    <t xml:space="preserve">III კატ გრუნტის დამუშავება ხელით მექანიზმის შემდეგ </t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</si>
  <si>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</si>
  <si>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2</t>
    </r>
  </si>
  <si>
    <t>bitumi ნავთობის</t>
  </si>
  <si>
    <t>Cobalbis mowyoba kedelSi d=250 mm</t>
  </si>
  <si>
    <r>
      <t xml:space="preserve">პოლიეთილენის ჩობალის მილი </t>
    </r>
    <r>
      <rPr>
        <sz val="9"/>
        <rFont val="Calibri"/>
        <family val="2"/>
        <scheme val="minor"/>
      </rPr>
      <t>L</t>
    </r>
    <r>
      <rPr>
        <sz val="9"/>
        <rFont val="AcadNusx"/>
      </rPr>
      <t>=0,1 მ დ=250 მმ</t>
    </r>
  </si>
  <si>
    <t>betoni m-150</t>
  </si>
  <si>
    <t>მაგისტრალური მილსადენი</t>
  </si>
  <si>
    <t>სათვალთვალო ჭები</t>
  </si>
  <si>
    <t>წყალსადენის არმატურები</t>
  </si>
  <si>
    <t xml:space="preserve">ჭების რაოდენობა </t>
  </si>
  <si>
    <t>22-24-6.</t>
  </si>
  <si>
    <t>გვ.33-249</t>
  </si>
  <si>
    <t>gv.60-300</t>
  </si>
  <si>
    <t>გვ.33-241</t>
  </si>
  <si>
    <t>გვ.58-167*4</t>
  </si>
  <si>
    <t>გვ.58-167*3</t>
  </si>
  <si>
    <t>გვ.129-105</t>
  </si>
  <si>
    <t>გვ.134-310 გვ.129-99</t>
  </si>
  <si>
    <t>Ggv. 44-128</t>
  </si>
  <si>
    <t>Ggv. 48-74</t>
  </si>
  <si>
    <t>gv.22-53</t>
  </si>
  <si>
    <t>გვ.41-6</t>
  </si>
  <si>
    <t>გვ.37-4/5</t>
  </si>
  <si>
    <t>გვ.30-118</t>
  </si>
  <si>
    <t>გვ.30-118/2</t>
  </si>
  <si>
    <t>გვ.30-124</t>
  </si>
  <si>
    <t>გვ.31-158</t>
  </si>
  <si>
    <t>გვ.36-3</t>
  </si>
  <si>
    <t>კრებსითი ხარჯთაღრიცხვა</t>
  </si>
  <si>
    <t>resursebi</t>
  </si>
  <si>
    <t>გვ.22-47</t>
  </si>
  <si>
    <t>გვ.34-241</t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</si>
  <si>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</rPr>
      <t xml:space="preserve">-200 mm-mde hidravlikuri SemowmebiT </t>
    </r>
    <r>
      <rPr>
        <b/>
        <sz val="9"/>
        <rFont val="Calibri"/>
        <family val="2"/>
      </rPr>
      <t>PN-10 SDR 17 PE100</t>
    </r>
  </si>
  <si>
    <r>
      <t xml:space="preserve">mili </t>
    </r>
    <r>
      <rPr>
        <sz val="9"/>
        <rFont val="Calibri"/>
        <family val="2"/>
      </rPr>
      <t xml:space="preserve">PN10 SDR17 PE100 d=200 </t>
    </r>
    <r>
      <rPr>
        <sz val="9"/>
        <rFont val="AcadMtavr"/>
      </rPr>
      <t>mm</t>
    </r>
  </si>
  <si>
    <t>milebis gamorecxva da dezinfeqcia d-200 mm</t>
  </si>
  <si>
    <t>22-8-6.            კ-1.15</t>
  </si>
  <si>
    <t>22-20-6                კ-1.15</t>
  </si>
  <si>
    <t>ქვიშის ტრანსპორტირება და მილსადენის შეფუთვა დატკეპნით. მილის ქვეშ და ზემოთ დამცავი საფარის 10+20 სმ. შესაქმნელად</t>
  </si>
  <si>
    <t>გვ.34-245</t>
  </si>
  <si>
    <t>ქვიშა</t>
  </si>
  <si>
    <r>
      <t xml:space="preserve">magistraluri wylis gamanawilebeli anakrebi rk/b Wis mowyoba </t>
    </r>
    <r>
      <rPr>
        <b/>
        <sz val="9"/>
        <rFont val="Arial"/>
        <family val="2"/>
      </rPr>
      <t>d</t>
    </r>
    <r>
      <rPr>
        <b/>
        <sz val="9"/>
        <rFont val="AcadNusx"/>
      </rPr>
      <t xml:space="preserve">=2.0 m, </t>
    </r>
    <r>
      <rPr>
        <b/>
        <sz val="9"/>
        <rFont val="Arial"/>
        <family val="2"/>
      </rPr>
      <t>h</t>
    </r>
    <r>
      <rPr>
        <b/>
        <sz val="9"/>
        <rFont val="AcadNusx"/>
      </rPr>
      <t xml:space="preserve">=1.75m, ZroTi da gadaxurvis filiT Tujis xufiT </t>
    </r>
  </si>
  <si>
    <r>
      <t>rk/b Wa d=2.0 m,</t>
    </r>
    <r>
      <rPr>
        <sz val="9"/>
        <rFont val="Arial"/>
        <family val="2"/>
        <charset val="204"/>
      </rPr>
      <t xml:space="preserve"> h</t>
    </r>
    <r>
      <rPr>
        <sz val="9"/>
        <rFont val="AcadNusx"/>
      </rPr>
      <t>=1,0 m rgoli</t>
    </r>
  </si>
  <si>
    <r>
      <t>rk/b Wa d=2.0 m,</t>
    </r>
    <r>
      <rPr>
        <sz val="9"/>
        <rFont val="Arial"/>
        <family val="2"/>
        <charset val="204"/>
      </rPr>
      <t xml:space="preserve"> h</t>
    </r>
    <r>
      <rPr>
        <sz val="9"/>
        <rFont val="AcadNusx"/>
      </rPr>
      <t>-0.5 m rgoli</t>
    </r>
  </si>
  <si>
    <t>23-12-6             კ-1.15</t>
  </si>
  <si>
    <t>გვ.30-119</t>
  </si>
  <si>
    <t>გვ.30-119/2</t>
  </si>
  <si>
    <t>გვ.30-125</t>
  </si>
  <si>
    <t>გვ.31-157</t>
  </si>
  <si>
    <r>
      <t>rk/b Wa d=1.0 m,</t>
    </r>
    <r>
      <rPr>
        <sz val="9"/>
        <rFont val="Arial"/>
        <family val="2"/>
        <charset val="204"/>
      </rPr>
      <t xml:space="preserve"> h</t>
    </r>
    <r>
      <rPr>
        <sz val="9"/>
        <rFont val="AcadNusx"/>
      </rPr>
      <t>=1,0 m rgoli</t>
    </r>
  </si>
  <si>
    <r>
      <t>rk/b Wa d=1.0 m,</t>
    </r>
    <r>
      <rPr>
        <sz val="9"/>
        <rFont val="Arial"/>
        <family val="2"/>
        <charset val="204"/>
      </rPr>
      <t xml:space="preserve"> h</t>
    </r>
    <r>
      <rPr>
        <sz val="9"/>
        <rFont val="AcadNusx"/>
      </rPr>
      <t>-0.5 m rgoli</t>
    </r>
  </si>
  <si>
    <r>
      <t xml:space="preserve">magistraluri wylis gamanawilebeli anakrebi rk/b Wis mowyoba </t>
    </r>
    <r>
      <rPr>
        <b/>
        <sz val="9"/>
        <rFont val="Arial"/>
        <family val="2"/>
      </rPr>
      <t>d</t>
    </r>
    <r>
      <rPr>
        <b/>
        <sz val="9"/>
        <rFont val="AcadNusx"/>
      </rPr>
      <t xml:space="preserve">=1.0 m, </t>
    </r>
    <r>
      <rPr>
        <b/>
        <sz val="9"/>
        <rFont val="Arial"/>
        <family val="2"/>
      </rPr>
      <t>h</t>
    </r>
    <r>
      <rPr>
        <b/>
        <sz val="9"/>
        <rFont val="AcadNusx"/>
      </rPr>
      <t xml:space="preserve">=1.75m, ZroTi da gadaxurvis filiT Tujis xufiT </t>
    </r>
  </si>
  <si>
    <t>წყალმომარაგების გამანაწილებელი ჭა H=1.75 მ D=2.0 მ</t>
  </si>
  <si>
    <t>წყალმომარაგების გამანაწილებელი ჭა H=1.75 მ D=1.0 მ</t>
  </si>
  <si>
    <r>
      <t>Tujis urdulis</t>
    </r>
    <r>
      <rPr>
        <b/>
        <sz val="10"/>
        <rFont val="Arial"/>
        <family val="2"/>
        <charset val="204"/>
      </rPr>
      <t xml:space="preserve"> PN16</t>
    </r>
    <r>
      <rPr>
        <b/>
        <sz val="10"/>
        <rFont val="AcadNusx"/>
      </rPr>
      <t xml:space="preserve"> d=200 mm SeZena-montaJi </t>
    </r>
  </si>
  <si>
    <r>
      <t>Tujis უკუსარქველის</t>
    </r>
    <r>
      <rPr>
        <b/>
        <sz val="10"/>
        <rFont val="Arial"/>
        <family val="2"/>
        <charset val="204"/>
      </rPr>
      <t xml:space="preserve"> PN16</t>
    </r>
    <r>
      <rPr>
        <b/>
        <sz val="10"/>
        <rFont val="AcadNusx"/>
      </rPr>
      <t xml:space="preserve"> d=200 mm SeZena-montaJi </t>
    </r>
  </si>
  <si>
    <r>
      <t>Tujis urduli d=200 mm</t>
    </r>
    <r>
      <rPr>
        <sz val="10"/>
        <rFont val="არიალ"/>
        <charset val="204"/>
      </rPr>
      <t xml:space="preserve"> PN-16</t>
    </r>
  </si>
  <si>
    <r>
      <t>Tujis უკუსარველის d=200 mm</t>
    </r>
    <r>
      <rPr>
        <sz val="10"/>
        <rFont val="არიალ"/>
        <charset val="204"/>
      </rPr>
      <t xml:space="preserve"> PN-16</t>
    </r>
  </si>
  <si>
    <t>22-23-2</t>
  </si>
  <si>
    <t>gv.61-642</t>
  </si>
  <si>
    <t>pol. სამკაპი 200X200X200 მმ</t>
  </si>
  <si>
    <t>pol. სამკაპი 200X100X200 მმ</t>
  </si>
  <si>
    <t>pol. gadamyvanis შეძენა და მონტაჟი დ=100X50 მმ</t>
  </si>
  <si>
    <t>pol. gadamyvani 100X50 მმ</t>
  </si>
  <si>
    <r>
      <t>Tujis urdulis</t>
    </r>
    <r>
      <rPr>
        <b/>
        <sz val="10"/>
        <rFont val="Arial"/>
        <family val="2"/>
        <charset val="204"/>
      </rPr>
      <t xml:space="preserve"> PN16</t>
    </r>
    <r>
      <rPr>
        <b/>
        <sz val="10"/>
        <rFont val="AcadNusx"/>
      </rPr>
      <t xml:space="preserve"> d=50 mm SeZena-montaJi </t>
    </r>
  </si>
  <si>
    <t>22-24-1.</t>
  </si>
  <si>
    <r>
      <t>Tujis urduli d=50 mm</t>
    </r>
    <r>
      <rPr>
        <sz val="10"/>
        <rFont val="არიალ"/>
        <charset val="204"/>
      </rPr>
      <t xml:space="preserve"> PN-16</t>
    </r>
  </si>
  <si>
    <t>22-26-1.</t>
  </si>
  <si>
    <r>
      <t>Tujis vantuzis</t>
    </r>
    <r>
      <rPr>
        <b/>
        <sz val="10"/>
        <rFont val="Arial"/>
        <family val="2"/>
        <charset val="204"/>
      </rPr>
      <t xml:space="preserve"> PN16</t>
    </r>
    <r>
      <rPr>
        <b/>
        <sz val="10"/>
        <rFont val="AcadNusx"/>
      </rPr>
      <t xml:space="preserve"> d=50 mm SeZena-montaJi </t>
    </r>
  </si>
  <si>
    <r>
      <t>Tujis vantuzi d=50 mm</t>
    </r>
    <r>
      <rPr>
        <sz val="10"/>
        <rFont val="არიალ"/>
        <charset val="204"/>
      </rPr>
      <t xml:space="preserve"> PN-16</t>
    </r>
  </si>
  <si>
    <t>pol. milyeli adaptori 200 მმ</t>
  </si>
  <si>
    <t>pol. milyeli adaptori 100 მმ</t>
  </si>
  <si>
    <t>gv.61-643</t>
  </si>
  <si>
    <t>pol. milyeli adaptori 50 მმ</t>
  </si>
  <si>
    <t>pol. სამკაპის შეძენა და მონტაჟი დ=100-200 მმ</t>
  </si>
  <si>
    <t>pol. milyeli adaptoris შეძენა და მონტაჟი დ=50-200 მმ</t>
  </si>
  <si>
    <t>pol. el.quro შეძენა და მონტაჟი დ=-50-200 მმ</t>
  </si>
  <si>
    <t>pol. el.quro 200 მმ</t>
  </si>
  <si>
    <t>pol. el.quro 100 მმ</t>
  </si>
  <si>
    <t>pol. el.quro 50 მმ</t>
  </si>
  <si>
    <t>გვ.58-167*5</t>
  </si>
  <si>
    <r>
      <t xml:space="preserve">miltuCi WanWikiT (flaneci) paroniti </t>
    </r>
    <r>
      <rPr>
        <sz val="10"/>
        <rFont val="Arial"/>
        <family val="2"/>
        <charset val="204"/>
      </rPr>
      <t>d</t>
    </r>
    <r>
      <rPr>
        <sz val="10"/>
        <rFont val="AcadNusx"/>
      </rPr>
      <t>=50 მმ</t>
    </r>
  </si>
  <si>
    <r>
      <t xml:space="preserve">miltuCi WanWikiT (flaneci) paroniti </t>
    </r>
    <r>
      <rPr>
        <sz val="10"/>
        <rFont val="Arial"/>
        <family val="2"/>
        <charset val="204"/>
      </rPr>
      <t>d</t>
    </r>
    <r>
      <rPr>
        <sz val="10"/>
        <rFont val="AcadNusx"/>
      </rPr>
      <t>=100 მმ</t>
    </r>
  </si>
  <si>
    <r>
      <t xml:space="preserve">miltuCi WanWikiT (flaneci) paroniti </t>
    </r>
    <r>
      <rPr>
        <sz val="10"/>
        <rFont val="Arial"/>
        <family val="2"/>
        <charset val="204"/>
      </rPr>
      <t>d</t>
    </r>
    <r>
      <rPr>
        <sz val="10"/>
        <rFont val="AcadNusx"/>
      </rPr>
      <t>=200 მმ</t>
    </r>
  </si>
  <si>
    <t>gv.60-301</t>
  </si>
  <si>
    <t>gv.71-7</t>
  </si>
  <si>
    <t>B-5</t>
  </si>
  <si>
    <t>B-6</t>
  </si>
  <si>
    <t>B-7</t>
  </si>
  <si>
    <t>ხარჯთაღრიცხვის დასახელება</t>
  </si>
  <si>
    <t>სახარჯთაღრიცხვო ღირებუება (ათასი ლარი)</t>
  </si>
  <si>
    <t>ხელფასი (ათ. 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</si>
  <si>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</si>
  <si>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</si>
  <si>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</si>
  <si>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 ხარჯები</t>
  </si>
  <si>
    <t xml:space="preserve">ლოკალური ხარჯთაღრიცხვა # </t>
  </si>
  <si>
    <t>რეზერვუარის სამშენებლო სამუშაოები</t>
  </si>
  <si>
    <t>რეზერვუარის შემოღობვა</t>
  </si>
  <si>
    <t xml:space="preserve">miwis samuSaoebi rezervuaris mowyobaze </t>
  </si>
  <si>
    <t>Txrilis mosawyobad IV jgufis gruntis amoTxra xeliT eqskavatoris Semdeg</t>
  </si>
  <si>
    <r>
      <t>m</t>
    </r>
    <r>
      <rPr>
        <vertAlign val="superscript"/>
        <sz val="10"/>
        <rFont val="AcadNusx"/>
      </rPr>
      <t>3</t>
    </r>
  </si>
  <si>
    <t>23-1-2</t>
  </si>
  <si>
    <t>xreSovani gruntis safuZvlis mowyoba</t>
  </si>
  <si>
    <t>xreSovani grunti</t>
  </si>
  <si>
    <t>1-81-3</t>
  </si>
  <si>
    <t>ubeebis Sevseba rbili gruntiT xeliT</t>
  </si>
  <si>
    <t>1-31-6.</t>
  </si>
  <si>
    <t>rezervuaris irgvliv nayaris mowyoba arsebuli gruntiT</t>
  </si>
  <si>
    <t>buldozeri 130c.Z</t>
  </si>
  <si>
    <t>manq/sT</t>
  </si>
  <si>
    <t>1-11-10</t>
  </si>
  <si>
    <t>rezervuaris teritoriaze arsebuli gruntis nayaris safaris mowyoba eqskavatoriT</t>
  </si>
  <si>
    <t>eqskavatori 0.65m3</t>
  </si>
  <si>
    <t>1-31-6</t>
  </si>
  <si>
    <t>xreSovani gruntis Semotana-miyra</t>
  </si>
  <si>
    <t>ბალასტის  დატკეპნა პნევმოსატკეპნით</t>
  </si>
  <si>
    <t>1-22-10</t>
  </si>
  <si>
    <t>rezervuaris nayaris mosawyobad IV jgufis gruntis damuSaveba eqskavatoriT datvirTviT a/TviTmclelze</t>
  </si>
  <si>
    <t>გვ.143-10</t>
  </si>
  <si>
    <t>2.24-is nacvlad unda eweros 2.36</t>
  </si>
  <si>
    <t>rezervuaris teritoriaze Semotanili gruntiT nayaris safaris mowyoba eqskavatoriT</t>
  </si>
  <si>
    <t>13</t>
  </si>
  <si>
    <t>keTilmowyobis samuSaoebi</t>
  </si>
  <si>
    <t>27-11-1.4</t>
  </si>
  <si>
    <t>rezervuaris irgvliv ტერიტორიის moxreSva 10 სმ სისქით</t>
  </si>
  <si>
    <t>avtogreideri 108 ც.ძ</t>
  </si>
  <si>
    <t>ბულდოზერი 108 ც,ძ</t>
  </si>
  <si>
    <t>sagzao satkepni 5t</t>
  </si>
  <si>
    <t>sagzao satkepni 10t</t>
  </si>
  <si>
    <t>mosarwyav-mosaxexi manqana</t>
  </si>
  <si>
    <t>gv.139-230  გვ.141-316</t>
  </si>
  <si>
    <t>ქვის გამანაწილებელი ავტოთვითმცლელით</t>
  </si>
  <si>
    <t>RorRi 40-70 მმ</t>
  </si>
  <si>
    <r>
      <t>m</t>
    </r>
    <r>
      <rPr>
        <vertAlign val="superscript"/>
        <sz val="10"/>
        <rFont val="AcadNusx"/>
      </rPr>
      <t>2</t>
    </r>
    <r>
      <rPr>
        <sz val="11"/>
        <color theme="1"/>
        <rFont val="Calibri"/>
        <family val="2"/>
        <charset val="1"/>
        <scheme val="minor"/>
      </rPr>
      <t/>
    </r>
  </si>
  <si>
    <t>RorRi 10-20 mm</t>
  </si>
  <si>
    <t>გვ.32-234</t>
  </si>
  <si>
    <t>1-32-2</t>
  </si>
  <si>
    <t>teritoriis moSandakeba buldozeriT</t>
  </si>
  <si>
    <t>betonis samuSaoebi</t>
  </si>
  <si>
    <t>11-1-11</t>
  </si>
  <si>
    <r>
      <t xml:space="preserve">betonis momzadebis mowyoba </t>
    </r>
    <r>
      <rPr>
        <sz val="10"/>
        <rFont val="Arial"/>
        <family val="2"/>
        <charset val="204"/>
      </rPr>
      <t xml:space="preserve">C8/10 </t>
    </r>
    <r>
      <rPr>
        <sz val="10"/>
        <rFont val="AcadNusx"/>
      </rPr>
      <t>sisq. 100mm</t>
    </r>
  </si>
  <si>
    <t>betoni m-100</t>
  </si>
  <si>
    <t>ლ</t>
  </si>
  <si>
    <t>6-26-2</t>
  </si>
  <si>
    <r>
      <t xml:space="preserve">rezervuaris Ziris mowyoba rkinabetoniT klasi </t>
    </r>
    <r>
      <rPr>
        <sz val="11"/>
        <rFont val="Arial"/>
        <family val="2"/>
        <charset val="204"/>
      </rPr>
      <t>C25/30</t>
    </r>
  </si>
  <si>
    <t>betoni m-400</t>
  </si>
  <si>
    <t>ficari Camoganili 25-32 mm IIIx</t>
  </si>
  <si>
    <t>ficari Camoganili 40-60 mm IIIx</t>
  </si>
  <si>
    <t>WanWiki ქანჩით</t>
  </si>
  <si>
    <r>
      <t xml:space="preserve">armatura </t>
    </r>
    <r>
      <rPr>
        <sz val="10"/>
        <rFont val="Arial"/>
        <family val="2"/>
        <charset val="204"/>
      </rPr>
      <t>A-III</t>
    </r>
  </si>
  <si>
    <r>
      <t xml:space="preserve">armatura </t>
    </r>
    <r>
      <rPr>
        <sz val="10"/>
        <rFont val="Arial"/>
        <family val="2"/>
        <charset val="204"/>
      </rPr>
      <t>A-I</t>
    </r>
  </si>
  <si>
    <r>
      <t>rezervuaris kedlis mowyoba rkinabetoniT klasi klasi</t>
    </r>
    <r>
      <rPr>
        <sz val="11"/>
        <rFont val="Arial"/>
        <family val="2"/>
        <charset val="204"/>
      </rPr>
      <t xml:space="preserve"> C25/30</t>
    </r>
  </si>
  <si>
    <r>
      <t xml:space="preserve">betoni მ-400 </t>
    </r>
    <r>
      <rPr>
        <sz val="10"/>
        <rFont val="Arial"/>
        <family val="2"/>
        <charset val="204"/>
      </rPr>
      <t xml:space="preserve">C25/30 </t>
    </r>
  </si>
  <si>
    <t>6-16-2</t>
  </si>
  <si>
    <r>
      <t xml:space="preserve">rezervuaris gadaxurvis filis mowyoba rkinabetoni klasi klasi </t>
    </r>
    <r>
      <rPr>
        <b/>
        <sz val="11"/>
        <rFont val="Arial"/>
        <family val="2"/>
        <charset val="204"/>
      </rPr>
      <t xml:space="preserve">C25/30 </t>
    </r>
    <r>
      <rPr>
        <b/>
        <sz val="11"/>
        <rFont val="AcadNusx"/>
      </rPr>
      <t>4.3 niS-ze</t>
    </r>
  </si>
  <si>
    <t>yalibis fari</t>
  </si>
  <si>
    <r>
      <t>m</t>
    </r>
    <r>
      <rPr>
        <vertAlign val="superscript"/>
        <sz val="10"/>
        <rFont val="AcadNusx"/>
      </rPr>
      <t>2</t>
    </r>
  </si>
  <si>
    <t>ficari 25-32 mm IIx</t>
  </si>
  <si>
    <t>ficari 40-60 mm IIx</t>
  </si>
  <si>
    <t>ficari 40-60 mm IIIx</t>
  </si>
  <si>
    <t>6-9-7</t>
  </si>
  <si>
    <t>Casatanebeli elementebi C-1 0.00 niS-ze damzadeba-dayeneba</t>
  </si>
  <si>
    <t>Casatanebeli elementebi</t>
  </si>
  <si>
    <t>6-12-7</t>
  </si>
  <si>
    <r>
      <t xml:space="preserve">rezervuaris svetebis mowyoba rkinabetoni klasi </t>
    </r>
    <r>
      <rPr>
        <sz val="11"/>
        <rFont val="Arial"/>
        <family val="2"/>
        <charset val="204"/>
      </rPr>
      <t xml:space="preserve">C25/30 </t>
    </r>
  </si>
  <si>
    <t>eleqtrodebi</t>
  </si>
  <si>
    <r>
      <t xml:space="preserve">monoliTuri rkinabetonis rigelis mowyoba klasi </t>
    </r>
    <r>
      <rPr>
        <sz val="11"/>
        <rFont val="Arial"/>
        <family val="2"/>
        <charset val="204"/>
      </rPr>
      <t>C25/30 2</t>
    </r>
    <r>
      <rPr>
        <sz val="11"/>
        <rFont val="AcadNusx"/>
      </rPr>
      <t>c</t>
    </r>
  </si>
  <si>
    <t>betonis momzadebis Tavze hidroizolacia asfalto-bitumis xsnariT 10mm</t>
  </si>
  <si>
    <t>100m2</t>
  </si>
  <si>
    <t>bitumi</t>
  </si>
  <si>
    <t>SeSa</t>
  </si>
  <si>
    <t>kedlebis gare zedapiris  hidroizolacia asfalto-biTumis xsnariT 10mm</t>
  </si>
  <si>
    <t xml:space="preserve">Cobalbis mowyoba kedelSi d=200mm 4c </t>
  </si>
  <si>
    <t>9-7-1</t>
  </si>
  <si>
    <t>liTonis kibis montaJi</t>
  </si>
  <si>
    <t>muxluxa amwe 16t</t>
  </si>
  <si>
    <t xml:space="preserve">liTonkonstruqciebi </t>
  </si>
  <si>
    <t>eleqtrodi</t>
  </si>
  <si>
    <t>WanWiki</t>
  </si>
  <si>
    <t>23-23</t>
  </si>
  <si>
    <t xml:space="preserve">Casasvleli xufis mowyoba </t>
  </si>
  <si>
    <t>Tujis xufi ოთხკუთხა ჩარჩოთი დ=90 სმ</t>
  </si>
  <si>
    <t>cementis xsnari m100</t>
  </si>
  <si>
    <t>9-24-1</t>
  </si>
  <si>
    <t>saventilacio milis damzadeba dayeneba 4c</t>
  </si>
  <si>
    <t>muxluxa amwe 25t</t>
  </si>
  <si>
    <t>gv.11-1</t>
  </si>
  <si>
    <t>foladis  mili d=159/4,5 mm</t>
  </si>
  <si>
    <t>6-11-1</t>
  </si>
  <si>
    <r>
      <t xml:space="preserve">milis dabetoneba betoniT </t>
    </r>
    <r>
      <rPr>
        <sz val="10"/>
        <rFont val="Arial"/>
        <family val="2"/>
        <charset val="204"/>
      </rPr>
      <t>C8/10</t>
    </r>
  </si>
  <si>
    <t>xis Zeli</t>
  </si>
  <si>
    <t>ficari IIIx. 40-60 mm</t>
  </si>
  <si>
    <t>15-166-3</t>
  </si>
  <si>
    <t>gare antikoroziuli izolacia 2fenad</t>
  </si>
  <si>
    <t>laki nitro</t>
  </si>
  <si>
    <t>kedlebis gare zedapiris  hidroizolacia asfalto-biTumis xsnariT 20mm</t>
  </si>
  <si>
    <t>12-10-3.4</t>
  </si>
  <si>
    <t>gadaxurvis filis Tavze moewyos hidroizolacia asfalto-betonis safari sisq. 30mm</t>
  </si>
  <si>
    <t>asfaltobetonis narevi</t>
  </si>
  <si>
    <t>8-7-3</t>
  </si>
  <si>
    <t>kedlis gamagreba Cobalis gatarebis adgilze</t>
  </si>
  <si>
    <r>
      <t xml:space="preserve">0.00 </t>
    </r>
    <r>
      <rPr>
        <sz val="10"/>
        <rFont val="AcadNusx"/>
      </rPr>
      <t xml:space="preserve">niSnulze </t>
    </r>
    <r>
      <rPr>
        <sz val="10"/>
        <rFont val="Arial"/>
        <family val="2"/>
        <charset val="204"/>
      </rPr>
      <t xml:space="preserve">C20/25 </t>
    </r>
    <r>
      <rPr>
        <sz val="10"/>
        <rFont val="AcadNusx"/>
      </rPr>
      <t>klasis  betonis mowyoba qanobis mosawyobad</t>
    </r>
  </si>
  <si>
    <t>6-29-4</t>
  </si>
  <si>
    <t>rezervuaris Siga zedapiris wylis Sexebis adgilebis morkinva</t>
  </si>
  <si>
    <t>6-9-10</t>
  </si>
  <si>
    <r>
      <t xml:space="preserve">Ziris da gadaxurvis filis gaZliereba armaturis badiT b-1 da b-2 armatura </t>
    </r>
    <r>
      <rPr>
        <sz val="10"/>
        <rFont val="Arial"/>
        <family val="2"/>
        <charset val="204"/>
      </rPr>
      <t>A500C (A-III)</t>
    </r>
  </si>
  <si>
    <t xml:space="preserve">1-81-3 </t>
  </si>
  <si>
    <t>miwis nayaris mowyoba sisq. .300mm</t>
  </si>
  <si>
    <t xml:space="preserve">asfaltobetonis safaris mowyoba </t>
  </si>
  <si>
    <t>12-10-1.2</t>
  </si>
  <si>
    <t>gadaxurvis filis Tavze qviSa-cementis xsnari 30-80mm</t>
  </si>
  <si>
    <t>cementis xsnari m-200</t>
  </si>
  <si>
    <t>6-31-5</t>
  </si>
  <si>
    <t xml:space="preserve">rezervuaris gamocda </t>
  </si>
  <si>
    <t>100m3</t>
  </si>
  <si>
    <t>6-31-6</t>
  </si>
  <si>
    <t>rezervuaris dezinfeqcia</t>
  </si>
  <si>
    <t>გვ.32-222</t>
  </si>
  <si>
    <t>kiri qlori</t>
  </si>
  <si>
    <t>e1-22-1</t>
  </si>
  <si>
    <t>samSeneblo nagvis datvirTva a/TviTmcvlelze</t>
  </si>
  <si>
    <t>zedmeti gruntis gatana 10 km-ze</t>
  </si>
  <si>
    <t>1-29-4</t>
  </si>
  <si>
    <t>teritoriis moSandakeba 160m2</t>
  </si>
  <si>
    <t xml:space="preserve">1-80-7 </t>
  </si>
  <si>
    <t xml:space="preserve">III kategoriis gruntis damuSaveba xeliT 40*40*60sm </t>
  </si>
  <si>
    <t xml:space="preserve">III kategoriis gruntis damuSaveba xeliT lenturi saZirkvlisTvis </t>
  </si>
  <si>
    <t>6-1-1</t>
  </si>
  <si>
    <t>betonis saZirkvlis da zeZirkvlis mowyoba SemoRobvis boZebisTvis m-150 mowtoba</t>
  </si>
  <si>
    <t>7-21-4.</t>
  </si>
  <si>
    <t>amwe 10t TviTmavali</t>
  </si>
  <si>
    <t>grZ.m.</t>
  </si>
  <si>
    <t>glinula d-6 mm</t>
  </si>
  <si>
    <t>pr</t>
  </si>
  <si>
    <t>samontaJo detalebi</t>
  </si>
  <si>
    <t>7-22-8</t>
  </si>
  <si>
    <t>saketi</t>
  </si>
  <si>
    <t>anjama</t>
  </si>
  <si>
    <t xml:space="preserve">sxva manqanebi </t>
  </si>
  <si>
    <t xml:space="preserve">sxva masalebi  </t>
  </si>
  <si>
    <t xml:space="preserve">15-164-8          </t>
  </si>
  <si>
    <t xml:space="preserve">liTonis Robis SeRebva zeTis saRebaviT </t>
  </si>
  <si>
    <t>zeTovani saRebavi</t>
  </si>
  <si>
    <t>რკ/ბეტონის 500 მ3 რეზერვუარი</t>
  </si>
  <si>
    <t>zedmeti gruntis შემოტანა 10 km-ze</t>
  </si>
  <si>
    <t>gv.33-246</t>
  </si>
  <si>
    <t>გვ.130-119</t>
  </si>
  <si>
    <t>გვ.129-106</t>
  </si>
  <si>
    <t>gv.33-141</t>
  </si>
  <si>
    <t>gv.33-142</t>
  </si>
  <si>
    <t>gv.131-175</t>
  </si>
  <si>
    <t>გვ.129-118</t>
  </si>
  <si>
    <t>gv.131-190</t>
  </si>
  <si>
    <t>gv.131-191</t>
  </si>
  <si>
    <t>gv.131-201</t>
  </si>
  <si>
    <t>ობიექტური  ხარჯთაღრიცხვა #</t>
  </si>
  <si>
    <t>B-5.1</t>
  </si>
  <si>
    <t>საქლორატოროს შენობის სამშენებლო ნაწილი</t>
  </si>
  <si>
    <t>B-5.2</t>
  </si>
  <si>
    <t>საქლორატოროს ტექნოლოგია</t>
  </si>
  <si>
    <t>საქლორატოროს შენობის შიდა ელ. მომარაგება</t>
  </si>
  <si>
    <t>sul jami</t>
  </si>
  <si>
    <t>#</t>
  </si>
  <si>
    <t xml:space="preserve"> Sifri</t>
  </si>
  <si>
    <t xml:space="preserve">samuSaos dasaxeleba 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</si>
  <si>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</si>
  <si>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</si>
  <si>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</si>
  <si>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</si>
  <si>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</si>
  <si>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</si>
  <si>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</si>
  <si>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</si>
  <si>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</si>
  <si>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</si>
  <si>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</si>
  <si>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1-11-9</t>
  </si>
  <si>
    <t xml:space="preserve">გრუნტის III kategoris დამუშავება ექსკავატორით 0.65 მ3. </t>
  </si>
  <si>
    <t xml:space="preserve">შრომითი დანახარჯები </t>
  </si>
  <si>
    <t>გვ.132-112</t>
  </si>
  <si>
    <t>ექსკავატორი მუხლუხა სვლაზე 0.65 მ3</t>
  </si>
  <si>
    <t>1-11-8.</t>
  </si>
  <si>
    <t xml:space="preserve">გრუნტის უკუჩაყრა ექსკავატორით 0.65 მ3. </t>
  </si>
  <si>
    <t>1-22-8.</t>
  </si>
  <si>
    <t>გრუნტის დატვირთვა ექსკავატორით 0.65 მ3</t>
  </si>
  <si>
    <t xml:space="preserve">სხვა მანქანები </t>
  </si>
  <si>
    <t>15-ტრ-5</t>
  </si>
  <si>
    <t xml:space="preserve">ზედმეტი გრუნტის ტრანსპორტირება 10- კმ-მდე </t>
  </si>
  <si>
    <t>გვ.136-10</t>
  </si>
  <si>
    <t>ტრანსპორტირება საშუალოდ 10 კმ-ზე</t>
  </si>
  <si>
    <t>8-3-2.</t>
  </si>
  <si>
    <t>ქვიშა-ხრეშის ბალიშის SeZena da მოწყობა</t>
  </si>
  <si>
    <t>გვ.31-248</t>
  </si>
  <si>
    <t>ქვიშა-ხრეში</t>
  </si>
  <si>
    <t>6-1-1.</t>
  </si>
  <si>
    <t>მჭლე ბეტონის SeZena da მოწყობა</t>
  </si>
  <si>
    <t xml:space="preserve">შრომითი დანახარჯები  </t>
  </si>
  <si>
    <t>ლარი</t>
  </si>
  <si>
    <t>გვ.34-350</t>
  </si>
  <si>
    <r>
      <t>ბეტონი</t>
    </r>
    <r>
      <rPr>
        <sz val="10"/>
        <rFont val="Arial"/>
        <family val="2"/>
        <charset val="204"/>
      </rPr>
      <t xml:space="preserve"> B</t>
    </r>
    <r>
      <rPr>
        <sz val="10"/>
        <rFont val="AcadNusx"/>
      </rPr>
      <t xml:space="preserve">-7.5 (მ-100) </t>
    </r>
  </si>
  <si>
    <t xml:space="preserve">სხვა მასალები  </t>
  </si>
  <si>
    <t>6-1-16.</t>
  </si>
  <si>
    <t xml:space="preserve">რკ/ბეტონიs საძირკვლის ფილის მოწყობა </t>
  </si>
  <si>
    <t>შრომითი დანახარჯები</t>
  </si>
  <si>
    <t>გვ.34-356</t>
  </si>
  <si>
    <r>
      <t>ბეტონი В-25</t>
    </r>
    <r>
      <rPr>
        <sz val="10"/>
        <rFont val="Arial"/>
        <family val="2"/>
      </rPr>
      <t xml:space="preserve"> F200 W6</t>
    </r>
  </si>
  <si>
    <t>გვ.1-10</t>
  </si>
  <si>
    <r>
      <t>არმატურა</t>
    </r>
    <r>
      <rPr>
        <sz val="10"/>
        <rFont val="Arial"/>
        <family val="2"/>
        <charset val="204"/>
      </rPr>
      <t xml:space="preserve"> А500C</t>
    </r>
  </si>
  <si>
    <t>პროექტი</t>
  </si>
  <si>
    <t>გვ.47-4</t>
  </si>
  <si>
    <t>ხის მასალა დახერხილი ნედლი წიწვოვანი საყალიბე</t>
  </si>
  <si>
    <t>გვ.52-54</t>
  </si>
  <si>
    <t xml:space="preserve">ყალიბის ფარი </t>
  </si>
  <si>
    <t>მ2</t>
  </si>
  <si>
    <t>gv.51-18</t>
  </si>
  <si>
    <t>ficari Camoganili III xaris.  40-60mm</t>
  </si>
  <si>
    <t>რკ/ბეტონიs iatakis filis მოწყობა რკ/ბეტონით</t>
  </si>
  <si>
    <t>6-1-1. mis</t>
  </si>
  <si>
    <t>რკ/ბეტონის სარინელის მოწყობა saSualod 10 sm</t>
  </si>
  <si>
    <t>გვ.1-1</t>
  </si>
  <si>
    <r>
      <t>არმატურა</t>
    </r>
    <r>
      <rPr>
        <sz val="10"/>
        <rFont val="Arial"/>
        <family val="2"/>
        <charset val="204"/>
      </rPr>
      <t xml:space="preserve"> A-I</t>
    </r>
    <r>
      <rPr>
        <sz val="10"/>
        <rFont val="AcadNusx"/>
      </rPr>
      <t xml:space="preserve"> კლასის</t>
    </r>
    <r>
      <rPr>
        <sz val="10"/>
        <rFont val="Arial"/>
        <family val="2"/>
        <charset val="204"/>
      </rPr>
      <t xml:space="preserve"> Ø6 </t>
    </r>
    <r>
      <rPr>
        <sz val="10"/>
        <rFont val="AcadNusx"/>
      </rPr>
      <t>მმ</t>
    </r>
  </si>
  <si>
    <r>
      <t xml:space="preserve">ბეტონი </t>
    </r>
    <r>
      <rPr>
        <sz val="10"/>
        <rFont val="Arial"/>
        <family val="2"/>
        <charset val="204"/>
      </rPr>
      <t>В-25 F200 W6</t>
    </r>
    <r>
      <rPr>
        <sz val="10"/>
        <rFont val="AcadNusx"/>
      </rPr>
      <t xml:space="preserve"> m-350</t>
    </r>
  </si>
  <si>
    <t>6-15-11</t>
  </si>
  <si>
    <t>მონოლითური რკინა ბეტონის ზღუდარის მოწყობა</t>
  </si>
  <si>
    <t>გვ.34-353</t>
  </si>
  <si>
    <t>gv.47-19</t>
  </si>
  <si>
    <t>ფიცარი ჩამოგანილი წიწვოვანი სისქით 40-60 მმ II ხარისხის</t>
  </si>
  <si>
    <t>გვ.11-23</t>
  </si>
  <si>
    <r>
      <t>ელექტროდი შედუღების</t>
    </r>
    <r>
      <rPr>
        <sz val="10"/>
        <rFont val="Arial"/>
        <family val="2"/>
        <charset val="204"/>
      </rPr>
      <t xml:space="preserve"> Ø5.0x350</t>
    </r>
    <r>
      <rPr>
        <sz val="10"/>
        <rFont val="AcadNusx"/>
      </rPr>
      <t xml:space="preserve"> მმ</t>
    </r>
  </si>
  <si>
    <t>კგ</t>
  </si>
  <si>
    <t>არქიტექტურა</t>
  </si>
  <si>
    <t>15-5-6.</t>
  </si>
  <si>
    <t>ბუნებრივი გრანიტის ფილების SeZena da მოწყობა sisqiT 50 mm</t>
  </si>
  <si>
    <t xml:space="preserve">სხვა მანქანები  </t>
  </si>
  <si>
    <t>გვ.33-311</t>
  </si>
  <si>
    <t>ბუნებრივი გრანიტის ფილა დაბრუჩატებული ზედაპირით 30 მმ</t>
  </si>
  <si>
    <t>გვ.34-381</t>
  </si>
  <si>
    <t>ხსნარი წყობის, ცემენტის მ-100</t>
  </si>
  <si>
    <t xml:space="preserve">სხვა მასალები </t>
  </si>
  <si>
    <t>15-55-10</t>
  </si>
  <si>
    <t>ჭერის შელესვა ქვიშა-ცემენტის ხსნარით</t>
  </si>
  <si>
    <t>გვ.133-166</t>
  </si>
  <si>
    <t xml:space="preserve">ხსნარის ტუმბო  3 მ3/სთ </t>
  </si>
  <si>
    <t>გვ.35-390</t>
  </si>
  <si>
    <t>ხსნარი მოსაპირკეთებელი, ცემენტის 1:3</t>
  </si>
  <si>
    <t>15-168-8</t>
  </si>
  <si>
    <t xml:space="preserve">ჭერის მომზადება-შეღებვა ემულსიის საღებავით </t>
  </si>
  <si>
    <t>გვ.41-48</t>
  </si>
  <si>
    <t xml:space="preserve">ემულსიის საღებავი  </t>
  </si>
  <si>
    <t>გვ.41-72</t>
  </si>
  <si>
    <t xml:space="preserve">საფითხნი </t>
  </si>
  <si>
    <t>9-14-5</t>
  </si>
  <si>
    <t>ფანჯრის ბლოკის მოწყობა 1 cali იხ. ნახ მპ-71</t>
  </si>
  <si>
    <t xml:space="preserve"> მ2</t>
  </si>
  <si>
    <t>გვ.136-286</t>
  </si>
  <si>
    <t>ავტომობილი ბორტიანი 5 ტ-მდე</t>
  </si>
  <si>
    <t>გვ.123-6</t>
  </si>
  <si>
    <t>ფანჯრის ბლოკის (თეთრი) იხ. ნახ მპ-71</t>
  </si>
  <si>
    <t>გვ.42-116</t>
  </si>
  <si>
    <t>ქაფი პოლიურეტანის, სამონტაჟო</t>
  </si>
  <si>
    <t>gv.119-44</t>
  </si>
  <si>
    <r>
      <t xml:space="preserve">სჭავლი ბეტონისათვის </t>
    </r>
    <r>
      <rPr>
        <sz val="10"/>
        <rFont val="Arial"/>
        <family val="2"/>
        <charset val="204"/>
      </rPr>
      <t>Ø7.5x132</t>
    </r>
    <r>
      <rPr>
        <sz val="10"/>
        <rFont val="AcadNusx"/>
      </rPr>
      <t xml:space="preserve"> მმ</t>
    </r>
    <r>
      <rPr>
        <sz val="10"/>
        <rFont val="Arial"/>
        <family val="2"/>
        <charset val="204"/>
      </rPr>
      <t xml:space="preserve"> Buldex</t>
    </r>
  </si>
  <si>
    <t>9-5-1</t>
  </si>
  <si>
    <r>
      <t xml:space="preserve">ლითონის კარის ბლოკის მოწყობა 1 ც </t>
    </r>
    <r>
      <rPr>
        <b/>
        <sz val="10"/>
        <rFont val="Arial"/>
        <family val="2"/>
        <charset val="204"/>
      </rPr>
      <t xml:space="preserve">0,9x2.4 </t>
    </r>
    <r>
      <rPr>
        <b/>
        <sz val="10"/>
        <rFont val="AcadNusx"/>
      </rPr>
      <t>m ix.nax mp-71</t>
    </r>
  </si>
  <si>
    <t>გვ.8-107</t>
  </si>
  <si>
    <t>ლითონის კარი ix.nax mp-71</t>
  </si>
  <si>
    <t>15-55-9</t>
  </si>
  <si>
    <t>კედლების შელესვა ქვიშა-ცემენტის ხსნარით</t>
  </si>
  <si>
    <t>15-168-7</t>
  </si>
  <si>
    <t xml:space="preserve">კედლების მომზადება-შეღებვა ემულსიის საღებავით </t>
  </si>
  <si>
    <t xml:space="preserve">ფასადის შელესვა ქვიშა-ცემენტის ხსნარით </t>
  </si>
  <si>
    <t xml:space="preserve">ფასადის მომზადება-შეღებვა ემულსიის საღებავით </t>
  </si>
  <si>
    <t>12-8-5</t>
  </si>
  <si>
    <t>გვ.5-7</t>
  </si>
  <si>
    <t>12-8-3</t>
  </si>
  <si>
    <t>polieTilenis წყალსაწრეტი მილების d=70 mm და  ძაბრების SeZena da მოწყობა</t>
  </si>
  <si>
    <t>მ</t>
  </si>
  <si>
    <t>გვ.42-27</t>
  </si>
  <si>
    <t>polieTilenis ძაბრი</t>
  </si>
  <si>
    <t>პრ</t>
  </si>
  <si>
    <t>გვ.42-25</t>
  </si>
  <si>
    <t>polieTilenis მილი d=70 mm</t>
  </si>
  <si>
    <t>გვ.42-21</t>
  </si>
  <si>
    <r>
      <t>polieTilenis მუხლი 135</t>
    </r>
    <r>
      <rPr>
        <vertAlign val="superscript"/>
        <sz val="10"/>
        <rFont val="AcadNusx"/>
      </rPr>
      <t>0</t>
    </r>
    <r>
      <rPr>
        <sz val="10"/>
        <rFont val="AcadNusx"/>
      </rPr>
      <t xml:space="preserve"> d=70 mm</t>
    </r>
  </si>
  <si>
    <t>gv.10-30</t>
  </si>
  <si>
    <t>ნაჭედი</t>
  </si>
  <si>
    <t>gv.9-1</t>
  </si>
  <si>
    <t>ლურსმანი</t>
  </si>
  <si>
    <t>gv.10-24</t>
  </si>
  <si>
    <t>ქანჩი</t>
  </si>
  <si>
    <t>8-15-1</t>
  </si>
  <si>
    <t>ბლოკიT Sida da gare tixrebis SeZena da mowyoba (კედლის სისქე 20 სმ.) bloki 39X19X19 sm</t>
  </si>
  <si>
    <t>გვ.34-378</t>
  </si>
  <si>
    <t>ხსნარი წყობის, ცემენტის მ-25</t>
  </si>
  <si>
    <t>გვ.26-39</t>
  </si>
  <si>
    <t>ბლოკი ბეტონის, სტანდარტული 39X19X19 სმ</t>
  </si>
  <si>
    <t>გვ.47-1</t>
  </si>
  <si>
    <t>xe masala gadaxurvis</t>
  </si>
  <si>
    <t>proeqtiT</t>
  </si>
  <si>
    <t>შენობის შიდა წყალმომარაგება</t>
  </si>
  <si>
    <t>17-1-5.</t>
  </si>
  <si>
    <t>keramikuli ხელსაბანი ნიჟარას შეძენა და მოწყობა</t>
  </si>
  <si>
    <t>cali</t>
  </si>
  <si>
    <t>gv.51-11,12</t>
  </si>
  <si>
    <t>keramikuli ხელსაბანი ნიჟარას</t>
  </si>
  <si>
    <t>16-12-1.</t>
  </si>
  <si>
    <t>ცივი წყლის შემრევის (onkanis) SeZena da mowyoba  ხელსაბანისთვის</t>
  </si>
  <si>
    <t>gv.51-29</t>
  </si>
  <si>
    <t xml:space="preserve">onkani </t>
  </si>
  <si>
    <t>WanWiki qanCiT da moqloniT</t>
  </si>
  <si>
    <r>
      <t xml:space="preserve">drekadi Slangi </t>
    </r>
    <r>
      <rPr>
        <b/>
        <sz val="10"/>
        <rFont val="Arial"/>
        <family val="2"/>
        <charset val="204"/>
      </rPr>
      <t xml:space="preserve">  Ø</t>
    </r>
    <r>
      <rPr>
        <b/>
        <sz val="10"/>
        <rFont val="AcadNusx"/>
      </rPr>
      <t>20 mm  metalis SeZena da mowyoba</t>
    </r>
  </si>
  <si>
    <r>
      <t>drekadi Slangi</t>
    </r>
    <r>
      <rPr>
        <sz val="10"/>
        <rFont val="Arial"/>
        <family val="2"/>
        <charset val="204"/>
      </rPr>
      <t xml:space="preserve">   Ø</t>
    </r>
    <r>
      <rPr>
        <sz val="10"/>
        <rFont val="AcadNusx"/>
      </rPr>
      <t xml:space="preserve">20 mm  metalis </t>
    </r>
    <r>
      <rPr>
        <sz val="10"/>
        <rFont val="Arial"/>
        <family val="2"/>
        <charset val="204"/>
      </rPr>
      <t>L</t>
    </r>
    <r>
      <rPr>
        <sz val="10"/>
        <rFont val="AcadNusx"/>
      </rPr>
      <t>=40sm</t>
    </r>
  </si>
  <si>
    <t>16-6-1.</t>
  </si>
  <si>
    <r>
      <t xml:space="preserve">wyalsadenis polieTilenis milebis mowyoba </t>
    </r>
    <r>
      <rPr>
        <b/>
        <sz val="10"/>
        <rFont val="Arial"/>
        <family val="2"/>
        <charset val="204"/>
      </rPr>
      <t>Ø</t>
    </r>
    <r>
      <rPr>
        <b/>
        <sz val="10"/>
        <rFont val="AcadNusx"/>
      </rPr>
      <t>=32 mm-mde SeZena da mowyoba</t>
    </r>
  </si>
  <si>
    <t>gv.16-18</t>
  </si>
  <si>
    <r>
      <t xml:space="preserve">mili polieTilenis </t>
    </r>
    <r>
      <rPr>
        <sz val="10"/>
        <rFont val="Arial"/>
        <family val="2"/>
        <charset val="204"/>
      </rPr>
      <t>Ø32</t>
    </r>
    <r>
      <rPr>
        <sz val="10"/>
        <rFont val="AcadNusx"/>
      </rPr>
      <t xml:space="preserve"> mm  </t>
    </r>
  </si>
  <si>
    <t>gv.10-28</t>
  </si>
  <si>
    <t>samagrebi</t>
  </si>
  <si>
    <t>22-23-1</t>
  </si>
  <si>
    <t>polieTilenis fasonuri nawilebis mowyoba</t>
  </si>
  <si>
    <t>gv.63-655</t>
  </si>
  <si>
    <t>gadamyvani 32X15 mm  polieTilenis</t>
  </si>
  <si>
    <t>samkapi 32X32X32 mm  polieTilenis</t>
  </si>
  <si>
    <t>gv.58-399</t>
  </si>
  <si>
    <r>
      <t xml:space="preserve">muxli </t>
    </r>
    <r>
      <rPr>
        <sz val="10"/>
        <rFont val="Arial"/>
        <family val="2"/>
        <charset val="204"/>
      </rPr>
      <t>Ø32</t>
    </r>
    <r>
      <rPr>
        <sz val="10"/>
        <rFont val="AcadNusx"/>
      </rPr>
      <t xml:space="preserve"> mm  polieTilenis</t>
    </r>
  </si>
  <si>
    <t>22-29-1</t>
  </si>
  <si>
    <t>gare xraxniani amerikankas montaJi d-32 mm</t>
  </si>
  <si>
    <t>gv.60-466</t>
  </si>
  <si>
    <t>gare xraxniani amerikanka d=32 mm</t>
  </si>
  <si>
    <t>დაერთების შტუცერის შეძენა და montaJi d-32 mm</t>
  </si>
  <si>
    <t>gv.57-312</t>
  </si>
  <si>
    <t>შტუცერი d=32 mm</t>
  </si>
  <si>
    <t xml:space="preserve">16-12-1 </t>
  </si>
  <si>
    <t>ventili (plastmasis)</t>
  </si>
  <si>
    <t xml:space="preserve">Sromis danaxarjebi </t>
  </si>
  <si>
    <t>gv.52-73</t>
  </si>
  <si>
    <t>ventili (plastmasis) d=25 mm</t>
  </si>
  <si>
    <t>samagri detalebi</t>
  </si>
  <si>
    <t>კანალიზაციის ქსელი</t>
  </si>
  <si>
    <t>16-6-1</t>
  </si>
  <si>
    <r>
      <t>kanalizaciis polipropilenis sqelkedliani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 xml:space="preserve">milebis d=50 mm SeZena-montaJi </t>
    </r>
    <r>
      <rPr>
        <b/>
        <sz val="10"/>
        <rFont val="Times New Roman"/>
        <family val="1"/>
        <charset val="204"/>
      </rPr>
      <t/>
    </r>
  </si>
  <si>
    <t>gr.m</t>
  </si>
  <si>
    <t xml:space="preserve">sxva manqana  </t>
  </si>
  <si>
    <t>gv.16-20</t>
  </si>
  <si>
    <r>
      <t xml:space="preserve">polipropilenis mili </t>
    </r>
    <r>
      <rPr>
        <sz val="10"/>
        <rFont val="Arial"/>
        <family val="2"/>
        <charset val="204"/>
      </rPr>
      <t>d=</t>
    </r>
    <r>
      <rPr>
        <sz val="10"/>
        <rFont val="AcadNusx"/>
      </rPr>
      <t>50 mm</t>
    </r>
  </si>
  <si>
    <t>22-23-1 misadag.</t>
  </si>
  <si>
    <t>polipropilenis kanalizaciis muxlebis SeZena da montaJi d=50 mm sxvadasaxva daxris kuTxiT</t>
  </si>
  <si>
    <t>gv.59-408</t>
  </si>
  <si>
    <r>
      <t>polipropilenis muxli 90</t>
    </r>
    <r>
      <rPr>
        <vertAlign val="superscript"/>
        <sz val="10"/>
        <rFont val="AcadNusx"/>
      </rPr>
      <t xml:space="preserve">0 </t>
    </r>
    <r>
      <rPr>
        <sz val="10"/>
        <rFont val="AcadNusx"/>
      </rPr>
      <t>d=50 mm</t>
    </r>
  </si>
  <si>
    <t>polipropilenis samkapebi mowyoba 50/50 sxvadasxva daxris kuTxiT</t>
  </si>
  <si>
    <t>gv.63-636</t>
  </si>
  <si>
    <r>
      <t>polipropilenis samkapi 90</t>
    </r>
    <r>
      <rPr>
        <vertAlign val="superscript"/>
        <sz val="10"/>
        <rFont val="AcadNusx"/>
      </rPr>
      <t>0</t>
    </r>
  </si>
  <si>
    <t>17-1-9</t>
  </si>
  <si>
    <t>brinjaos trapiს შეძენა და მონტაჟი d=50 mm</t>
  </si>
  <si>
    <t>gv.52-44</t>
  </si>
  <si>
    <t>brinjaos trapi d=50 mm</t>
  </si>
  <si>
    <t>maT Soris jami samSeneblo samuSaoebze</t>
  </si>
  <si>
    <t>maT Soris jami santeqnikur samuSaoebze</t>
  </si>
  <si>
    <t>zednadebi xarjebi samSeneblo samuSaoebze</t>
  </si>
  <si>
    <t>zednadebi xarjebi santeqnikur samuSaoebze</t>
  </si>
  <si>
    <t>masalis transporti</t>
  </si>
  <si>
    <t xml:space="preserve">gegmiuri dagroveba </t>
  </si>
  <si>
    <t xml:space="preserve">jami </t>
  </si>
  <si>
    <t>18-8-1</t>
  </si>
  <si>
    <r>
      <t xml:space="preserve">tumbo-dozatoris montaJi 10l/sT ; </t>
    </r>
    <r>
      <rPr>
        <b/>
        <sz val="10"/>
        <rFont val="Arial"/>
        <family val="2"/>
        <charset val="204"/>
      </rPr>
      <t>h</t>
    </r>
    <r>
      <rPr>
        <b/>
        <sz val="10"/>
        <rFont val="AcadNusx"/>
      </rPr>
      <t>=25m</t>
    </r>
  </si>
  <si>
    <t>komp</t>
  </si>
  <si>
    <r>
      <t xml:space="preserve">tumbo-dozatori 10l/sT; </t>
    </r>
    <r>
      <rPr>
        <sz val="10"/>
        <rFont val="Arial"/>
        <family val="2"/>
        <charset val="204"/>
      </rPr>
      <t>h</t>
    </r>
    <r>
      <rPr>
        <sz val="10"/>
        <rFont val="AcadNusx"/>
      </rPr>
      <t>=25m</t>
    </r>
  </si>
  <si>
    <t xml:space="preserve">16-24-3                                  </t>
  </si>
  <si>
    <r>
      <t>d25</t>
    </r>
    <r>
      <rPr>
        <b/>
        <sz val="10"/>
        <rFont val="AcadNusx"/>
      </rPr>
      <t>mm</t>
    </r>
    <r>
      <rPr>
        <b/>
        <sz val="10"/>
        <rFont val="Sylfaen"/>
        <family val="1"/>
        <charset val="204"/>
      </rPr>
      <t xml:space="preserve"> </t>
    </r>
    <r>
      <rPr>
        <b/>
        <sz val="10"/>
        <rFont val="Arial"/>
        <family val="2"/>
        <charset val="204"/>
      </rPr>
      <t xml:space="preserve">PN10 </t>
    </r>
    <r>
      <rPr>
        <b/>
        <sz val="10"/>
        <rFont val="AcadNusx"/>
      </rPr>
      <t>polipropilenis მილიs</t>
    </r>
    <r>
      <rPr>
        <b/>
        <sz val="10"/>
        <rFont val="Sylfaen"/>
        <family val="1"/>
        <charset val="204"/>
      </rPr>
      <t xml:space="preserve"> </t>
    </r>
    <r>
      <rPr>
        <b/>
        <sz val="10"/>
        <rFont val="AcadNusx"/>
      </rPr>
      <t>SeZena da montaJi hidravlikuri SemowmebiT saqloratoroSi</t>
    </r>
  </si>
  <si>
    <t>100m</t>
  </si>
  <si>
    <t>gv.16-17</t>
  </si>
  <si>
    <t xml:space="preserve">mili   d=25mm  </t>
  </si>
  <si>
    <t>gv.61-516</t>
  </si>
  <si>
    <t>quro plastmasis d25</t>
  </si>
  <si>
    <t>gv.59-405</t>
  </si>
  <si>
    <t>kuTxovana plastmasis d25</t>
  </si>
  <si>
    <t>gv.63-624</t>
  </si>
  <si>
    <t>samkapa plastmasis d25</t>
  </si>
  <si>
    <t>gv.57-329</t>
  </si>
  <si>
    <t>gadamyvani plastmasis d25</t>
  </si>
  <si>
    <t>samkapa gadamyvani plastmasis d25mm</t>
  </si>
  <si>
    <t>gv.60-486</t>
  </si>
  <si>
    <t>specSeerTebebi d25mm</t>
  </si>
  <si>
    <t>liTonis gadamyvani d25mm</t>
  </si>
  <si>
    <r>
      <t xml:space="preserve">adaptori d25mm </t>
    </r>
    <r>
      <rPr>
        <sz val="10"/>
        <rFont val="Arial"/>
        <family val="2"/>
        <charset val="204"/>
      </rPr>
      <t>PE/St</t>
    </r>
  </si>
  <si>
    <t>gv.61-532</t>
  </si>
  <si>
    <t>liTonis gadasaxsneli quroTi da kontrqanCiT d25</t>
  </si>
  <si>
    <t>16-12-1</t>
  </si>
  <si>
    <t>polipropilenis onkani d25mm SeZena da montaJi</t>
  </si>
  <si>
    <r>
      <t xml:space="preserve">polipropilenis onkani </t>
    </r>
    <r>
      <rPr>
        <sz val="10"/>
        <rFont val="Arial"/>
        <family val="2"/>
        <charset val="204"/>
      </rPr>
      <t>PN</t>
    </r>
    <r>
      <rPr>
        <sz val="10"/>
        <rFont val="AcadNusx"/>
      </rPr>
      <t xml:space="preserve">16 d25mm </t>
    </r>
  </si>
  <si>
    <t>16-24-4</t>
  </si>
  <si>
    <r>
      <t>d32</t>
    </r>
    <r>
      <rPr>
        <b/>
        <sz val="10"/>
        <rFont val="AcadNusx"/>
      </rPr>
      <t>mm</t>
    </r>
    <r>
      <rPr>
        <b/>
        <sz val="10"/>
        <rFont val="Sylfaen"/>
        <family val="1"/>
        <charset val="204"/>
      </rPr>
      <t xml:space="preserve"> </t>
    </r>
    <r>
      <rPr>
        <b/>
        <sz val="10"/>
        <rFont val="AcadNusx"/>
      </rPr>
      <t>polipropilenis მილიs</t>
    </r>
    <r>
      <rPr>
        <b/>
        <sz val="10"/>
        <rFont val="Sylfaen"/>
        <family val="1"/>
        <charset val="204"/>
      </rPr>
      <t xml:space="preserve"> </t>
    </r>
    <r>
      <rPr>
        <b/>
        <sz val="10"/>
        <rFont val="AcadNusx"/>
      </rPr>
      <t>SeZena da montaJi hidravlikuri SemowmebiT saqloratoroSi</t>
    </r>
  </si>
  <si>
    <t xml:space="preserve">polipropilenis mili d32mm </t>
  </si>
  <si>
    <t>gv.61-517</t>
  </si>
  <si>
    <t>polipropilenis quro d32</t>
  </si>
  <si>
    <t>gv.59-406</t>
  </si>
  <si>
    <t>polipropilenis kuTxovana d32mm</t>
  </si>
  <si>
    <t>polipropilenis wamgvari d32mm</t>
  </si>
  <si>
    <t>gv.63-625</t>
  </si>
  <si>
    <t>polipropilenis samkapa d32mm</t>
  </si>
  <si>
    <t>gv.60-487</t>
  </si>
  <si>
    <t>polipropilenis gadamyvani d32mm</t>
  </si>
  <si>
    <t>ამერიკანკა გადამყვანი PE/ST d40/32</t>
  </si>
  <si>
    <t xml:space="preserve">16-12-1            </t>
  </si>
  <si>
    <t>polipropilenis ventili d=25mm SeZena da montaJi</t>
  </si>
  <si>
    <t>polipropilenis ventili pn6 d25mm</t>
  </si>
  <si>
    <t>polipropilenis ventili qlorgamZle d32mm SeZena da montaJi</t>
  </si>
  <si>
    <t xml:space="preserve">polipropilenis ventili qlorgamZle d=32mm </t>
  </si>
  <si>
    <t>avzebis SeZena da montaJi</t>
  </si>
  <si>
    <t>gv.45-29</t>
  </si>
  <si>
    <t>daduRabebis avzi ix. nax. mp-67</t>
  </si>
  <si>
    <t>gamxsneli avzi ix. nax. mp-67</t>
  </si>
  <si>
    <t>sadoziro avzi ix. nax. mp-67</t>
  </si>
  <si>
    <t xml:space="preserve">16-12-1           </t>
  </si>
  <si>
    <t>polipropilenis ukusarqveli qlorgamZle d32mm SeZena da montaJi</t>
  </si>
  <si>
    <t>gv.55-223</t>
  </si>
  <si>
    <t xml:space="preserve">polipropilenis ukusarqveli qlorgamZle d32mm </t>
  </si>
  <si>
    <t>16-22</t>
  </si>
  <si>
    <t>milebis gamorecxva</t>
  </si>
  <si>
    <t>გვ.31-250</t>
  </si>
  <si>
    <t>wylis xarji</t>
  </si>
  <si>
    <t>9-17-5</t>
  </si>
  <si>
    <t>sadoziro tumbos sayrdeni uJangavi kuTxovanebisagan antikoroziuli dafarviT #50 SeZena da montaJi</t>
  </si>
  <si>
    <t>გვ.3-40</t>
  </si>
  <si>
    <t>kuTxovana #50</t>
  </si>
  <si>
    <t>გვ.10-23</t>
  </si>
  <si>
    <t>22-22-5</t>
  </si>
  <si>
    <t>foladis fasonuri nawilebi antikoroziuli dafarviT SeZena da montaJi</t>
  </si>
  <si>
    <t>გვ.39-14</t>
  </si>
  <si>
    <t>foladis fasonuri nawilebi antikoriziuli dafarviT</t>
  </si>
  <si>
    <t>saventilacio liTonis milis  mowyoba d159/5 3m SeZena da montaJi</t>
  </si>
  <si>
    <t>გვ.130-40</t>
  </si>
  <si>
    <t>foladis  mili l=3 m</t>
  </si>
  <si>
    <t>გვ.10-30</t>
  </si>
  <si>
    <t>samontaJo konstruqciebi</t>
  </si>
  <si>
    <t>el. SeduRebis quro d32 SeZena da mowyoba</t>
  </si>
  <si>
    <t>gv.61-552</t>
  </si>
  <si>
    <t xml:space="preserve">el. quro d32 </t>
  </si>
  <si>
    <t>მასალების ტრანსპორტირება</t>
  </si>
  <si>
    <t>გეგმიური დაგროვება</t>
  </si>
  <si>
    <t>ელ. მომარაგება</t>
  </si>
  <si>
    <t xml:space="preserve"> ელ.სამონტაჟო სამუშაოები</t>
  </si>
  <si>
    <t>8-526-5</t>
  </si>
  <si>
    <t>მთავარი გამანაწილებელი ფარის მონტაჟი 6 ავტომატზე</t>
  </si>
  <si>
    <t>გვ.113-328</t>
  </si>
  <si>
    <t>მთავარი გამანაწილებელი ფარი 6 ავტომატზე</t>
  </si>
  <si>
    <t>სხვა მასალები</t>
  </si>
  <si>
    <t>8-525-1</t>
  </si>
  <si>
    <t>orpolusiani ავტომატების მონტაჟი 16 ა.</t>
  </si>
  <si>
    <t>გვ.102-73</t>
  </si>
  <si>
    <t>ავტომატი სამფაზიანი 16A</t>
  </si>
  <si>
    <t>ერთ ფაზიანი ავტომატების მონტაჟი 16 ა.</t>
  </si>
  <si>
    <t>გვ.101-63</t>
  </si>
  <si>
    <t>ავტომატი ერთფაზიანი 16A</t>
  </si>
  <si>
    <t>8-591-7</t>
  </si>
  <si>
    <t>როზეტის მონტაჟი  (დამიწებით)</t>
  </si>
  <si>
    <t>გვ.106-252</t>
  </si>
  <si>
    <t>როზეტი დამამიწებელი კონტაქტით</t>
  </si>
  <si>
    <t>8-591-2</t>
  </si>
  <si>
    <t xml:space="preserve">სამპოლუსიანი  ჩამრთველის მონტაჟი  </t>
  </si>
  <si>
    <t>გვ.106-278*1,5</t>
  </si>
  <si>
    <t>სამპოლუსიანი  ჩამრთველი</t>
  </si>
  <si>
    <t>8-601-3</t>
  </si>
  <si>
    <t>ლუმინისცენტური სანათი ЛПО 4X18</t>
  </si>
  <si>
    <t>გვ.105-212</t>
  </si>
  <si>
    <t>ლუმინისცენტური სანათი ЛПО 4x18</t>
  </si>
  <si>
    <t>8-402-2</t>
  </si>
  <si>
    <t>კაბელარხის მოწყობა 40X25</t>
  </si>
  <si>
    <t>გვ.114-370</t>
  </si>
  <si>
    <t>კაბელარხი 40X25</t>
  </si>
  <si>
    <t>ელ. სადენების და კაბელების მონტაჟი</t>
  </si>
  <si>
    <t>გვ.86-44</t>
  </si>
  <si>
    <r>
      <t>ძალოვანი ელ. სადენი 3X4-1X2,5 მმ</t>
    </r>
    <r>
      <rPr>
        <vertAlign val="superscript"/>
        <sz val="10"/>
        <rFont val="AcadNusx"/>
      </rPr>
      <t>2</t>
    </r>
  </si>
  <si>
    <t>გვ.87-24</t>
  </si>
  <si>
    <r>
      <t xml:space="preserve">ელ. სადენი  </t>
    </r>
    <r>
      <rPr>
        <sz val="10"/>
        <rFont val="Arial"/>
        <family val="2"/>
        <charset val="204"/>
      </rPr>
      <t xml:space="preserve">3x2,5 </t>
    </r>
    <r>
      <rPr>
        <sz val="10"/>
        <rFont val="AcadNusx"/>
      </rPr>
      <t>მმ2</t>
    </r>
  </si>
  <si>
    <t>დამიწების კონტურის მოწყობა</t>
  </si>
  <si>
    <t>8-472-2</t>
  </si>
  <si>
    <t>დამიწების მოწყობა</t>
  </si>
  <si>
    <t>gv.6-62</t>
  </si>
  <si>
    <t xml:space="preserve">ზოლოვანა ფოლადის </t>
  </si>
  <si>
    <t>gv.116-8</t>
  </si>
  <si>
    <t xml:space="preserve">დამიწების ელექტროდი </t>
  </si>
  <si>
    <t>gv.98-149</t>
  </si>
  <si>
    <t>ცალუღი (ხამუტი)</t>
  </si>
  <si>
    <t>gv.87-88</t>
  </si>
  <si>
    <r>
      <t>დამიწების ელ. სადენი</t>
    </r>
    <r>
      <rPr>
        <sz val="10"/>
        <rFont val="Arial"/>
        <family val="2"/>
        <charset val="204"/>
      </rPr>
      <t xml:space="preserve"> 1x10 </t>
    </r>
    <r>
      <rPr>
        <sz val="10"/>
        <rFont val="AcadNusx"/>
      </rPr>
      <t>მმ</t>
    </r>
    <r>
      <rPr>
        <vertAlign val="superscript"/>
        <sz val="10"/>
        <rFont val="AcadNusx"/>
      </rPr>
      <t>2</t>
    </r>
  </si>
  <si>
    <t xml:space="preserve">მასალების ტრანსპორტირება </t>
  </si>
  <si>
    <t>ზედნადები ხარჯები ელ. სამონტაჟო სამუშაოებზე</t>
  </si>
  <si>
    <t xml:space="preserve">ჯამი </t>
  </si>
  <si>
    <t>საქლორატოროს შენობა</t>
  </si>
  <si>
    <t>B-6.1</t>
  </si>
  <si>
    <t>B-6.2</t>
  </si>
  <si>
    <t>B-6.3</t>
  </si>
  <si>
    <t>სემეკის N20 დადგენილებით ელ. მიერთების საფასური</t>
  </si>
  <si>
    <t xml:space="preserve">betonis saZirkvlis mowyoba SemoRobvis boZebisTvis m-150   40X40X60 sm </t>
  </si>
  <si>
    <t>xis yalibis fari</t>
  </si>
  <si>
    <t>xis Camoganili ficari 40-60 mm</t>
  </si>
  <si>
    <t>daWimuli mavTulbadis segmentebiT Robis SeZena da mowyoba</t>
  </si>
  <si>
    <t>გვ.17-67</t>
  </si>
  <si>
    <t>გვ.1-34</t>
  </si>
  <si>
    <t>გვ.10-112</t>
  </si>
  <si>
    <t>გვ.8-47</t>
  </si>
  <si>
    <t>mavTul bade 50X50X3,0 mm</t>
  </si>
  <si>
    <t>WiSkarisa da kutikaris SeZena damzadeba da montaJi</t>
  </si>
  <si>
    <t xml:space="preserve">Sromis danaxarji </t>
  </si>
  <si>
    <t>გვ.13-28</t>
  </si>
  <si>
    <t>liTonis mili 60.3X4 mm</t>
  </si>
  <si>
    <t>გვ.3-50</t>
  </si>
  <si>
    <t>kuTxovana 45X45X4 mm</t>
  </si>
  <si>
    <t>გვ.5-24</t>
  </si>
  <si>
    <t>furclovana</t>
  </si>
  <si>
    <t>გვ.1-16</t>
  </si>
  <si>
    <t>გვ.54-140</t>
  </si>
  <si>
    <t>გვ.54-135</t>
  </si>
  <si>
    <t>გვ.43-35</t>
  </si>
  <si>
    <t>gv.36-2</t>
  </si>
  <si>
    <t>gv.36-8</t>
  </si>
  <si>
    <t>გვ.51-14</t>
  </si>
  <si>
    <t>გვ.51-17</t>
  </si>
  <si>
    <t>გვ.10-26</t>
  </si>
  <si>
    <t>გვ.1-6</t>
  </si>
  <si>
    <t>gv.52-60</t>
  </si>
  <si>
    <t>გვ.51-18</t>
  </si>
  <si>
    <t>gv.10-25</t>
  </si>
  <si>
    <t>გვ.51-10</t>
  </si>
  <si>
    <t>gv.10-112</t>
  </si>
  <si>
    <t>gv.30-135</t>
  </si>
  <si>
    <t>gv.13-1</t>
  </si>
  <si>
    <t>gv.37-4</t>
  </si>
  <si>
    <t>gv.41-4</t>
  </si>
  <si>
    <t>gv.41-3</t>
  </si>
  <si>
    <t>gv.37-5</t>
  </si>
  <si>
    <t>gv.36-3</t>
  </si>
  <si>
    <t>gv.128-49</t>
  </si>
  <si>
    <t>gv.128-48</t>
  </si>
  <si>
    <t>გვ.127-36</t>
  </si>
  <si>
    <t>საგარეჯოს მუნიციპალიტეტის სოფელ იორმუღალოს მაგისტრალური მილსადენის რეაბილიტაცია</t>
  </si>
  <si>
    <t>liTonis kvadratuli mili 40X40X3 mm</t>
  </si>
  <si>
    <t>თუნუქის ფურცელი 0,5 მმ</t>
  </si>
  <si>
    <t>პარაპეტის შეფუთვა თუნუქის 0.5 mm ფურცლით SeZena da mowyoba</t>
  </si>
  <si>
    <t>თუნუქის ფურცელი sisqiT 0,5 მმ</t>
  </si>
  <si>
    <t>brtyeli Tunuqis sisqiT 0.5 mm გადახურვის SeZena da მოწყობა</t>
  </si>
  <si>
    <t>ხარჯთაღრიცხვა დანართი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</si>
</sst>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-* #,##0.00_-;\-* #,##0.00_-;_-* &quot;-&quot;??_-;_-@_-"/>
    <numFmt numFmtId="165" formatCode="_-* #,##0.00\ _₾_-;\-* #,##0.00\ _₾_-;_-* &quot;-&quot;??\ _₾_-;_-@_-"/>
    <numFmt numFmtId="166" formatCode="_-* #,##0.00_р_._-;\-* #,##0.00_р_._-;_-* &quot;-&quot;??_р_._-;_-@_-"/>
    <numFmt numFmtId="167" formatCode="0.0%"/>
    <numFmt numFmtId="168" formatCode="0.000"/>
    <numFmt numFmtId="169" formatCode="0.0"/>
    <numFmt numFmtId="170" formatCode="0.0000"/>
    <numFmt numFmtId="171" formatCode="_(* #,##0.00_);_(* \(#,##0.00\);_(* &quot;-&quot;???_);_(@_)"/>
    <numFmt numFmtId="172" formatCode="_-* #,##0.00\ _L_a_r_i_-;\-* #,##0.00\ _L_a_r_i_-;_-* &quot;-&quot;??\ _L_a_r_i_-;_-@_-"/>
    <numFmt numFmtId="173" formatCode="_-* #,##0_р_._-;\-* #,##0_р_._-;_-* &quot;-&quot;??_р_._-;_-@_-"/>
    <numFmt numFmtId="174" formatCode="_-* #,##0.000_р_._-;\-* #,##0.000_р_._-;_-* &quot;-&quot;???_р_._-;_-@_-"/>
    <numFmt numFmtId="175" formatCode="_(* #,##0.0_);_(* \(#,##0.0\);_(* &quot;-&quot;??_);_(@_)"/>
    <numFmt numFmtId="176" formatCode="0.000000"/>
    <numFmt numFmtId="177" formatCode="0;[Red]0"/>
    <numFmt numFmtId="178" formatCode="0.00000"/>
    <numFmt numFmtId="179" formatCode="#,##0.00000"/>
    <numFmt numFmtId="180" formatCode="#,##0.0000"/>
    <numFmt numFmtId="181" formatCode="#,##0.0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Sylfaen"/>
      <family val="1"/>
      <charset val="204"/>
    </font>
    <font>
      <b/>
      <sz val="12"/>
      <name val="Sylfaen"/>
      <family val="1"/>
      <charset val="204"/>
    </font>
    <font>
      <sz val="24"/>
      <name val="Sylfaen"/>
      <family val="1"/>
      <charset val="204"/>
    </font>
    <font>
      <sz val="12"/>
      <name val="Sylfaen"/>
      <family val="1"/>
      <charset val="204"/>
    </font>
    <font>
      <u/>
      <sz val="16"/>
      <name val="Sylfaen"/>
      <family val="1"/>
      <charset val="204"/>
    </font>
    <font>
      <b/>
      <sz val="14"/>
      <name val="Sylfaen"/>
      <family val="1"/>
      <charset val="204"/>
    </font>
    <font>
      <sz val="10"/>
      <name val="Arial"/>
      <family val="2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9"/>
      <name val="AcadNusx"/>
    </font>
    <font>
      <b/>
      <sz val="9"/>
      <name val="AcadNusx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Calibri"/>
      <family val="2"/>
    </font>
    <font>
      <sz val="10"/>
      <name val="Arial Cyr"/>
      <charset val="1"/>
    </font>
    <font>
      <b/>
      <sz val="9"/>
      <name val="Sylfaen"/>
      <family val="1"/>
      <charset val="1"/>
    </font>
    <font>
      <sz val="10"/>
      <name val="Arial"/>
      <family val="2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name val="Sylfaen"/>
      <family val="1"/>
      <charset val="1"/>
    </font>
    <font>
      <sz val="10"/>
      <name val="Sylfaen"/>
      <family val="1"/>
      <charset val="1"/>
    </font>
    <font>
      <b/>
      <u/>
      <sz val="10"/>
      <name val="Sylfaen"/>
      <family val="1"/>
      <charset val="1"/>
    </font>
    <font>
      <b/>
      <sz val="10"/>
      <name val="Sylfaen"/>
      <family val="1"/>
      <charset val="1"/>
    </font>
    <font>
      <b/>
      <sz val="10"/>
      <name val="AcadNusx"/>
    </font>
    <font>
      <sz val="10"/>
      <name val="AcadNusx"/>
    </font>
    <font>
      <sz val="11"/>
      <name val="AcadNusx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AcadNusx"/>
    </font>
    <font>
      <sz val="11"/>
      <name val="Academiuri Normaluri"/>
    </font>
    <font>
      <sz val="8"/>
      <name val="AcadNusx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1"/>
    </font>
    <font>
      <b/>
      <sz val="10"/>
      <name val="Arial"/>
      <family val="2"/>
      <charset val="204"/>
    </font>
    <font>
      <sz val="8"/>
      <name val="Calibri"/>
      <family val="2"/>
      <scheme val="minor"/>
    </font>
    <font>
      <b/>
      <sz val="8"/>
      <name val="AcadNusx"/>
    </font>
    <font>
      <sz val="8"/>
      <name val="Sylfaen"/>
      <family val="1"/>
      <charset val="1"/>
    </font>
    <font>
      <b/>
      <sz val="8"/>
      <name val="Sylfaen"/>
      <family val="1"/>
      <charset val="1"/>
    </font>
    <font>
      <i/>
      <sz val="10"/>
      <name val="AcadNusx"/>
    </font>
    <font>
      <sz val="10"/>
      <name val="არიალ"/>
      <charset val="204"/>
    </font>
    <font>
      <sz val="11"/>
      <name val="AcadMtavr"/>
    </font>
    <font>
      <sz val="9"/>
      <name val="Sylfaen"/>
      <family val="1"/>
      <charset val="1"/>
    </font>
    <font>
      <sz val="10"/>
      <color theme="1"/>
      <name val="AcadNusx"/>
    </font>
    <font>
      <b/>
      <sz val="10"/>
      <color theme="1"/>
      <name val="AcadNusx"/>
    </font>
    <font>
      <sz val="9"/>
      <name val="Arial"/>
      <family val="2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1"/>
    </font>
    <font>
      <b/>
      <sz val="10"/>
      <color theme="1"/>
      <name val="Sylfaen"/>
      <family val="1"/>
      <charset val="1"/>
    </font>
    <font>
      <b/>
      <vertAlign val="superscript"/>
      <sz val="9"/>
      <name val="AcadNusx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name val="AcadMtavr"/>
    </font>
    <font>
      <sz val="10"/>
      <name val="Sylfaen"/>
      <family val="1"/>
      <charset val="204"/>
    </font>
    <font>
      <sz val="9"/>
      <color theme="1"/>
      <name val="AcadNusx"/>
    </font>
    <font>
      <b/>
      <u/>
      <sz val="10"/>
      <name val="Sylfaen"/>
      <family val="1"/>
      <charset val="204"/>
    </font>
    <font>
      <sz val="8"/>
      <name val="Sylfaen"/>
      <family val="1"/>
      <charset val="204"/>
    </font>
    <font>
      <b/>
      <sz val="8"/>
      <name val="Sylfaen"/>
      <family val="1"/>
      <charset val="204"/>
    </font>
    <font>
      <vertAlign val="superscript"/>
      <sz val="10"/>
      <name val="AcadNusx"/>
    </font>
    <font>
      <sz val="11"/>
      <color rgb="FFFF0000"/>
      <name val="Sylfaen"/>
      <family val="1"/>
      <charset val="204"/>
    </font>
    <font>
      <b/>
      <sz val="11"/>
      <color rgb="FFFF0000"/>
      <name val="AcadNusx"/>
    </font>
    <font>
      <sz val="11"/>
      <name val="Arial"/>
      <family val="2"/>
      <charset val="204"/>
    </font>
    <font>
      <sz val="11"/>
      <color rgb="FFFF0000"/>
      <name val="AcadNusx"/>
    </font>
    <font>
      <b/>
      <sz val="11"/>
      <name val="Arial"/>
      <family val="2"/>
      <charset val="204"/>
    </font>
    <font>
      <b/>
      <sz val="11"/>
      <name val="AcadNusx"/>
    </font>
    <font>
      <b/>
      <sz val="12"/>
      <name val="Arial"/>
      <family val="2"/>
      <charset val="1"/>
    </font>
    <font>
      <b/>
      <u/>
      <sz val="10"/>
      <name val="AcadNusx"/>
    </font>
    <font>
      <b/>
      <strike/>
      <sz val="10"/>
      <name val="AcadNusx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Calibri"/>
      <family val="2"/>
      <scheme val="minor"/>
    </font>
    <font>
      <b/>
      <i/>
      <sz val="10"/>
      <name val="AcadNusx"/>
    </font>
    <font>
      <sz val="12"/>
      <name val="AcadNusx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8" fillId="0" borderId="0" applyFont="0" applyFill="0" applyBorder="0" applyAlignment="0" applyProtection="0"/>
    <xf numFmtId="0" fontId="20" fillId="0" borderId="0"/>
    <xf numFmtId="0" fontId="6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8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22" fillId="0" borderId="0"/>
    <xf numFmtId="43" fontId="1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0" fontId="7" fillId="0" borderId="0"/>
    <xf numFmtId="0" fontId="20" fillId="0" borderId="0"/>
    <xf numFmtId="0" fontId="7" fillId="0" borderId="0"/>
    <xf numFmtId="0" fontId="21" fillId="0" borderId="0"/>
    <xf numFmtId="0" fontId="23" fillId="0" borderId="0"/>
    <xf numFmtId="0" fontId="21" fillId="0" borderId="0"/>
    <xf numFmtId="0" fontId="7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24" fillId="0" borderId="0"/>
    <xf numFmtId="9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</cellStyleXfs>
  <cellXfs count="1029">
    <xf numFmtId="0" fontId="0" fillId="0" borderId="0" xfId="0"/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ont="1" applyFill="1" applyAlignment="1"/>
    <xf numFmtId="0" fontId="14" fillId="0" borderId="0" xfId="1" applyFont="1" applyFill="1"/>
    <xf numFmtId="0" fontId="12" fillId="0" borderId="0" xfId="3" applyFont="1" applyFill="1"/>
    <xf numFmtId="0" fontId="12" fillId="0" borderId="0" xfId="3" applyFont="1" applyFill="1" applyAlignment="1">
      <alignment horizontal="left" vertical="center" wrapText="1"/>
    </xf>
    <xf numFmtId="0" fontId="12" fillId="0" borderId="0" xfId="4" applyFont="1" applyFill="1"/>
    <xf numFmtId="0" fontId="12" fillId="0" borderId="0" xfId="3" applyFont="1" applyFill="1" applyAlignment="1">
      <alignment vertical="center" wrapText="1"/>
    </xf>
    <xf numFmtId="9" fontId="12" fillId="0" borderId="0" xfId="1" applyNumberFormat="1" applyFont="1" applyFill="1" applyAlignment="1"/>
    <xf numFmtId="9" fontId="12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167" fontId="12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wrapText="1"/>
    </xf>
    <xf numFmtId="0" fontId="12" fillId="0" borderId="0" xfId="1" applyFont="1" applyFill="1" applyAlignment="1">
      <alignment vertical="center" wrapText="1"/>
    </xf>
    <xf numFmtId="0" fontId="12" fillId="0" borderId="0" xfId="4" applyFont="1" applyFill="1" applyAlignment="1">
      <alignment vertical="center"/>
    </xf>
    <xf numFmtId="0" fontId="9" fillId="0" borderId="0" xfId="1" applyFont="1" applyFill="1" applyAlignment="1">
      <alignment wrapText="1"/>
    </xf>
    <xf numFmtId="2" fontId="16" fillId="0" borderId="1" xfId="0" applyNumberFormat="1" applyFont="1" applyFill="1" applyBorder="1" applyAlignment="1">
      <alignment horizontal="center" vertical="center" wrapText="1"/>
    </xf>
    <xf numFmtId="173" fontId="35" fillId="0" borderId="0" xfId="53" applyNumberFormat="1" applyFont="1" applyAlignment="1">
      <alignment horizontal="center" vertical="center" wrapText="1"/>
    </xf>
    <xf numFmtId="0" fontId="35" fillId="0" borderId="0" xfId="53" applyNumberFormat="1" applyFont="1" applyAlignment="1">
      <alignment horizontal="center" vertical="center" wrapText="1"/>
    </xf>
    <xf numFmtId="173" fontId="35" fillId="0" borderId="0" xfId="53" applyNumberFormat="1" applyFont="1" applyAlignment="1">
      <alignment vertical="center" wrapText="1"/>
    </xf>
    <xf numFmtId="173" fontId="35" fillId="0" borderId="0" xfId="53" applyNumberFormat="1" applyFont="1" applyAlignment="1">
      <alignment horizontal="left" vertical="center" wrapText="1"/>
    </xf>
    <xf numFmtId="173" fontId="35" fillId="0" borderId="0" xfId="53" applyNumberFormat="1" applyFont="1" applyAlignment="1">
      <alignment vertical="center"/>
    </xf>
    <xf numFmtId="166" fontId="35" fillId="0" borderId="0" xfId="53" applyNumberFormat="1" applyFont="1" applyAlignment="1">
      <alignment horizontal="center" vertical="center" wrapText="1"/>
    </xf>
    <xf numFmtId="166" fontId="35" fillId="0" borderId="0" xfId="53" applyNumberFormat="1" applyFont="1" applyAlignment="1">
      <alignment vertical="center" wrapText="1"/>
    </xf>
    <xf numFmtId="166" fontId="35" fillId="0" borderId="0" xfId="53" applyNumberFormat="1" applyFont="1" applyAlignment="1">
      <alignment horizontal="left" vertical="center" wrapText="1"/>
    </xf>
    <xf numFmtId="166" fontId="35" fillId="0" borderId="0" xfId="53" applyNumberFormat="1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9" fontId="16" fillId="0" borderId="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1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47" fillId="0" borderId="0" xfId="39" applyFont="1" applyFill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top" wrapText="1"/>
    </xf>
    <xf numFmtId="0" fontId="46" fillId="0" borderId="1" xfId="0" quotePrefix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36" fillId="0" borderId="0" xfId="0" applyFont="1"/>
    <xf numFmtId="0" fontId="35" fillId="0" borderId="0" xfId="41" applyFont="1" applyAlignment="1">
      <alignment vertical="center"/>
    </xf>
    <xf numFmtId="0" fontId="35" fillId="0" borderId="0" xfId="41" applyFont="1" applyAlignment="1">
      <alignment horizontal="center" vertical="center"/>
    </xf>
    <xf numFmtId="0" fontId="35" fillId="2" borderId="1" xfId="41" applyFont="1" applyFill="1" applyBorder="1" applyAlignment="1">
      <alignment horizontal="center" vertical="center"/>
    </xf>
    <xf numFmtId="0" fontId="35" fillId="2" borderId="0" xfId="41" applyFont="1" applyFill="1" applyAlignment="1">
      <alignment vertical="center"/>
    </xf>
    <xf numFmtId="0" fontId="35" fillId="0" borderId="0" xfId="39" applyFont="1" applyAlignment="1">
      <alignment vertical="center" wrapText="1"/>
    </xf>
    <xf numFmtId="0" fontId="33" fillId="0" borderId="0" xfId="41" applyFont="1"/>
    <xf numFmtId="0" fontId="34" fillId="0" borderId="0" xfId="41" applyFont="1"/>
    <xf numFmtId="2" fontId="33" fillId="0" borderId="0" xfId="41" applyNumberFormat="1" applyFont="1" applyAlignment="1">
      <alignment horizontal="center"/>
    </xf>
    <xf numFmtId="0" fontId="40" fillId="0" borderId="0" xfId="41" applyFont="1"/>
    <xf numFmtId="172" fontId="34" fillId="0" borderId="0" xfId="41" applyNumberFormat="1" applyFont="1"/>
    <xf numFmtId="0" fontId="35" fillId="0" borderId="0" xfId="41" applyFont="1" applyAlignment="1">
      <alignment horizontal="left" vertical="center" wrapText="1"/>
    </xf>
    <xf numFmtId="10" fontId="35" fillId="0" borderId="0" xfId="41" applyNumberFormat="1" applyFont="1" applyAlignment="1">
      <alignment vertical="center"/>
    </xf>
    <xf numFmtId="9" fontId="35" fillId="0" borderId="0" xfId="41" applyNumberFormat="1" applyFont="1" applyAlignment="1">
      <alignment vertical="center"/>
    </xf>
    <xf numFmtId="0" fontId="35" fillId="0" borderId="0" xfId="41" applyFont="1" applyAlignment="1">
      <alignment horizontal="center" vertical="center" wrapText="1"/>
    </xf>
    <xf numFmtId="0" fontId="35" fillId="0" borderId="0" xfId="41" applyFont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1" applyFont="1" applyFill="1" applyBorder="1" applyAlignment="1">
      <alignment horizontal="center" vertical="center"/>
    </xf>
    <xf numFmtId="2" fontId="34" fillId="0" borderId="1" xfId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68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quotePrefix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16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39" applyFont="1" applyFill="1" applyBorder="1" applyAlignment="1">
      <alignment horizontal="center" vertical="center"/>
    </xf>
    <xf numFmtId="0" fontId="34" fillId="0" borderId="1" xfId="41" applyFont="1" applyFill="1" applyBorder="1" applyAlignment="1">
      <alignment horizontal="center" vertical="center" wrapText="1"/>
    </xf>
    <xf numFmtId="0" fontId="33" fillId="0" borderId="1" xfId="41" applyFont="1" applyFill="1" applyBorder="1" applyAlignment="1">
      <alignment horizontal="center" vertical="center" wrapText="1"/>
    </xf>
    <xf numFmtId="0" fontId="34" fillId="0" borderId="1" xfId="41" applyFont="1" applyFill="1" applyBorder="1" applyAlignment="1">
      <alignment horizontal="center" vertical="center"/>
    </xf>
    <xf numFmtId="0" fontId="34" fillId="0" borderId="1" xfId="41" applyFont="1" applyFill="1" applyBorder="1" applyAlignment="1">
      <alignment horizontal="left" vertical="center" wrapText="1"/>
    </xf>
    <xf numFmtId="0" fontId="33" fillId="0" borderId="1" xfId="41" applyFont="1" applyFill="1" applyBorder="1" applyAlignment="1">
      <alignment horizontal="left" vertical="center" wrapText="1"/>
    </xf>
    <xf numFmtId="0" fontId="34" fillId="0" borderId="2" xfId="41" applyFont="1" applyFill="1" applyBorder="1" applyAlignment="1">
      <alignment horizontal="center" vertical="center" wrapText="1"/>
    </xf>
    <xf numFmtId="2" fontId="34" fillId="0" borderId="2" xfId="4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vertical="center" wrapText="1"/>
    </xf>
    <xf numFmtId="0" fontId="29" fillId="0" borderId="0" xfId="39" applyFont="1" applyFill="1" applyAlignment="1">
      <alignment vertical="center" shrinkToFit="1"/>
    </xf>
    <xf numFmtId="0" fontId="32" fillId="0" borderId="1" xfId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left" vertical="center"/>
    </xf>
    <xf numFmtId="0" fontId="34" fillId="0" borderId="1" xfId="39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top" wrapText="1"/>
    </xf>
    <xf numFmtId="2" fontId="34" fillId="0" borderId="1" xfId="41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49" fontId="43" fillId="0" borderId="0" xfId="0" applyNumberFormat="1" applyFont="1" applyFill="1"/>
    <xf numFmtId="49" fontId="25" fillId="0" borderId="0" xfId="39" applyNumberFormat="1" applyFont="1" applyFill="1" applyAlignment="1">
      <alignment horizontal="center" vertical="center" shrinkToFit="1"/>
    </xf>
    <xf numFmtId="0" fontId="47" fillId="0" borderId="0" xfId="39" applyFont="1" applyFill="1" applyAlignment="1">
      <alignment horizontal="center" vertical="center" wrapText="1" shrinkToFit="1"/>
    </xf>
    <xf numFmtId="2" fontId="33" fillId="0" borderId="1" xfId="41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top" wrapText="1"/>
    </xf>
    <xf numFmtId="0" fontId="33" fillId="0" borderId="1" xfId="41" applyFont="1" applyFill="1" applyBorder="1" applyAlignment="1">
      <alignment horizontal="center" vertical="center"/>
    </xf>
    <xf numFmtId="0" fontId="35" fillId="0" borderId="1" xfId="41" applyFont="1" applyBorder="1" applyAlignment="1">
      <alignment horizontal="center" vertical="center" wrapText="1"/>
    </xf>
    <xf numFmtId="0" fontId="35" fillId="0" borderId="1" xfId="4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57" fillId="0" borderId="1" xfId="1" applyNumberFormat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vertical="center" wrapText="1"/>
    </xf>
    <xf numFmtId="0" fontId="54" fillId="0" borderId="1" xfId="1" applyFont="1" applyFill="1" applyBorder="1" applyAlignment="1">
      <alignment horizontal="center" vertical="center"/>
    </xf>
    <xf numFmtId="2" fontId="54" fillId="0" borderId="1" xfId="1" applyNumberFormat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/>
    </xf>
    <xf numFmtId="2" fontId="53" fillId="0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/>
    </xf>
    <xf numFmtId="2" fontId="53" fillId="0" borderId="1" xfId="1" applyNumberFormat="1" applyFont="1" applyFill="1" applyBorder="1" applyAlignment="1">
      <alignment horizontal="center" vertical="center" wrapText="1"/>
    </xf>
    <xf numFmtId="49" fontId="59" fillId="0" borderId="1" xfId="1" applyNumberFormat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vertical="center" wrapText="1"/>
    </xf>
    <xf numFmtId="0" fontId="58" fillId="0" borderId="1" xfId="1" applyFont="1" applyFill="1" applyBorder="1" applyAlignment="1">
      <alignment vertical="center" wrapText="1"/>
    </xf>
    <xf numFmtId="49" fontId="59" fillId="0" borderId="3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39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left" vertical="center" wrapText="1"/>
    </xf>
    <xf numFmtId="168" fontId="18" fillId="0" borderId="1" xfId="56" applyNumberFormat="1" applyFont="1" applyFill="1" applyBorder="1" applyAlignment="1">
      <alignment horizontal="center" vertical="center"/>
    </xf>
    <xf numFmtId="170" fontId="18" fillId="0" borderId="1" xfId="56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 wrapText="1"/>
    </xf>
    <xf numFmtId="0" fontId="18" fillId="0" borderId="1" xfId="39" applyFont="1" applyFill="1" applyBorder="1" applyAlignment="1">
      <alignment horizontal="left" vertical="center"/>
    </xf>
    <xf numFmtId="168" fontId="18" fillId="0" borderId="1" xfId="0" applyNumberFormat="1" applyFont="1" applyFill="1" applyBorder="1" applyAlignment="1">
      <alignment horizontal="center" vertical="center" wrapText="1"/>
    </xf>
    <xf numFmtId="0" fontId="19" fillId="0" borderId="1" xfId="56" applyFont="1" applyFill="1" applyBorder="1" applyAlignment="1">
      <alignment horizontal="center" vertical="center" wrapText="1"/>
    </xf>
    <xf numFmtId="0" fontId="19" fillId="0" borderId="1" xfId="56" applyFont="1" applyFill="1" applyBorder="1" applyAlignment="1">
      <alignment wrapText="1"/>
    </xf>
    <xf numFmtId="0" fontId="19" fillId="0" borderId="1" xfId="56" applyFont="1" applyFill="1" applyBorder="1" applyAlignment="1">
      <alignment horizontal="center" vertical="center"/>
    </xf>
    <xf numFmtId="2" fontId="18" fillId="0" borderId="1" xfId="56" applyNumberFormat="1" applyFont="1" applyFill="1" applyBorder="1" applyAlignment="1">
      <alignment horizontal="center" vertical="center"/>
    </xf>
    <xf numFmtId="1" fontId="19" fillId="0" borderId="1" xfId="56" applyNumberFormat="1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 wrapText="1"/>
    </xf>
    <xf numFmtId="0" fontId="18" fillId="0" borderId="1" xfId="56" applyFont="1" applyFill="1" applyBorder="1" applyAlignment="1">
      <alignment vertical="center" wrapText="1"/>
    </xf>
    <xf numFmtId="0" fontId="18" fillId="0" borderId="1" xfId="56" applyFont="1" applyFill="1" applyBorder="1" applyAlignment="1">
      <alignment horizontal="center" vertical="center"/>
    </xf>
    <xf numFmtId="171" fontId="18" fillId="0" borderId="1" xfId="56" applyNumberFormat="1" applyFont="1" applyFill="1" applyBorder="1" applyAlignment="1">
      <alignment horizontal="center" vertical="center"/>
    </xf>
    <xf numFmtId="0" fontId="19" fillId="0" borderId="1" xfId="3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1" fillId="0" borderId="0" xfId="39" applyFont="1" applyFill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31" fillId="0" borderId="0" xfId="39" applyFont="1" applyFill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35" fillId="0" borderId="1" xfId="41" applyFont="1" applyBorder="1" applyAlignment="1">
      <alignment horizontal="center" vertical="center"/>
    </xf>
    <xf numFmtId="0" fontId="35" fillId="0" borderId="1" xfId="4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9" fillId="0" borderId="0" xfId="1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6" fillId="0" borderId="0" xfId="0" applyFont="1" applyFill="1"/>
    <xf numFmtId="0" fontId="42" fillId="0" borderId="0" xfId="0" applyFont="1" applyFill="1"/>
    <xf numFmtId="0" fontId="4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9" fillId="0" borderId="0" xfId="39" applyFont="1" applyFill="1" applyAlignment="1">
      <alignment vertical="center" wrapText="1"/>
    </xf>
    <xf numFmtId="0" fontId="9" fillId="0" borderId="0" xfId="0" applyFont="1" applyFill="1"/>
    <xf numFmtId="0" fontId="10" fillId="0" borderId="0" xfId="39" applyFont="1" applyFill="1" applyAlignment="1">
      <alignment vertical="center" shrinkToFit="1"/>
    </xf>
    <xf numFmtId="49" fontId="68" fillId="0" borderId="0" xfId="39" applyNumberFormat="1" applyFont="1" applyFill="1" applyAlignment="1">
      <alignment horizontal="center" vertical="center" wrapText="1" shrinkToFit="1"/>
    </xf>
    <xf numFmtId="49" fontId="69" fillId="0" borderId="0" xfId="39" applyNumberFormat="1" applyFont="1" applyFill="1" applyAlignment="1">
      <alignment horizontal="center" vertical="center" shrinkToFit="1"/>
    </xf>
    <xf numFmtId="49" fontId="16" fillId="0" borderId="0" xfId="39" applyNumberFormat="1" applyFont="1" applyFill="1" applyAlignment="1">
      <alignment horizontal="center" vertical="center" shrinkToFit="1"/>
    </xf>
    <xf numFmtId="0" fontId="69" fillId="0" borderId="0" xfId="39" applyFont="1" applyFill="1" applyAlignment="1">
      <alignment horizontal="center" vertical="center" wrapText="1" shrinkToFit="1"/>
    </xf>
    <xf numFmtId="0" fontId="70" fillId="0" borderId="2" xfId="0" applyFont="1" applyFill="1" applyBorder="1" applyAlignment="1">
      <alignment horizontal="center" vertical="center"/>
    </xf>
    <xf numFmtId="2" fontId="70" fillId="0" borderId="1" xfId="0" applyNumberFormat="1" applyFont="1" applyFill="1" applyBorder="1" applyAlignment="1">
      <alignment horizontal="center" vertical="center"/>
    </xf>
    <xf numFmtId="2" fontId="70" fillId="0" borderId="4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33" fillId="0" borderId="1" xfId="41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2" fontId="9" fillId="0" borderId="0" xfId="0" applyNumberFormat="1" applyFont="1" applyFill="1"/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4" fillId="0" borderId="1" xfId="41" applyFont="1" applyFill="1" applyBorder="1" applyAlignment="1">
      <alignment vertical="center" wrapText="1"/>
    </xf>
    <xf numFmtId="176" fontId="34" fillId="0" borderId="1" xfId="0" applyNumberFormat="1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left" vertical="center" wrapText="1"/>
    </xf>
    <xf numFmtId="177" fontId="34" fillId="0" borderId="1" xfId="0" applyNumberFormat="1" applyFont="1" applyFill="1" applyBorder="1" applyAlignment="1">
      <alignment horizontal="center" vertical="center"/>
    </xf>
    <xf numFmtId="170" fontId="34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/>
    <xf numFmtId="49" fontId="6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left" vertical="center" wrapText="1"/>
    </xf>
    <xf numFmtId="2" fontId="35" fillId="0" borderId="0" xfId="0" applyNumberFormat="1" applyFont="1" applyFill="1"/>
    <xf numFmtId="49" fontId="66" fillId="0" borderId="1" xfId="0" applyNumberFormat="1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/>
    <xf numFmtId="0" fontId="36" fillId="0" borderId="0" xfId="0" applyFont="1" applyFill="1"/>
    <xf numFmtId="0" fontId="72" fillId="0" borderId="0" xfId="0" applyFont="1" applyFill="1"/>
    <xf numFmtId="0" fontId="73" fillId="0" borderId="0" xfId="0" applyFont="1" applyFill="1"/>
    <xf numFmtId="0" fontId="41" fillId="0" borderId="0" xfId="0" applyFont="1" applyFill="1"/>
    <xf numFmtId="0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NumberFormat="1" applyFont="1" applyFill="1" applyBorder="1" applyAlignment="1">
      <alignment horizontal="left" vertical="top" wrapText="1"/>
    </xf>
    <xf numFmtId="0" fontId="53" fillId="0" borderId="1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/>
    <xf numFmtId="168" fontId="34" fillId="0" borderId="1" xfId="0" applyNumberFormat="1" applyFont="1" applyFill="1" applyBorder="1" applyAlignment="1">
      <alignment horizontal="center" vertical="top" wrapText="1"/>
    </xf>
    <xf numFmtId="0" fontId="16" fillId="0" borderId="3" xfId="1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/>
    <xf numFmtId="49" fontId="36" fillId="0" borderId="0" xfId="0" applyNumberFormat="1" applyFont="1" applyFill="1"/>
    <xf numFmtId="49" fontId="31" fillId="0" borderId="0" xfId="39" applyNumberFormat="1" applyFont="1" applyFill="1" applyAlignment="1">
      <alignment horizontal="center" vertical="center" wrapText="1" shrinkToFit="1"/>
    </xf>
    <xf numFmtId="0" fontId="33" fillId="0" borderId="1" xfId="6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0" fontId="33" fillId="0" borderId="1" xfId="26" applyFont="1" applyFill="1" applyBorder="1" applyAlignment="1">
      <alignment horizontal="center" vertical="center" wrapText="1"/>
    </xf>
    <xf numFmtId="0" fontId="34" fillId="0" borderId="1" xfId="26" applyFont="1" applyFill="1" applyBorder="1" applyAlignment="1">
      <alignment horizontal="center" vertical="center" wrapText="1"/>
    </xf>
    <xf numFmtId="49" fontId="33" fillId="0" borderId="1" xfId="28" applyNumberFormat="1" applyFont="1" applyFill="1" applyBorder="1" applyAlignment="1">
      <alignment horizontal="center" vertical="center" wrapText="1"/>
    </xf>
    <xf numFmtId="0" fontId="34" fillId="0" borderId="1" xfId="28" applyFont="1" applyFill="1" applyBorder="1" applyAlignment="1">
      <alignment horizontal="center" vertical="center" wrapText="1"/>
    </xf>
    <xf numFmtId="49" fontId="33" fillId="0" borderId="5" xfId="28" applyNumberFormat="1" applyFont="1" applyFill="1" applyBorder="1" applyAlignment="1">
      <alignment horizontal="center" vertical="center" wrapText="1"/>
    </xf>
    <xf numFmtId="0" fontId="34" fillId="0" borderId="1" xfId="39" applyFont="1" applyFill="1" applyBorder="1" applyAlignment="1">
      <alignment vertical="center" wrapText="1"/>
    </xf>
    <xf numFmtId="168" fontId="34" fillId="0" borderId="1" xfId="39" applyNumberFormat="1" applyFont="1" applyFill="1" applyBorder="1" applyAlignment="1">
      <alignment horizontal="center" vertical="center"/>
    </xf>
    <xf numFmtId="0" fontId="33" fillId="0" borderId="1" xfId="39" applyFont="1" applyFill="1" applyBorder="1" applyAlignment="1">
      <alignment horizontal="center" vertical="center" wrapText="1"/>
    </xf>
    <xf numFmtId="0" fontId="35" fillId="2" borderId="1" xfId="41" applyFont="1" applyFill="1" applyBorder="1" applyAlignment="1">
      <alignment vertical="center" wrapText="1"/>
    </xf>
    <xf numFmtId="49" fontId="35" fillId="2" borderId="1" xfId="41" applyNumberFormat="1" applyFont="1" applyFill="1" applyBorder="1" applyAlignment="1">
      <alignment horizontal="center" vertical="center"/>
    </xf>
    <xf numFmtId="165" fontId="35" fillId="2" borderId="0" xfId="41" applyNumberFormat="1" applyFont="1" applyFill="1" applyAlignment="1">
      <alignment vertical="center"/>
    </xf>
    <xf numFmtId="0" fontId="34" fillId="2" borderId="0" xfId="6" applyFont="1" applyFill="1"/>
    <xf numFmtId="0" fontId="78" fillId="2" borderId="0" xfId="39" applyFont="1" applyFill="1" applyAlignment="1">
      <alignment vertical="center" shrinkToFit="1"/>
    </xf>
    <xf numFmtId="0" fontId="38" fillId="2" borderId="0" xfId="39" applyFont="1" applyFill="1" applyAlignment="1">
      <alignment vertical="center" shrinkToFit="1"/>
    </xf>
    <xf numFmtId="0" fontId="38" fillId="2" borderId="0" xfId="39" applyFont="1" applyFill="1" applyAlignment="1">
      <alignment horizontal="center" vertical="center" wrapText="1" shrinkToFit="1"/>
    </xf>
    <xf numFmtId="0" fontId="79" fillId="2" borderId="0" xfId="39" applyFont="1" applyFill="1" applyAlignment="1">
      <alignment vertical="center" shrinkToFit="1"/>
    </xf>
    <xf numFmtId="0" fontId="33" fillId="2" borderId="0" xfId="39" applyFont="1" applyFill="1" applyAlignment="1">
      <alignment horizontal="center" vertical="center" shrinkToFit="1"/>
    </xf>
    <xf numFmtId="0" fontId="34" fillId="2" borderId="1" xfId="6" applyFont="1" applyFill="1" applyBorder="1" applyAlignment="1">
      <alignment horizontal="center" vertical="center"/>
    </xf>
    <xf numFmtId="1" fontId="33" fillId="2" borderId="1" xfId="41" applyNumberFormat="1" applyFont="1" applyFill="1" applyBorder="1" applyAlignment="1">
      <alignment horizontal="center" vertical="center"/>
    </xf>
    <xf numFmtId="1" fontId="33" fillId="2" borderId="1" xfId="41" applyNumberFormat="1" applyFont="1" applyFill="1" applyBorder="1" applyAlignment="1">
      <alignment horizontal="center" vertical="center" wrapText="1"/>
    </xf>
    <xf numFmtId="0" fontId="33" fillId="2" borderId="0" xfId="26" applyFont="1" applyFill="1" applyAlignment="1">
      <alignment horizontal="center"/>
    </xf>
    <xf numFmtId="3" fontId="33" fillId="2" borderId="1" xfId="26" applyNumberFormat="1" applyFont="1" applyFill="1" applyBorder="1" applyAlignment="1">
      <alignment horizontal="center" vertical="center"/>
    </xf>
    <xf numFmtId="4" fontId="33" fillId="2" borderId="1" xfId="26" applyNumberFormat="1" applyFont="1" applyFill="1" applyBorder="1" applyAlignment="1">
      <alignment horizontal="center" vertical="center"/>
    </xf>
    <xf numFmtId="0" fontId="33" fillId="2" borderId="1" xfId="41" applyFont="1" applyFill="1" applyBorder="1" applyAlignment="1">
      <alignment horizontal="center" vertical="center"/>
    </xf>
    <xf numFmtId="49" fontId="33" fillId="2" borderId="1" xfId="41" applyNumberFormat="1" applyFont="1" applyFill="1" applyBorder="1" applyAlignment="1">
      <alignment horizontal="center" vertical="center"/>
    </xf>
    <xf numFmtId="0" fontId="33" fillId="2" borderId="1" xfId="41" applyFont="1" applyFill="1" applyBorder="1" applyAlignment="1">
      <alignment horizontal="left" vertical="center"/>
    </xf>
    <xf numFmtId="0" fontId="33" fillId="2" borderId="1" xfId="15" applyFont="1" applyFill="1" applyBorder="1" applyAlignment="1">
      <alignment horizontal="center" vertical="center"/>
    </xf>
    <xf numFmtId="4" fontId="33" fillId="2" borderId="1" xfId="41" applyNumberFormat="1" applyFont="1" applyFill="1" applyBorder="1" applyAlignment="1">
      <alignment horizontal="center" vertical="center"/>
    </xf>
    <xf numFmtId="4" fontId="34" fillId="2" borderId="1" xfId="41" applyNumberFormat="1" applyFont="1" applyFill="1" applyBorder="1" applyAlignment="1">
      <alignment horizontal="center" vertical="center"/>
    </xf>
    <xf numFmtId="0" fontId="34" fillId="2" borderId="0" xfId="41" applyFont="1" applyFill="1" applyAlignment="1">
      <alignment vertical="center"/>
    </xf>
    <xf numFmtId="0" fontId="34" fillId="2" borderId="1" xfId="41" applyFont="1" applyFill="1" applyBorder="1" applyAlignment="1">
      <alignment horizontal="center" vertical="center"/>
    </xf>
    <xf numFmtId="0" fontId="34" fillId="2" borderId="1" xfId="26" applyFont="1" applyFill="1" applyBorder="1" applyAlignment="1">
      <alignment horizontal="left" vertical="center"/>
    </xf>
    <xf numFmtId="0" fontId="34" fillId="2" borderId="1" xfId="26" applyFont="1" applyFill="1" applyBorder="1" applyAlignment="1">
      <alignment horizontal="center" vertical="center"/>
    </xf>
    <xf numFmtId="179" fontId="34" fillId="2" borderId="1" xfId="41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34" fillId="2" borderId="1" xfId="41" applyFont="1" applyFill="1" applyBorder="1" applyAlignment="1">
      <alignment horizontal="left" vertical="center"/>
    </xf>
    <xf numFmtId="180" fontId="34" fillId="2" borderId="1" xfId="41" applyNumberFormat="1" applyFont="1" applyFill="1" applyBorder="1" applyAlignment="1">
      <alignment horizontal="center" vertical="center"/>
    </xf>
    <xf numFmtId="49" fontId="34" fillId="2" borderId="1" xfId="28" applyNumberFormat="1" applyFont="1" applyFill="1" applyBorder="1" applyAlignment="1">
      <alignment horizontal="center" vertical="center"/>
    </xf>
    <xf numFmtId="0" fontId="34" fillId="2" borderId="1" xfId="41" applyFont="1" applyFill="1" applyBorder="1" applyAlignment="1">
      <alignment vertical="justify"/>
    </xf>
    <xf numFmtId="0" fontId="34" fillId="2" borderId="1" xfId="0" applyFont="1" applyFill="1" applyBorder="1" applyAlignment="1">
      <alignment horizontal="center" vertical="center"/>
    </xf>
    <xf numFmtId="0" fontId="34" fillId="2" borderId="0" xfId="28" applyFont="1" applyFill="1" applyAlignment="1">
      <alignment horizontal="center" vertical="center" wrapText="1"/>
    </xf>
    <xf numFmtId="49" fontId="33" fillId="2" borderId="1" xfId="15" applyNumberFormat="1" applyFont="1" applyFill="1" applyBorder="1" applyAlignment="1">
      <alignment horizontal="center" vertical="center" wrapText="1"/>
    </xf>
    <xf numFmtId="0" fontId="33" fillId="2" borderId="1" xfId="15" applyFont="1" applyFill="1" applyBorder="1" applyAlignment="1">
      <alignment horizontal="left" vertical="center"/>
    </xf>
    <xf numFmtId="4" fontId="33" fillId="2" borderId="1" xfId="15" applyNumberFormat="1" applyFont="1" applyFill="1" applyBorder="1" applyAlignment="1">
      <alignment horizontal="center" vertical="center"/>
    </xf>
    <xf numFmtId="0" fontId="33" fillId="2" borderId="0" xfId="15" applyFont="1" applyFill="1" applyAlignment="1">
      <alignment horizontal="center" vertical="center" wrapText="1"/>
    </xf>
    <xf numFmtId="0" fontId="33" fillId="2" borderId="0" xfId="41" applyFont="1" applyFill="1"/>
    <xf numFmtId="0" fontId="34" fillId="2" borderId="1" xfId="15" applyFont="1" applyFill="1" applyBorder="1" applyAlignment="1">
      <alignment horizontal="center" vertical="center"/>
    </xf>
    <xf numFmtId="0" fontId="70" fillId="2" borderId="1" xfId="0" applyNumberFormat="1" applyFont="1" applyFill="1" applyBorder="1" applyAlignment="1">
      <alignment horizontal="center" vertical="center" wrapText="1"/>
    </xf>
    <xf numFmtId="0" fontId="34" fillId="2" borderId="1" xfId="26" applyFont="1" applyFill="1" applyBorder="1" applyAlignment="1">
      <alignment vertical="center"/>
    </xf>
    <xf numFmtId="4" fontId="34" fillId="2" borderId="1" xfId="15" applyNumberFormat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/>
    </xf>
    <xf numFmtId="0" fontId="34" fillId="2" borderId="0" xfId="15" applyFont="1" applyFill="1" applyAlignment="1">
      <alignment horizontal="center" vertical="center" wrapText="1"/>
    </xf>
    <xf numFmtId="0" fontId="34" fillId="2" borderId="0" xfId="41" applyFont="1" applyFill="1"/>
    <xf numFmtId="0" fontId="33" fillId="2" borderId="1" xfId="41" applyFont="1" applyFill="1" applyBorder="1" applyAlignment="1">
      <alignment horizontal="center" vertical="center" wrapText="1"/>
    </xf>
    <xf numFmtId="49" fontId="33" fillId="2" borderId="1" xfId="41" applyNumberFormat="1" applyFont="1" applyFill="1" applyBorder="1" applyAlignment="1">
      <alignment horizontal="center" vertical="center" wrapText="1"/>
    </xf>
    <xf numFmtId="0" fontId="33" fillId="2" borderId="0" xfId="41" applyFont="1" applyFill="1" applyAlignment="1">
      <alignment horizontal="center" vertical="center" wrapText="1"/>
    </xf>
    <xf numFmtId="0" fontId="34" fillId="2" borderId="1" xfId="25" applyFont="1" applyFill="1" applyBorder="1" applyAlignment="1">
      <alignment horizontal="center" vertical="center"/>
    </xf>
    <xf numFmtId="49" fontId="34" fillId="2" borderId="1" xfId="25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0" fontId="34" fillId="2" borderId="0" xfId="25" applyFont="1" applyFill="1" applyAlignment="1">
      <alignment horizontal="center" vertical="center" wrapText="1"/>
    </xf>
    <xf numFmtId="0" fontId="33" fillId="2" borderId="0" xfId="26" applyFont="1" applyFill="1" applyAlignment="1">
      <alignment horizontal="center" vertical="center"/>
    </xf>
    <xf numFmtId="49" fontId="34" fillId="2" borderId="1" xfId="25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0" fontId="34" fillId="2" borderId="1" xfId="25" applyFont="1" applyFill="1" applyBorder="1" applyAlignment="1">
      <alignment horizontal="left" vertical="center"/>
    </xf>
    <xf numFmtId="4" fontId="34" fillId="2" borderId="1" xfId="13" applyNumberFormat="1" applyFont="1" applyFill="1" applyBorder="1" applyAlignment="1">
      <alignment horizontal="center" vertical="center"/>
    </xf>
    <xf numFmtId="4" fontId="34" fillId="2" borderId="1" xfId="26" applyNumberFormat="1" applyFont="1" applyFill="1" applyBorder="1" applyAlignment="1">
      <alignment horizontal="center" vertical="center"/>
    </xf>
    <xf numFmtId="0" fontId="33" fillId="2" borderId="1" xfId="41" applyFont="1" applyFill="1" applyBorder="1" applyAlignment="1">
      <alignment vertical="center"/>
    </xf>
    <xf numFmtId="49" fontId="34" fillId="2" borderId="1" xfId="41" applyNumberFormat="1" applyFont="1" applyFill="1" applyBorder="1" applyAlignment="1">
      <alignment horizontal="center" vertical="center"/>
    </xf>
    <xf numFmtId="0" fontId="34" fillId="2" borderId="0" xfId="41" applyFont="1" applyFill="1" applyAlignment="1">
      <alignment horizontal="center" vertical="center" wrapText="1"/>
    </xf>
    <xf numFmtId="181" fontId="34" fillId="2" borderId="1" xfId="41" applyNumberFormat="1" applyFont="1" applyFill="1" applyBorder="1" applyAlignment="1">
      <alignment horizontal="center" vertical="center"/>
    </xf>
    <xf numFmtId="4" fontId="34" fillId="2" borderId="1" xfId="28" applyNumberFormat="1" applyFont="1" applyFill="1" applyBorder="1" applyAlignment="1">
      <alignment horizontal="center" vertical="center"/>
    </xf>
    <xf numFmtId="49" fontId="34" fillId="2" borderId="1" xfId="41" applyNumberFormat="1" applyFont="1" applyFill="1" applyBorder="1" applyAlignment="1">
      <alignment horizontal="center" vertical="center" wrapText="1"/>
    </xf>
    <xf numFmtId="0" fontId="34" fillId="2" borderId="1" xfId="28" applyFont="1" applyFill="1" applyBorder="1" applyAlignment="1">
      <alignment horizontal="left" vertical="center"/>
    </xf>
    <xf numFmtId="0" fontId="34" fillId="2" borderId="1" xfId="28" applyFont="1" applyFill="1" applyBorder="1" applyAlignment="1">
      <alignment horizontal="center" vertical="center"/>
    </xf>
    <xf numFmtId="0" fontId="34" fillId="2" borderId="1" xfId="28" applyFont="1" applyFill="1" applyBorder="1" applyAlignment="1">
      <alignment vertical="center"/>
    </xf>
    <xf numFmtId="0" fontId="34" fillId="2" borderId="1" xfId="41" applyFont="1" applyFill="1" applyBorder="1" applyAlignment="1">
      <alignment vertical="center"/>
    </xf>
    <xf numFmtId="14" fontId="33" fillId="2" borderId="1" xfId="1" applyNumberFormat="1" applyFont="1" applyFill="1" applyBorder="1" applyAlignment="1">
      <alignment horizontal="center" vertical="center" wrapText="1"/>
    </xf>
    <xf numFmtId="4" fontId="34" fillId="2" borderId="1" xfId="29" applyNumberFormat="1" applyFont="1" applyFill="1" applyBorder="1" applyAlignment="1">
      <alignment horizontal="center" vertical="center"/>
    </xf>
    <xf numFmtId="0" fontId="33" fillId="2" borderId="1" xfId="6" applyFont="1" applyFill="1" applyBorder="1" applyAlignment="1">
      <alignment horizontal="center" vertical="center" wrapText="1"/>
    </xf>
    <xf numFmtId="180" fontId="34" fillId="2" borderId="1" xfId="41" applyNumberFormat="1" applyFont="1" applyFill="1" applyBorder="1" applyAlignment="1">
      <alignment horizontal="center" vertical="center" wrapText="1"/>
    </xf>
    <xf numFmtId="179" fontId="34" fillId="2" borderId="1" xfId="28" applyNumberFormat="1" applyFont="1" applyFill="1" applyBorder="1" applyAlignment="1">
      <alignment horizontal="center" vertical="center"/>
    </xf>
    <xf numFmtId="0" fontId="33" fillId="2" borderId="1" xfId="41" applyFont="1" applyFill="1" applyBorder="1" applyAlignment="1">
      <alignment horizontal="left" vertical="center" wrapText="1"/>
    </xf>
    <xf numFmtId="178" fontId="80" fillId="2" borderId="1" xfId="41" applyNumberFormat="1" applyFont="1" applyFill="1" applyBorder="1" applyAlignment="1">
      <alignment horizontal="center" vertical="center"/>
    </xf>
    <xf numFmtId="0" fontId="33" fillId="2" borderId="0" xfId="26" applyFont="1" applyFill="1" applyAlignment="1">
      <alignment vertical="center"/>
    </xf>
    <xf numFmtId="4" fontId="34" fillId="2" borderId="1" xfId="41" applyNumberFormat="1" applyFont="1" applyFill="1" applyBorder="1" applyAlignment="1">
      <alignment horizontal="center"/>
    </xf>
    <xf numFmtId="0" fontId="34" fillId="2" borderId="0" xfId="26" applyFont="1" applyFill="1" applyAlignment="1">
      <alignment vertical="center"/>
    </xf>
    <xf numFmtId="181" fontId="34" fillId="2" borderId="1" xfId="41" applyNumberFormat="1" applyFont="1" applyFill="1" applyBorder="1" applyAlignment="1">
      <alignment horizontal="center"/>
    </xf>
    <xf numFmtId="180" fontId="34" fillId="2" borderId="1" xfId="41" applyNumberFormat="1" applyFont="1" applyFill="1" applyBorder="1" applyAlignment="1">
      <alignment horizontal="center"/>
    </xf>
    <xf numFmtId="180" fontId="34" fillId="2" borderId="1" xfId="26" applyNumberFormat="1" applyFont="1" applyFill="1" applyBorder="1" applyAlignment="1">
      <alignment horizontal="center" vertical="center"/>
    </xf>
    <xf numFmtId="49" fontId="34" fillId="2" borderId="1" xfId="28" applyNumberFormat="1" applyFont="1" applyFill="1" applyBorder="1" applyAlignment="1">
      <alignment horizontal="center" vertical="center" wrapText="1"/>
    </xf>
    <xf numFmtId="0" fontId="33" fillId="2" borderId="1" xfId="13" applyFont="1" applyFill="1" applyBorder="1" applyAlignment="1">
      <alignment horizontal="center" vertical="center" wrapText="1"/>
    </xf>
    <xf numFmtId="49" fontId="33" fillId="2" borderId="1" xfId="13" applyNumberFormat="1" applyFont="1" applyFill="1" applyBorder="1" applyAlignment="1">
      <alignment horizontal="center" vertical="center" wrapText="1"/>
    </xf>
    <xf numFmtId="0" fontId="33" fillId="2" borderId="1" xfId="13" applyFont="1" applyFill="1" applyBorder="1" applyAlignment="1">
      <alignment horizontal="center" vertical="center"/>
    </xf>
    <xf numFmtId="4" fontId="34" fillId="2" borderId="1" xfId="13" applyNumberFormat="1" applyFont="1" applyFill="1" applyBorder="1" applyAlignment="1">
      <alignment horizontal="right" vertical="center"/>
    </xf>
    <xf numFmtId="0" fontId="34" fillId="2" borderId="0" xfId="13" applyFont="1" applyFill="1" applyAlignment="1">
      <alignment horizontal="center" vertical="center" wrapText="1"/>
    </xf>
    <xf numFmtId="49" fontId="33" fillId="2" borderId="1" xfId="13" applyNumberFormat="1" applyFont="1" applyFill="1" applyBorder="1" applyAlignment="1">
      <alignment horizontal="center" vertical="center"/>
    </xf>
    <xf numFmtId="0" fontId="34" fillId="2" borderId="1" xfId="13" applyFont="1" applyFill="1" applyBorder="1" applyAlignment="1">
      <alignment horizontal="left" vertical="center"/>
    </xf>
    <xf numFmtId="0" fontId="34" fillId="2" borderId="1" xfId="13" applyFont="1" applyFill="1" applyBorder="1" applyAlignment="1">
      <alignment horizontal="center" vertical="center"/>
    </xf>
    <xf numFmtId="49" fontId="34" fillId="2" borderId="1" xfId="13" applyNumberFormat="1" applyFont="1" applyFill="1" applyBorder="1" applyAlignment="1">
      <alignment horizontal="center" vertical="center"/>
    </xf>
    <xf numFmtId="4" fontId="33" fillId="2" borderId="1" xfId="26" applyNumberFormat="1" applyFont="1" applyFill="1" applyBorder="1" applyAlignment="1">
      <alignment vertical="center"/>
    </xf>
    <xf numFmtId="4" fontId="33" fillId="2" borderId="1" xfId="13" applyNumberFormat="1" applyFont="1" applyFill="1" applyBorder="1" applyAlignment="1">
      <alignment horizontal="center" vertical="center"/>
    </xf>
    <xf numFmtId="0" fontId="33" fillId="2" borderId="0" xfId="13" applyFont="1" applyFill="1" applyAlignment="1">
      <alignment horizontal="center" vertical="center" wrapText="1"/>
    </xf>
    <xf numFmtId="181" fontId="34" fillId="2" borderId="1" xfId="13" applyNumberFormat="1" applyFont="1" applyFill="1" applyBorder="1" applyAlignment="1">
      <alignment horizontal="center" vertical="center"/>
    </xf>
    <xf numFmtId="180" fontId="34" fillId="2" borderId="1" xfId="13" applyNumberFormat="1" applyFont="1" applyFill="1" applyBorder="1" applyAlignment="1">
      <alignment horizontal="center" vertical="center"/>
    </xf>
    <xf numFmtId="0" fontId="34" fillId="2" borderId="1" xfId="13" applyFont="1" applyFill="1" applyBorder="1" applyAlignment="1">
      <alignment horizontal="justify" vertical="center"/>
    </xf>
    <xf numFmtId="3" fontId="34" fillId="2" borderId="1" xfId="26" applyNumberFormat="1" applyFont="1" applyFill="1" applyBorder="1" applyAlignment="1">
      <alignment horizontal="center" vertical="center"/>
    </xf>
    <xf numFmtId="0" fontId="33" fillId="2" borderId="1" xfId="13" quotePrefix="1" applyFont="1" applyFill="1" applyBorder="1" applyAlignment="1">
      <alignment horizontal="center" vertical="center" wrapText="1"/>
    </xf>
    <xf numFmtId="0" fontId="33" fillId="2" borderId="1" xfId="29" applyFont="1" applyFill="1" applyBorder="1" applyAlignment="1">
      <alignment horizontal="left" vertical="center"/>
    </xf>
    <xf numFmtId="4" fontId="34" fillId="2" borderId="1" xfId="53" applyNumberFormat="1" applyFont="1" applyFill="1" applyBorder="1" applyAlignment="1">
      <alignment horizontal="center" vertical="center"/>
    </xf>
    <xf numFmtId="0" fontId="34" fillId="2" borderId="1" xfId="13" quotePrefix="1" applyFont="1" applyFill="1" applyBorder="1" applyAlignment="1">
      <alignment horizontal="center" vertical="center"/>
    </xf>
    <xf numFmtId="0" fontId="34" fillId="2" borderId="1" xfId="13" applyFont="1" applyFill="1" applyBorder="1" applyAlignment="1">
      <alignment horizontal="left" vertical="center" wrapText="1"/>
    </xf>
    <xf numFmtId="0" fontId="33" fillId="2" borderId="1" xfId="41" applyFont="1" applyFill="1" applyBorder="1" applyAlignment="1">
      <alignment horizontal="justify" vertical="center"/>
    </xf>
    <xf numFmtId="4" fontId="33" fillId="2" borderId="1" xfId="41" applyNumberFormat="1" applyFont="1" applyFill="1" applyBorder="1" applyAlignment="1">
      <alignment vertical="center"/>
    </xf>
    <xf numFmtId="0" fontId="33" fillId="2" borderId="1" xfId="13" applyFont="1" applyFill="1" applyBorder="1" applyAlignment="1">
      <alignment horizontal="left" vertical="center" wrapText="1"/>
    </xf>
    <xf numFmtId="49" fontId="34" fillId="2" borderId="1" xfId="29" applyNumberFormat="1" applyFont="1" applyFill="1" applyBorder="1" applyAlignment="1">
      <alignment horizontal="center" vertical="center"/>
    </xf>
    <xf numFmtId="0" fontId="34" fillId="2" borderId="0" xfId="29" applyFont="1" applyFill="1" applyAlignment="1">
      <alignment horizontal="center" vertical="center" wrapText="1"/>
    </xf>
    <xf numFmtId="0" fontId="34" fillId="2" borderId="1" xfId="29" applyFont="1" applyFill="1" applyBorder="1" applyAlignment="1">
      <alignment horizontal="center" vertical="center"/>
    </xf>
    <xf numFmtId="0" fontId="34" fillId="2" borderId="1" xfId="29" applyFont="1" applyFill="1" applyBorder="1" applyAlignment="1">
      <alignment horizontal="justify" vertical="center"/>
    </xf>
    <xf numFmtId="3" fontId="33" fillId="2" borderId="1" xfId="26" applyNumberFormat="1" applyFont="1" applyFill="1" applyBorder="1" applyAlignment="1">
      <alignment horizontal="left" vertical="center"/>
    </xf>
    <xf numFmtId="14" fontId="33" fillId="2" borderId="1" xfId="30" applyNumberFormat="1" applyFont="1" applyFill="1" applyBorder="1" applyAlignment="1">
      <alignment horizontal="center" vertical="center" wrapText="1"/>
    </xf>
    <xf numFmtId="0" fontId="33" fillId="2" borderId="1" xfId="30" applyFont="1" applyFill="1" applyBorder="1" applyAlignment="1">
      <alignment horizontal="left" vertical="center" wrapText="1"/>
    </xf>
    <xf numFmtId="0" fontId="34" fillId="2" borderId="1" xfId="30" applyFont="1" applyFill="1" applyBorder="1" applyAlignment="1">
      <alignment horizontal="center" vertical="center" wrapText="1"/>
    </xf>
    <xf numFmtId="168" fontId="34" fillId="2" borderId="1" xfId="30" applyNumberFormat="1" applyFont="1" applyFill="1" applyBorder="1" applyAlignment="1">
      <alignment horizontal="center" vertical="center" wrapText="1"/>
    </xf>
    <xf numFmtId="2" fontId="33" fillId="2" borderId="1" xfId="30" applyNumberFormat="1" applyFont="1" applyFill="1" applyBorder="1" applyAlignment="1">
      <alignment horizontal="center" vertical="center" wrapText="1"/>
    </xf>
    <xf numFmtId="2" fontId="34" fillId="2" borderId="1" xfId="30" applyNumberFormat="1" applyFont="1" applyFill="1" applyBorder="1" applyAlignment="1">
      <alignment horizontal="center" vertical="center" wrapText="1"/>
    </xf>
    <xf numFmtId="49" fontId="33" fillId="2" borderId="1" xfId="41" applyNumberFormat="1" applyFont="1" applyFill="1" applyBorder="1" applyAlignment="1">
      <alignment horizontal="center" vertical="top" wrapText="1"/>
    </xf>
    <xf numFmtId="0" fontId="34" fillId="2" borderId="1" xfId="30" applyFont="1" applyFill="1" applyBorder="1" applyAlignment="1">
      <alignment horizontal="left"/>
    </xf>
    <xf numFmtId="0" fontId="34" fillId="2" borderId="1" xfId="30" applyFont="1" applyFill="1" applyBorder="1" applyAlignment="1">
      <alignment horizontal="center"/>
    </xf>
    <xf numFmtId="168" fontId="34" fillId="2" borderId="1" xfId="30" applyNumberFormat="1" applyFont="1" applyFill="1" applyBorder="1" applyAlignment="1">
      <alignment horizontal="center"/>
    </xf>
    <xf numFmtId="2" fontId="34" fillId="2" borderId="1" xfId="30" applyNumberFormat="1" applyFont="1" applyFill="1" applyBorder="1" applyAlignment="1">
      <alignment horizontal="center"/>
    </xf>
    <xf numFmtId="0" fontId="33" fillId="2" borderId="1" xfId="26" applyFont="1" applyFill="1" applyBorder="1" applyAlignment="1">
      <alignment horizontal="center"/>
    </xf>
    <xf numFmtId="0" fontId="33" fillId="2" borderId="1" xfId="41" quotePrefix="1" applyFont="1" applyFill="1" applyBorder="1" applyAlignment="1">
      <alignment horizontal="center" vertical="top" wrapText="1"/>
    </xf>
    <xf numFmtId="0" fontId="33" fillId="2" borderId="1" xfId="41" applyFont="1" applyFill="1" applyBorder="1" applyAlignment="1">
      <alignment horizontal="center" vertical="top" wrapText="1"/>
    </xf>
    <xf numFmtId="0" fontId="34" fillId="2" borderId="1" xfId="32" applyFont="1" applyFill="1" applyBorder="1" applyAlignment="1">
      <alignment horizontal="left"/>
    </xf>
    <xf numFmtId="14" fontId="33" fillId="2" borderId="1" xfId="31" applyNumberFormat="1" applyFont="1" applyFill="1" applyBorder="1" applyAlignment="1">
      <alignment horizontal="center" vertical="center" wrapText="1"/>
    </xf>
    <xf numFmtId="0" fontId="33" fillId="2" borderId="1" xfId="133" applyFont="1" applyFill="1" applyBorder="1" applyAlignment="1">
      <alignment horizontal="left" vertical="center" wrapText="1"/>
    </xf>
    <xf numFmtId="0" fontId="34" fillId="2" borderId="1" xfId="31" applyFont="1" applyFill="1" applyBorder="1" applyAlignment="1">
      <alignment horizontal="center" vertical="center" wrapText="1"/>
    </xf>
    <xf numFmtId="2" fontId="34" fillId="2" borderId="1" xfId="31" applyNumberFormat="1" applyFont="1" applyFill="1" applyBorder="1" applyAlignment="1">
      <alignment horizontal="center" vertical="center" wrapText="1"/>
    </xf>
    <xf numFmtId="0" fontId="34" fillId="2" borderId="1" xfId="31" applyFont="1" applyFill="1" applyBorder="1" applyAlignment="1">
      <alignment horizontal="left"/>
    </xf>
    <xf numFmtId="0" fontId="34" fillId="2" borderId="1" xfId="31" applyFont="1" applyFill="1" applyBorder="1" applyAlignment="1">
      <alignment horizontal="center"/>
    </xf>
    <xf numFmtId="2" fontId="34" fillId="2" borderId="1" xfId="31" applyNumberFormat="1" applyFont="1" applyFill="1" applyBorder="1" applyAlignment="1">
      <alignment horizontal="center"/>
    </xf>
    <xf numFmtId="14" fontId="33" fillId="2" borderId="1" xfId="32" applyNumberFormat="1" applyFont="1" applyFill="1" applyBorder="1" applyAlignment="1">
      <alignment horizontal="center" vertical="center" wrapText="1"/>
    </xf>
    <xf numFmtId="0" fontId="33" fillId="2" borderId="1" xfId="57" applyFont="1" applyFill="1" applyBorder="1" applyAlignment="1">
      <alignment horizontal="left" vertical="center" wrapText="1"/>
    </xf>
    <xf numFmtId="0" fontId="34" fillId="2" borderId="1" xfId="32" applyFont="1" applyFill="1" applyBorder="1" applyAlignment="1">
      <alignment horizontal="center" vertical="center" wrapText="1"/>
    </xf>
    <xf numFmtId="2" fontId="34" fillId="2" borderId="1" xfId="32" applyNumberFormat="1" applyFont="1" applyFill="1" applyBorder="1" applyAlignment="1">
      <alignment horizontal="center" vertical="center" wrapText="1"/>
    </xf>
    <xf numFmtId="0" fontId="34" fillId="2" borderId="1" xfId="32" applyFont="1" applyFill="1" applyBorder="1" applyAlignment="1">
      <alignment horizontal="center"/>
    </xf>
    <xf numFmtId="2" fontId="34" fillId="2" borderId="1" xfId="32" applyNumberFormat="1" applyFont="1" applyFill="1" applyBorder="1" applyAlignment="1">
      <alignment horizontal="center"/>
    </xf>
    <xf numFmtId="0" fontId="34" fillId="2" borderId="1" xfId="57" applyFont="1" applyFill="1" applyBorder="1" applyAlignment="1">
      <alignment horizontal="left" vertical="center" wrapText="1"/>
    </xf>
    <xf numFmtId="0" fontId="34" fillId="2" borderId="1" xfId="32" applyFont="1" applyFill="1" applyBorder="1" applyAlignment="1">
      <alignment horizontal="center" vertical="center"/>
    </xf>
    <xf numFmtId="2" fontId="34" fillId="2" borderId="1" xfId="32" applyNumberFormat="1" applyFont="1" applyFill="1" applyBorder="1" applyAlignment="1">
      <alignment horizontal="center" vertical="center"/>
    </xf>
    <xf numFmtId="14" fontId="33" fillId="2" borderId="1" xfId="133" applyNumberFormat="1" applyFont="1" applyFill="1" applyBorder="1" applyAlignment="1">
      <alignment horizontal="center" vertical="center" wrapText="1"/>
    </xf>
    <xf numFmtId="0" fontId="34" fillId="2" borderId="1" xfId="133" applyFont="1" applyFill="1" applyBorder="1" applyAlignment="1">
      <alignment horizontal="center" vertical="center" wrapText="1"/>
    </xf>
    <xf numFmtId="168" fontId="34" fillId="2" borderId="1" xfId="133" applyNumberFormat="1" applyFont="1" applyFill="1" applyBorder="1" applyAlignment="1">
      <alignment horizontal="center" vertical="center" wrapText="1"/>
    </xf>
    <xf numFmtId="2" fontId="34" fillId="2" borderId="1" xfId="133" applyNumberFormat="1" applyFont="1" applyFill="1" applyBorder="1" applyAlignment="1">
      <alignment horizontal="center" vertical="center" wrapText="1"/>
    </xf>
    <xf numFmtId="0" fontId="34" fillId="2" borderId="1" xfId="133" applyFont="1" applyFill="1" applyBorder="1" applyAlignment="1">
      <alignment horizontal="left"/>
    </xf>
    <xf numFmtId="0" fontId="34" fillId="2" borderId="1" xfId="58" applyFont="1" applyFill="1" applyBorder="1" applyAlignment="1">
      <alignment horizontal="center"/>
    </xf>
    <xf numFmtId="168" fontId="34" fillId="2" borderId="1" xfId="58" applyNumberFormat="1" applyFont="1" applyFill="1" applyBorder="1" applyAlignment="1">
      <alignment horizontal="center"/>
    </xf>
    <xf numFmtId="2" fontId="34" fillId="2" borderId="1" xfId="133" applyNumberFormat="1" applyFont="1" applyFill="1" applyBorder="1" applyAlignment="1">
      <alignment horizontal="center"/>
    </xf>
    <xf numFmtId="0" fontId="34" fillId="2" borderId="1" xfId="133" applyFont="1" applyFill="1" applyBorder="1" applyAlignment="1">
      <alignment horizontal="center"/>
    </xf>
    <xf numFmtId="170" fontId="34" fillId="2" borderId="1" xfId="133" applyNumberFormat="1" applyFont="1" applyFill="1" applyBorder="1" applyAlignment="1">
      <alignment horizontal="center"/>
    </xf>
    <xf numFmtId="168" fontId="34" fillId="2" borderId="1" xfId="133" applyNumberFormat="1" applyFont="1" applyFill="1" applyBorder="1" applyAlignment="1">
      <alignment horizontal="center"/>
    </xf>
    <xf numFmtId="0" fontId="34" fillId="2" borderId="1" xfId="41" applyFont="1" applyFill="1" applyBorder="1" applyAlignment="1">
      <alignment horizontal="center" vertical="center" wrapText="1"/>
    </xf>
    <xf numFmtId="0" fontId="33" fillId="2" borderId="1" xfId="56" applyFont="1" applyFill="1" applyBorder="1" applyAlignment="1">
      <alignment horizontal="center" vertical="center" wrapText="1"/>
    </xf>
    <xf numFmtId="49" fontId="33" fillId="2" borderId="1" xfId="56" applyNumberFormat="1" applyFont="1" applyFill="1" applyBorder="1" applyAlignment="1">
      <alignment horizontal="center" vertical="center" wrapText="1"/>
    </xf>
    <xf numFmtId="0" fontId="33" fillId="2" borderId="1" xfId="56" applyFont="1" applyFill="1" applyBorder="1" applyAlignment="1">
      <alignment horizontal="left" vertical="center" wrapText="1"/>
    </xf>
    <xf numFmtId="0" fontId="33" fillId="2" borderId="1" xfId="56" applyFont="1" applyFill="1" applyBorder="1" applyAlignment="1">
      <alignment horizontal="center" vertical="center"/>
    </xf>
    <xf numFmtId="2" fontId="33" fillId="2" borderId="1" xfId="56" applyNumberFormat="1" applyFont="1" applyFill="1" applyBorder="1" applyAlignment="1">
      <alignment horizontal="center" vertical="center" wrapText="1"/>
    </xf>
    <xf numFmtId="0" fontId="34" fillId="2" borderId="1" xfId="56" applyFont="1" applyFill="1" applyBorder="1" applyAlignment="1">
      <alignment horizontal="left" vertical="center" wrapText="1"/>
    </xf>
    <xf numFmtId="0" fontId="34" fillId="2" borderId="1" xfId="56" applyFont="1" applyFill="1" applyBorder="1" applyAlignment="1">
      <alignment horizontal="center" vertical="center"/>
    </xf>
    <xf numFmtId="2" fontId="34" fillId="2" borderId="1" xfId="56" applyNumberFormat="1" applyFont="1" applyFill="1" applyBorder="1" applyAlignment="1">
      <alignment horizontal="center" vertical="center"/>
    </xf>
    <xf numFmtId="0" fontId="34" fillId="2" borderId="1" xfId="56" applyFont="1" applyFill="1" applyBorder="1" applyAlignment="1">
      <alignment horizontal="center" vertical="center" wrapText="1"/>
    </xf>
    <xf numFmtId="168" fontId="34" fillId="2" borderId="1" xfId="56" applyNumberFormat="1" applyFont="1" applyFill="1" applyBorder="1" applyAlignment="1">
      <alignment horizontal="center" vertical="center"/>
    </xf>
    <xf numFmtId="0" fontId="33" fillId="2" borderId="1" xfId="16" applyFont="1" applyFill="1" applyBorder="1" applyAlignment="1">
      <alignment horizontal="center" vertical="center"/>
    </xf>
    <xf numFmtId="0" fontId="34" fillId="2" borderId="1" xfId="56" quotePrefix="1" applyFont="1" applyFill="1" applyBorder="1" applyAlignment="1">
      <alignment horizontal="center" vertical="center" wrapText="1"/>
    </xf>
    <xf numFmtId="2" fontId="34" fillId="2" borderId="1" xfId="56" applyNumberFormat="1" applyFont="1" applyFill="1" applyBorder="1" applyAlignment="1">
      <alignment horizontal="center" vertical="center" wrapText="1"/>
    </xf>
    <xf numFmtId="0" fontId="33" fillId="2" borderId="1" xfId="56" quotePrefix="1" applyFont="1" applyFill="1" applyBorder="1" applyAlignment="1">
      <alignment horizontal="center" vertical="center" wrapText="1"/>
    </xf>
    <xf numFmtId="169" fontId="33" fillId="2" borderId="1" xfId="41" applyNumberFormat="1" applyFont="1" applyFill="1" applyBorder="1" applyAlignment="1">
      <alignment horizontal="center" vertical="center" wrapText="1"/>
    </xf>
    <xf numFmtId="169" fontId="33" fillId="2" borderId="1" xfId="41" applyNumberFormat="1" applyFont="1" applyFill="1" applyBorder="1" applyAlignment="1">
      <alignment horizontal="center" vertical="top" wrapText="1"/>
    </xf>
    <xf numFmtId="0" fontId="34" fillId="2" borderId="1" xfId="41" applyFont="1" applyFill="1" applyBorder="1" applyAlignment="1">
      <alignment horizontal="left" vertical="center" wrapText="1"/>
    </xf>
    <xf numFmtId="0" fontId="34" fillId="2" borderId="1" xfId="41" applyFont="1" applyFill="1" applyBorder="1" applyAlignment="1">
      <alignment horizontal="center" vertical="top" wrapText="1"/>
    </xf>
    <xf numFmtId="2" fontId="34" fillId="2" borderId="1" xfId="41" applyNumberFormat="1" applyFont="1" applyFill="1" applyBorder="1" applyAlignment="1">
      <alignment horizontal="center" wrapText="1"/>
    </xf>
    <xf numFmtId="169" fontId="34" fillId="2" borderId="1" xfId="41" applyNumberFormat="1" applyFont="1" applyFill="1" applyBorder="1" applyAlignment="1">
      <alignment horizontal="center" wrapText="1"/>
    </xf>
    <xf numFmtId="169" fontId="34" fillId="2" borderId="1" xfId="41" applyNumberFormat="1" applyFont="1" applyFill="1" applyBorder="1" applyAlignment="1">
      <alignment horizontal="center" vertical="center" wrapText="1"/>
    </xf>
    <xf numFmtId="2" fontId="34" fillId="2" borderId="1" xfId="41" applyNumberFormat="1" applyFont="1" applyFill="1" applyBorder="1" applyAlignment="1">
      <alignment horizontal="center" vertical="top" wrapText="1"/>
    </xf>
    <xf numFmtId="168" fontId="34" fillId="2" borderId="1" xfId="41" applyNumberFormat="1" applyFont="1" applyFill="1" applyBorder="1" applyAlignment="1">
      <alignment horizontal="center" wrapText="1"/>
    </xf>
    <xf numFmtId="0" fontId="34" fillId="2" borderId="1" xfId="41" applyFont="1" applyFill="1" applyBorder="1" applyAlignment="1">
      <alignment horizontal="center" wrapText="1"/>
    </xf>
    <xf numFmtId="169" fontId="34" fillId="2" borderId="1" xfId="41" applyNumberFormat="1" applyFont="1" applyFill="1" applyBorder="1" applyAlignment="1">
      <alignment horizontal="center" vertical="top" wrapText="1"/>
    </xf>
    <xf numFmtId="2" fontId="34" fillId="2" borderId="1" xfId="41" applyNumberFormat="1" applyFont="1" applyFill="1" applyBorder="1" applyAlignment="1">
      <alignment horizontal="center" vertical="center" wrapText="1"/>
    </xf>
    <xf numFmtId="168" fontId="34" fillId="2" borderId="1" xfId="41" applyNumberFormat="1" applyFont="1" applyFill="1" applyBorder="1" applyAlignment="1">
      <alignment horizontal="center" vertical="center" wrapText="1"/>
    </xf>
    <xf numFmtId="0" fontId="34" fillId="2" borderId="1" xfId="41" applyFont="1" applyFill="1" applyBorder="1" applyAlignment="1">
      <alignment horizontal="left" vertical="top" wrapText="1"/>
    </xf>
    <xf numFmtId="0" fontId="33" fillId="2" borderId="1" xfId="35" applyFont="1" applyFill="1" applyBorder="1" applyAlignment="1">
      <alignment horizontal="center" vertical="center" wrapText="1"/>
    </xf>
    <xf numFmtId="0" fontId="33" fillId="2" borderId="1" xfId="35" applyFont="1" applyFill="1" applyBorder="1" applyAlignment="1">
      <alignment horizontal="left" vertical="center" wrapText="1"/>
    </xf>
    <xf numFmtId="0" fontId="33" fillId="2" borderId="1" xfId="35" applyFont="1" applyFill="1" applyBorder="1" applyAlignment="1">
      <alignment horizontal="center" vertical="top" wrapText="1"/>
    </xf>
    <xf numFmtId="169" fontId="33" fillId="2" borderId="1" xfId="35" applyNumberFormat="1" applyFont="1" applyFill="1" applyBorder="1" applyAlignment="1">
      <alignment horizontal="center" vertical="top" wrapText="1"/>
    </xf>
    <xf numFmtId="0" fontId="34" fillId="2" borderId="0" xfId="41" applyFont="1" applyFill="1" applyAlignment="1">
      <alignment horizontal="center" vertical="center"/>
    </xf>
    <xf numFmtId="0" fontId="18" fillId="2" borderId="1" xfId="41" applyFont="1" applyFill="1" applyBorder="1" applyAlignment="1">
      <alignment horizontal="center" vertical="center" wrapText="1"/>
    </xf>
    <xf numFmtId="0" fontId="19" fillId="2" borderId="1" xfId="41" applyFont="1" applyFill="1" applyBorder="1" applyAlignment="1">
      <alignment horizontal="center" vertical="center" wrapText="1"/>
    </xf>
    <xf numFmtId="9" fontId="19" fillId="2" borderId="1" xfId="41" quotePrefix="1" applyNumberFormat="1" applyFont="1" applyFill="1" applyBorder="1" applyAlignment="1">
      <alignment horizontal="center" vertical="center" wrapText="1"/>
    </xf>
    <xf numFmtId="0" fontId="34" fillId="2" borderId="1" xfId="41" applyFont="1" applyFill="1" applyBorder="1" applyAlignment="1">
      <alignment vertical="center" wrapText="1"/>
    </xf>
    <xf numFmtId="9" fontId="19" fillId="2" borderId="1" xfId="41" applyNumberFormat="1" applyFont="1" applyFill="1" applyBorder="1" applyAlignment="1">
      <alignment horizontal="center" vertical="center" wrapText="1"/>
    </xf>
    <xf numFmtId="0" fontId="33" fillId="2" borderId="0" xfId="41" applyFont="1" applyFill="1" applyAlignment="1">
      <alignment horizontal="center"/>
    </xf>
    <xf numFmtId="0" fontId="34" fillId="2" borderId="0" xfId="41" applyFont="1" applyFill="1" applyAlignment="1">
      <alignment horizontal="left"/>
    </xf>
    <xf numFmtId="0" fontId="34" fillId="2" borderId="0" xfId="41" applyFont="1" applyFill="1" applyAlignment="1">
      <alignment horizontal="center"/>
    </xf>
    <xf numFmtId="4" fontId="34" fillId="2" borderId="0" xfId="41" applyNumberFormat="1" applyFont="1" applyFill="1" applyAlignment="1">
      <alignment horizontal="center"/>
    </xf>
    <xf numFmtId="0" fontId="10" fillId="2" borderId="0" xfId="39" applyFont="1" applyFill="1" applyAlignment="1">
      <alignment vertical="center" shrinkToFit="1"/>
    </xf>
    <xf numFmtId="0" fontId="34" fillId="2" borderId="1" xfId="6" applyFont="1" applyFill="1" applyBorder="1" applyAlignment="1">
      <alignment horizontal="center" vertical="center" wrapText="1"/>
    </xf>
    <xf numFmtId="0" fontId="44" fillId="2" borderId="0" xfId="26" applyFont="1" applyFill="1" applyAlignment="1">
      <alignment horizontal="center"/>
    </xf>
    <xf numFmtId="0" fontId="33" fillId="2" borderId="1" xfId="6" applyFont="1" applyFill="1" applyBorder="1" applyAlignment="1">
      <alignment horizontal="center" vertical="center"/>
    </xf>
    <xf numFmtId="49" fontId="33" fillId="2" borderId="1" xfId="6" applyNumberFormat="1" applyFont="1" applyFill="1" applyBorder="1" applyAlignment="1">
      <alignment horizontal="center" vertical="center"/>
    </xf>
    <xf numFmtId="0" fontId="33" fillId="2" borderId="1" xfId="6" applyFont="1" applyFill="1" applyBorder="1" applyAlignment="1">
      <alignment horizontal="left" vertical="center" wrapText="1"/>
    </xf>
    <xf numFmtId="49" fontId="34" fillId="2" borderId="1" xfId="6" applyNumberFormat="1" applyFont="1" applyFill="1" applyBorder="1" applyAlignment="1">
      <alignment horizontal="center" vertical="center"/>
    </xf>
    <xf numFmtId="0" fontId="34" fillId="2" borderId="1" xfId="6" applyFont="1" applyFill="1" applyBorder="1" applyAlignment="1">
      <alignment vertical="center" wrapText="1"/>
    </xf>
    <xf numFmtId="2" fontId="34" fillId="2" borderId="1" xfId="6" applyNumberFormat="1" applyFont="1" applyFill="1" applyBorder="1" applyAlignment="1">
      <alignment horizontal="center" vertical="center"/>
    </xf>
    <xf numFmtId="0" fontId="34" fillId="2" borderId="1" xfId="6" applyFont="1" applyFill="1" applyBorder="1" applyAlignment="1">
      <alignment horizontal="left" vertical="center" wrapText="1"/>
    </xf>
    <xf numFmtId="2" fontId="33" fillId="2" borderId="1" xfId="6" applyNumberFormat="1" applyFont="1" applyFill="1" applyBorder="1" applyAlignment="1">
      <alignment horizontal="center" vertical="center"/>
    </xf>
    <xf numFmtId="49" fontId="33" fillId="2" borderId="1" xfId="6" applyNumberFormat="1" applyFont="1" applyFill="1" applyBorder="1" applyAlignment="1">
      <alignment horizontal="center" vertical="center" wrapText="1"/>
    </xf>
    <xf numFmtId="0" fontId="42" fillId="2" borderId="1" xfId="6" applyFont="1" applyFill="1" applyBorder="1" applyAlignment="1">
      <alignment horizontal="left" vertical="center" wrapText="1"/>
    </xf>
    <xf numFmtId="49" fontId="34" fillId="2" borderId="1" xfId="6" applyNumberFormat="1" applyFont="1" applyFill="1" applyBorder="1" applyAlignment="1">
      <alignment horizontal="center" vertical="center" wrapText="1"/>
    </xf>
    <xf numFmtId="171" fontId="34" fillId="2" borderId="1" xfId="6" applyNumberFormat="1" applyFont="1" applyFill="1" applyBorder="1" applyAlignment="1">
      <alignment horizontal="center" vertical="center"/>
    </xf>
    <xf numFmtId="0" fontId="33" fillId="2" borderId="1" xfId="5" applyNumberFormat="1" applyFont="1" applyFill="1" applyBorder="1" applyAlignment="1">
      <alignment horizontal="left" vertical="center" wrapText="1"/>
    </xf>
    <xf numFmtId="0" fontId="34" fillId="2" borderId="1" xfId="5" applyNumberFormat="1" applyFont="1" applyFill="1" applyBorder="1" applyAlignment="1">
      <alignment horizontal="left" vertical="center" wrapText="1"/>
    </xf>
    <xf numFmtId="0" fontId="7" fillId="2" borderId="0" xfId="41" applyFill="1" applyAlignment="1">
      <alignment vertical="center"/>
    </xf>
    <xf numFmtId="0" fontId="34" fillId="2" borderId="1" xfId="6" applyFont="1" applyFill="1" applyBorder="1" applyAlignment="1">
      <alignment horizontal="left" wrapText="1"/>
    </xf>
    <xf numFmtId="0" fontId="66" fillId="2" borderId="1" xfId="6" applyFont="1" applyFill="1" applyBorder="1" applyAlignment="1">
      <alignment horizontal="left" wrapText="1"/>
    </xf>
    <xf numFmtId="0" fontId="7" fillId="2" borderId="0" xfId="28" applyFont="1" applyFill="1" applyAlignment="1">
      <alignment horizontal="center" vertical="center" wrapText="1"/>
    </xf>
    <xf numFmtId="0" fontId="44" fillId="2" borderId="0" xfId="28" applyFont="1" applyFill="1" applyAlignment="1">
      <alignment horizontal="center" vertical="center" wrapText="1"/>
    </xf>
    <xf numFmtId="0" fontId="66" fillId="2" borderId="1" xfId="1" applyFont="1" applyFill="1" applyBorder="1" applyAlignment="1">
      <alignment horizontal="center" vertical="center" wrapText="1"/>
    </xf>
    <xf numFmtId="0" fontId="85" fillId="2" borderId="1" xfId="6" applyFont="1" applyFill="1" applyBorder="1" applyAlignment="1">
      <alignment horizontal="center" vertical="center"/>
    </xf>
    <xf numFmtId="1" fontId="33" fillId="2" borderId="1" xfId="6" applyNumberFormat="1" applyFont="1" applyFill="1" applyBorder="1" applyAlignment="1">
      <alignment wrapText="1"/>
    </xf>
    <xf numFmtId="0" fontId="33" fillId="2" borderId="1" xfId="6" applyFont="1" applyFill="1" applyBorder="1" applyAlignment="1">
      <alignment horizontal="center"/>
    </xf>
    <xf numFmtId="2" fontId="33" fillId="2" borderId="1" xfId="6" applyNumberFormat="1" applyFont="1" applyFill="1" applyBorder="1" applyAlignment="1">
      <alignment horizontal="center"/>
    </xf>
    <xf numFmtId="0" fontId="15" fillId="2" borderId="1" xfId="6" applyFill="1" applyBorder="1"/>
    <xf numFmtId="0" fontId="15" fillId="2" borderId="1" xfId="6" applyFill="1" applyBorder="1" applyAlignment="1">
      <alignment horizontal="center"/>
    </xf>
    <xf numFmtId="0" fontId="34" fillId="2" borderId="1" xfId="6" applyFont="1" applyFill="1" applyBorder="1" applyAlignment="1">
      <alignment horizontal="justify" vertical="center" wrapText="1"/>
    </xf>
    <xf numFmtId="0" fontId="34" fillId="2" borderId="1" xfId="6" applyFont="1" applyFill="1" applyBorder="1" applyAlignment="1">
      <alignment horizontal="center"/>
    </xf>
    <xf numFmtId="2" fontId="34" fillId="2" borderId="1" xfId="6" applyNumberFormat="1" applyFont="1" applyFill="1" applyBorder="1" applyAlignment="1">
      <alignment horizontal="center"/>
    </xf>
    <xf numFmtId="0" fontId="34" fillId="2" borderId="1" xfId="6" applyFont="1" applyFill="1" applyBorder="1" applyAlignment="1">
      <alignment wrapText="1"/>
    </xf>
    <xf numFmtId="2" fontId="34" fillId="2" borderId="1" xfId="6" applyNumberFormat="1" applyFont="1" applyFill="1" applyBorder="1" applyAlignment="1">
      <alignment horizontal="center" vertical="center" wrapText="1"/>
    </xf>
    <xf numFmtId="0" fontId="33" fillId="2" borderId="1" xfId="6" applyFont="1" applyFill="1" applyBorder="1" applyAlignment="1">
      <alignment wrapText="1"/>
    </xf>
    <xf numFmtId="168" fontId="33" fillId="2" borderId="1" xfId="6" applyNumberFormat="1" applyFont="1" applyFill="1" applyBorder="1" applyAlignment="1">
      <alignment horizontal="center" vertical="center"/>
    </xf>
    <xf numFmtId="0" fontId="33" fillId="2" borderId="1" xfId="16" applyFont="1" applyFill="1" applyBorder="1" applyAlignment="1">
      <alignment vertical="center" wrapText="1"/>
    </xf>
    <xf numFmtId="0" fontId="7" fillId="2" borderId="0" xfId="41" applyFill="1"/>
    <xf numFmtId="0" fontId="44" fillId="2" borderId="0" xfId="41" applyFont="1" applyFill="1" applyAlignment="1">
      <alignment vertical="center"/>
    </xf>
    <xf numFmtId="0" fontId="34" fillId="2" borderId="1" xfId="6" applyFont="1" applyFill="1" applyBorder="1" applyAlignment="1">
      <alignment horizontal="left" vertical="top" wrapText="1"/>
    </xf>
    <xf numFmtId="0" fontId="44" fillId="2" borderId="1" xfId="25" applyFont="1" applyFill="1" applyBorder="1" applyAlignment="1">
      <alignment horizontal="justify" vertical="center"/>
    </xf>
    <xf numFmtId="0" fontId="7" fillId="2" borderId="1" xfId="25" applyFont="1" applyFill="1" applyBorder="1" applyAlignment="1">
      <alignment horizontal="center" vertical="center"/>
    </xf>
    <xf numFmtId="0" fontId="44" fillId="2" borderId="1" xfId="25" applyFont="1" applyFill="1" applyBorder="1" applyAlignment="1">
      <alignment horizontal="left" vertical="center"/>
    </xf>
    <xf numFmtId="0" fontId="7" fillId="2" borderId="1" xfId="25" applyFont="1" applyFill="1" applyBorder="1" applyAlignment="1">
      <alignment horizontal="left" vertical="center"/>
    </xf>
    <xf numFmtId="170" fontId="7" fillId="2" borderId="1" xfId="41" applyNumberFormat="1" applyFill="1" applyBorder="1" applyAlignment="1">
      <alignment horizontal="left" vertical="center" indent="1"/>
    </xf>
    <xf numFmtId="0" fontId="7" fillId="2" borderId="0" xfId="41" applyFill="1" applyAlignment="1">
      <alignment horizontal="left" vertical="center"/>
    </xf>
    <xf numFmtId="0" fontId="44" fillId="2" borderId="1" xfId="25" applyFont="1" applyFill="1" applyBorder="1" applyAlignment="1">
      <alignment horizontal="left" vertical="center" indent="1"/>
    </xf>
    <xf numFmtId="0" fontId="7" fillId="2" borderId="0" xfId="41" applyFill="1" applyAlignment="1">
      <alignment horizontal="left"/>
    </xf>
    <xf numFmtId="49" fontId="7" fillId="2" borderId="1" xfId="25" applyNumberFormat="1" applyFont="1" applyFill="1" applyBorder="1" applyAlignment="1">
      <alignment horizontal="left" vertical="center"/>
    </xf>
    <xf numFmtId="0" fontId="7" fillId="2" borderId="1" xfId="25" applyFont="1" applyFill="1" applyBorder="1" applyAlignment="1">
      <alignment horizontal="left" vertical="center" indent="1"/>
    </xf>
    <xf numFmtId="0" fontId="7" fillId="2" borderId="0" xfId="25" applyFont="1" applyFill="1" applyAlignment="1">
      <alignment horizontal="left"/>
    </xf>
    <xf numFmtId="49" fontId="44" fillId="2" borderId="1" xfId="25" applyNumberFormat="1" applyFont="1" applyFill="1" applyBorder="1" applyAlignment="1">
      <alignment horizontal="left" vertical="center"/>
    </xf>
    <xf numFmtId="0" fontId="44" fillId="2" borderId="0" xfId="25" applyFont="1" applyFill="1" applyAlignment="1">
      <alignment horizontal="left" vertical="center"/>
    </xf>
    <xf numFmtId="49" fontId="44" fillId="2" borderId="0" xfId="25" applyNumberFormat="1" applyFont="1" applyFill="1" applyAlignment="1">
      <alignment horizontal="left" vertical="center"/>
    </xf>
    <xf numFmtId="0" fontId="44" fillId="2" borderId="0" xfId="25" applyFont="1" applyFill="1" applyAlignment="1">
      <alignment horizontal="left" vertical="center" indent="1"/>
    </xf>
    <xf numFmtId="0" fontId="44" fillId="2" borderId="0" xfId="41" applyFont="1" applyFill="1" applyAlignment="1">
      <alignment horizontal="center"/>
    </xf>
    <xf numFmtId="0" fontId="34" fillId="2" borderId="0" xfId="6" applyFont="1" applyFill="1" applyAlignment="1">
      <alignment horizontal="left" vertical="center" wrapText="1"/>
    </xf>
    <xf numFmtId="0" fontId="7" fillId="2" borderId="0" xfId="41" applyFill="1" applyAlignment="1">
      <alignment horizontal="center"/>
    </xf>
    <xf numFmtId="4" fontId="7" fillId="2" borderId="0" xfId="41" applyNumberFormat="1" applyFill="1" applyAlignment="1">
      <alignment horizontal="center"/>
    </xf>
    <xf numFmtId="3" fontId="86" fillId="2" borderId="1" xfId="26" applyNumberFormat="1" applyFont="1" applyFill="1" applyBorder="1" applyAlignment="1">
      <alignment horizontal="center" vertical="center"/>
    </xf>
    <xf numFmtId="3" fontId="86" fillId="2" borderId="1" xfId="26" applyNumberFormat="1" applyFont="1" applyFill="1" applyBorder="1" applyAlignment="1">
      <alignment vertical="center"/>
    </xf>
    <xf numFmtId="4" fontId="86" fillId="2" borderId="1" xfId="26" applyNumberFormat="1" applyFont="1" applyFill="1" applyBorder="1" applyAlignment="1">
      <alignment horizontal="center" vertical="center"/>
    </xf>
    <xf numFmtId="0" fontId="34" fillId="2" borderId="0" xfId="26" applyFont="1" applyFill="1" applyAlignment="1">
      <alignment horizontal="center"/>
    </xf>
    <xf numFmtId="0" fontId="34" fillId="2" borderId="1" xfId="25" applyFont="1" applyFill="1" applyBorder="1" applyAlignment="1">
      <alignment horizontal="justify" vertical="center"/>
    </xf>
    <xf numFmtId="0" fontId="33" fillId="2" borderId="1" xfId="25" applyFont="1" applyFill="1" applyBorder="1" applyAlignment="1">
      <alignment horizontal="center" vertical="center"/>
    </xf>
    <xf numFmtId="49" fontId="33" fillId="2" borderId="1" xfId="25" applyNumberFormat="1" applyFont="1" applyFill="1" applyBorder="1" applyAlignment="1">
      <alignment horizontal="center" vertical="center"/>
    </xf>
    <xf numFmtId="0" fontId="33" fillId="2" borderId="1" xfId="25" applyFont="1" applyFill="1" applyBorder="1" applyAlignment="1">
      <alignment horizontal="justify" vertical="center"/>
    </xf>
    <xf numFmtId="0" fontId="34" fillId="2" borderId="1" xfId="41" applyFont="1" applyFill="1" applyBorder="1" applyAlignment="1">
      <alignment horizontal="justify" vertical="center"/>
    </xf>
    <xf numFmtId="168" fontId="33" fillId="2" borderId="1" xfId="41" applyNumberFormat="1" applyFont="1" applyFill="1" applyBorder="1" applyAlignment="1">
      <alignment horizontal="center" vertical="center" wrapText="1"/>
    </xf>
    <xf numFmtId="0" fontId="86" fillId="2" borderId="1" xfId="41" applyFont="1" applyFill="1" applyBorder="1" applyAlignment="1">
      <alignment horizontal="center" vertical="center"/>
    </xf>
    <xf numFmtId="170" fontId="33" fillId="2" borderId="1" xfId="41" applyNumberFormat="1" applyFont="1" applyFill="1" applyBorder="1" applyAlignment="1">
      <alignment horizontal="center" vertical="center" wrapText="1"/>
    </xf>
    <xf numFmtId="170" fontId="33" fillId="2" borderId="1" xfId="41" applyNumberFormat="1" applyFont="1" applyFill="1" applyBorder="1" applyAlignment="1">
      <alignment horizontal="right" vertical="center" wrapText="1"/>
    </xf>
    <xf numFmtId="170" fontId="33" fillId="2" borderId="1" xfId="41" applyNumberFormat="1" applyFont="1" applyFill="1" applyBorder="1" applyAlignment="1">
      <alignment horizontal="center" vertical="center"/>
    </xf>
    <xf numFmtId="170" fontId="34" fillId="2" borderId="1" xfId="41" applyNumberFormat="1" applyFont="1" applyFill="1" applyBorder="1" applyAlignment="1">
      <alignment horizontal="center" vertical="center" wrapText="1"/>
    </xf>
    <xf numFmtId="170" fontId="33" fillId="2" borderId="1" xfId="41" applyNumberFormat="1" applyFont="1" applyFill="1" applyBorder="1" applyAlignment="1">
      <alignment horizontal="right" vertical="center"/>
    </xf>
    <xf numFmtId="170" fontId="34" fillId="2" borderId="1" xfId="41" applyNumberFormat="1" applyFont="1" applyFill="1" applyBorder="1" applyAlignment="1">
      <alignment horizontal="center" vertical="center"/>
    </xf>
    <xf numFmtId="170" fontId="34" fillId="2" borderId="1" xfId="41" applyNumberFormat="1" applyFont="1" applyFill="1" applyBorder="1" applyAlignment="1">
      <alignment horizontal="left" vertical="center"/>
    </xf>
    <xf numFmtId="170" fontId="34" fillId="2" borderId="1" xfId="41" applyNumberFormat="1" applyFont="1" applyFill="1" applyBorder="1" applyAlignment="1">
      <alignment horizontal="left" vertical="center" wrapText="1"/>
    </xf>
    <xf numFmtId="0" fontId="33" fillId="2" borderId="0" xfId="41" applyFont="1" applyFill="1" applyAlignment="1">
      <alignment horizontal="center" vertical="center"/>
    </xf>
    <xf numFmtId="0" fontId="34" fillId="2" borderId="0" xfId="24" applyFont="1" applyFill="1" applyAlignment="1">
      <alignment horizontal="left" vertical="center"/>
    </xf>
    <xf numFmtId="0" fontId="34" fillId="2" borderId="0" xfId="24" applyFont="1" applyFill="1" applyAlignment="1">
      <alignment horizontal="center" vertical="center"/>
    </xf>
    <xf numFmtId="0" fontId="34" fillId="2" borderId="0" xfId="15" applyFont="1" applyFill="1" applyAlignment="1">
      <alignment horizontal="center" vertical="center"/>
    </xf>
    <xf numFmtId="4" fontId="34" fillId="2" borderId="0" xfId="41" applyNumberFormat="1" applyFont="1" applyFill="1" applyAlignment="1">
      <alignment horizontal="center" vertical="center"/>
    </xf>
    <xf numFmtId="0" fontId="87" fillId="2" borderId="0" xfId="39" applyFont="1" applyFill="1" applyAlignment="1">
      <alignment vertical="center" shrinkToFit="1"/>
    </xf>
    <xf numFmtId="0" fontId="87" fillId="2" borderId="0" xfId="39" applyFont="1" applyFill="1" applyAlignment="1">
      <alignment vertical="center" wrapText="1" shrinkToFit="1"/>
    </xf>
    <xf numFmtId="0" fontId="79" fillId="2" borderId="0" xfId="39" applyFont="1" applyFill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34" fillId="0" borderId="0" xfId="6" applyFont="1" applyFill="1"/>
    <xf numFmtId="0" fontId="33" fillId="0" borderId="0" xfId="39" applyFont="1" applyFill="1" applyAlignment="1">
      <alignment horizontal="center" vertical="center" shrinkToFit="1"/>
    </xf>
    <xf numFmtId="0" fontId="88" fillId="0" borderId="0" xfId="26" applyFont="1" applyFill="1" applyAlignment="1">
      <alignment horizontal="center"/>
    </xf>
    <xf numFmtId="49" fontId="33" fillId="0" borderId="1" xfId="41" applyNumberFormat="1" applyFont="1" applyFill="1" applyBorder="1" applyAlignment="1">
      <alignment horizontal="center" vertical="center" wrapText="1"/>
    </xf>
    <xf numFmtId="2" fontId="34" fillId="0" borderId="1" xfId="41" applyNumberFormat="1" applyFont="1" applyFill="1" applyBorder="1" applyAlignment="1">
      <alignment horizontal="center" vertical="center"/>
    </xf>
    <xf numFmtId="14" fontId="19" fillId="0" borderId="1" xfId="1" applyNumberFormat="1" applyFont="1" applyFill="1" applyBorder="1" applyAlignment="1">
      <alignment horizontal="center" vertical="center" wrapText="1"/>
    </xf>
    <xf numFmtId="0" fontId="89" fillId="0" borderId="0" xfId="41" applyFont="1" applyFill="1" applyAlignment="1">
      <alignment vertical="center"/>
    </xf>
    <xf numFmtId="168" fontId="34" fillId="0" borderId="1" xfId="41" applyNumberFormat="1" applyFont="1" applyFill="1" applyBorder="1" applyAlignment="1">
      <alignment horizontal="center" vertical="center" wrapText="1"/>
    </xf>
    <xf numFmtId="170" fontId="34" fillId="0" borderId="1" xfId="41" applyNumberFormat="1" applyFont="1" applyFill="1" applyBorder="1" applyAlignment="1">
      <alignment horizontal="center" vertical="center" wrapText="1"/>
    </xf>
    <xf numFmtId="0" fontId="33" fillId="0" borderId="2" xfId="41" applyFont="1" applyFill="1" applyBorder="1" applyAlignment="1">
      <alignment vertical="center"/>
    </xf>
    <xf numFmtId="0" fontId="34" fillId="0" borderId="2" xfId="41" applyFont="1" applyFill="1" applyBorder="1" applyAlignment="1">
      <alignment horizontal="left" vertical="center" wrapText="1"/>
    </xf>
    <xf numFmtId="0" fontId="34" fillId="0" borderId="2" xfId="41" applyFont="1" applyFill="1" applyBorder="1" applyAlignment="1">
      <alignment horizontal="center" vertical="center"/>
    </xf>
    <xf numFmtId="0" fontId="33" fillId="0" borderId="0" xfId="41" applyFont="1" applyFill="1" applyAlignment="1">
      <alignment horizontal="center" vertical="center" wrapText="1"/>
    </xf>
    <xf numFmtId="0" fontId="33" fillId="0" borderId="0" xfId="26" applyFont="1" applyFill="1" applyAlignment="1">
      <alignment horizontal="center"/>
    </xf>
    <xf numFmtId="0" fontId="34" fillId="0" borderId="1" xfId="41" applyNumberFormat="1" applyFont="1" applyFill="1" applyBorder="1" applyAlignment="1">
      <alignment horizontal="justify" vertical="center"/>
    </xf>
    <xf numFmtId="0" fontId="34" fillId="0" borderId="0" xfId="41" applyFont="1" applyFill="1" applyAlignment="1">
      <alignment horizontal="center" vertical="center" wrapText="1"/>
    </xf>
    <xf numFmtId="0" fontId="89" fillId="0" borderId="0" xfId="28" applyFont="1" applyFill="1" applyAlignment="1">
      <alignment horizontal="center" vertical="center" wrapText="1"/>
    </xf>
    <xf numFmtId="0" fontId="88" fillId="0" borderId="0" xfId="28" applyFont="1" applyFill="1" applyAlignment="1">
      <alignment horizontal="center" vertical="center" wrapText="1"/>
    </xf>
    <xf numFmtId="0" fontId="34" fillId="0" borderId="0" xfId="28" applyFont="1" applyFill="1" applyAlignment="1">
      <alignment horizontal="center" vertical="center" wrapText="1"/>
    </xf>
    <xf numFmtId="173" fontId="33" fillId="0" borderId="1" xfId="36" applyNumberFormat="1" applyFont="1" applyFill="1" applyBorder="1" applyAlignment="1">
      <alignment horizontal="center" vertical="center"/>
    </xf>
    <xf numFmtId="168" fontId="34" fillId="0" borderId="1" xfId="41" applyNumberFormat="1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 wrapText="1"/>
    </xf>
    <xf numFmtId="0" fontId="88" fillId="0" borderId="1" xfId="25" applyFont="1" applyFill="1" applyBorder="1" applyAlignment="1">
      <alignment horizontal="justify" vertical="center"/>
    </xf>
    <xf numFmtId="0" fontId="88" fillId="0" borderId="1" xfId="25" applyFont="1" applyFill="1" applyBorder="1" applyAlignment="1">
      <alignment horizontal="center" vertical="center"/>
    </xf>
    <xf numFmtId="0" fontId="88" fillId="0" borderId="1" xfId="25" applyFont="1" applyFill="1" applyBorder="1" applyAlignment="1">
      <alignment horizontal="left" vertical="center"/>
    </xf>
    <xf numFmtId="0" fontId="89" fillId="0" borderId="0" xfId="41" applyFont="1" applyFill="1"/>
    <xf numFmtId="0" fontId="89" fillId="0" borderId="1" xfId="25" applyFont="1" applyFill="1" applyBorder="1" applyAlignment="1">
      <alignment horizontal="left" vertical="center"/>
    </xf>
    <xf numFmtId="170" fontId="89" fillId="0" borderId="1" xfId="41" applyNumberFormat="1" applyFont="1" applyFill="1" applyBorder="1" applyAlignment="1">
      <alignment horizontal="left" vertical="center" indent="1"/>
    </xf>
    <xf numFmtId="0" fontId="89" fillId="0" borderId="0" xfId="41" applyFont="1" applyFill="1" applyAlignment="1">
      <alignment horizontal="left" vertical="center"/>
    </xf>
    <xf numFmtId="0" fontId="44" fillId="0" borderId="1" xfId="25" applyFont="1" applyFill="1" applyBorder="1" applyAlignment="1">
      <alignment horizontal="left" vertical="center"/>
    </xf>
    <xf numFmtId="0" fontId="44" fillId="0" borderId="1" xfId="25" applyFont="1" applyFill="1" applyBorder="1" applyAlignment="1">
      <alignment horizontal="left" vertical="center" indent="1"/>
    </xf>
    <xf numFmtId="0" fontId="89" fillId="0" borderId="0" xfId="41" applyFont="1" applyFill="1" applyAlignment="1">
      <alignment horizontal="left"/>
    </xf>
    <xf numFmtId="49" fontId="88" fillId="0" borderId="1" xfId="25" applyNumberFormat="1" applyFont="1" applyFill="1" applyBorder="1" applyAlignment="1">
      <alignment horizontal="left" vertical="center"/>
    </xf>
    <xf numFmtId="0" fontId="89" fillId="0" borderId="1" xfId="25" applyFont="1" applyFill="1" applyBorder="1" applyAlignment="1">
      <alignment horizontal="left" vertical="center" indent="1"/>
    </xf>
    <xf numFmtId="0" fontId="89" fillId="0" borderId="0" xfId="25" applyFont="1" applyFill="1" applyAlignment="1">
      <alignment horizontal="left"/>
    </xf>
    <xf numFmtId="49" fontId="44" fillId="0" borderId="1" xfId="25" applyNumberFormat="1" applyFont="1" applyFill="1" applyBorder="1" applyAlignment="1">
      <alignment horizontal="left" vertical="center"/>
    </xf>
    <xf numFmtId="0" fontId="88" fillId="0" borderId="0" xfId="41" applyFont="1" applyFill="1" applyAlignment="1">
      <alignment horizontal="center"/>
    </xf>
    <xf numFmtId="0" fontId="88" fillId="0" borderId="0" xfId="41" applyFont="1" applyFill="1" applyAlignment="1">
      <alignment horizontal="left"/>
    </xf>
    <xf numFmtId="0" fontId="89" fillId="0" borderId="0" xfId="41" applyFont="1" applyFill="1" applyAlignment="1">
      <alignment horizontal="center"/>
    </xf>
    <xf numFmtId="4" fontId="89" fillId="0" borderId="0" xfId="41" applyNumberFormat="1" applyFont="1" applyFill="1" applyAlignment="1">
      <alignment horizontal="center"/>
    </xf>
    <xf numFmtId="0" fontId="33" fillId="0" borderId="0" xfId="41" applyFont="1" applyFill="1"/>
    <xf numFmtId="0" fontId="34" fillId="0" borderId="0" xfId="6" applyFont="1" applyFill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68" fillId="0" borderId="0" xfId="39" applyFont="1" applyFill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31" fillId="0" borderId="0" xfId="39" applyFont="1" applyFill="1" applyAlignment="1">
      <alignment horizontal="center" vertical="center" wrapText="1" shrinkToFi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horizontal="center" vertical="center" wrapText="1"/>
    </xf>
    <xf numFmtId="49" fontId="32" fillId="0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vertical="center" wrapText="1"/>
    </xf>
    <xf numFmtId="169" fontId="33" fillId="0" borderId="1" xfId="41" applyNumberFormat="1" applyFont="1" applyFill="1" applyBorder="1" applyAlignment="1">
      <alignment horizontal="center" vertical="center" wrapText="1"/>
    </xf>
    <xf numFmtId="49" fontId="42" fillId="0" borderId="1" xfId="1" applyNumberFormat="1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vertical="center" wrapText="1"/>
    </xf>
    <xf numFmtId="1" fontId="34" fillId="0" borderId="1" xfId="0" applyNumberFormat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2" fontId="33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/>
    </xf>
    <xf numFmtId="0" fontId="34" fillId="0" borderId="1" xfId="16" applyFont="1" applyFill="1" applyBorder="1" applyAlignment="1">
      <alignment horizontal="center" vertical="center"/>
    </xf>
    <xf numFmtId="2" fontId="34" fillId="0" borderId="1" xfId="16" applyNumberFormat="1" applyFont="1" applyFill="1" applyBorder="1" applyAlignment="1">
      <alignment horizontal="center" vertical="center"/>
    </xf>
    <xf numFmtId="49" fontId="54" fillId="0" borderId="1" xfId="41" applyNumberFormat="1" applyFont="1" applyFill="1" applyBorder="1" applyAlignment="1">
      <alignment horizontal="center" vertical="center" wrapText="1"/>
    </xf>
    <xf numFmtId="0" fontId="54" fillId="0" borderId="1" xfId="4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168" fontId="33" fillId="0" borderId="1" xfId="41" applyNumberFormat="1" applyFont="1" applyFill="1" applyBorder="1" applyAlignment="1">
      <alignment horizontal="center" vertical="center" wrapText="1"/>
    </xf>
    <xf numFmtId="49" fontId="33" fillId="0" borderId="1" xfId="6" applyNumberFormat="1" applyFont="1" applyFill="1" applyBorder="1" applyAlignment="1">
      <alignment horizontal="center" vertical="center"/>
    </xf>
    <xf numFmtId="49" fontId="33" fillId="0" borderId="1" xfId="6" applyNumberFormat="1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vertical="center" wrapText="1"/>
    </xf>
    <xf numFmtId="14" fontId="33" fillId="0" borderId="1" xfId="41" applyNumberFormat="1" applyFont="1" applyFill="1" applyBorder="1" applyAlignment="1">
      <alignment horizontal="center" vertical="center" wrapText="1"/>
    </xf>
    <xf numFmtId="0" fontId="33" fillId="0" borderId="2" xfId="41" applyFont="1" applyFill="1" applyBorder="1" applyAlignment="1">
      <alignment horizontal="left" vertical="center" wrapText="1"/>
    </xf>
    <xf numFmtId="2" fontId="33" fillId="0" borderId="2" xfId="4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4" applyFont="1" applyFill="1" applyAlignment="1">
      <alignment horizontal="left" vertical="center"/>
    </xf>
    <xf numFmtId="0" fontId="12" fillId="0" borderId="0" xfId="3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0" fillId="0" borderId="0" xfId="2" applyFont="1" applyFill="1" applyAlignment="1">
      <alignment horizontal="center" vertical="center" wrapText="1" shrinkToFit="1"/>
    </xf>
    <xf numFmtId="0" fontId="13" fillId="0" borderId="0" xfId="1" applyFont="1" applyFill="1" applyAlignment="1">
      <alignment horizontal="center" vertical="center" wrapText="1"/>
    </xf>
    <xf numFmtId="0" fontId="35" fillId="0" borderId="4" xfId="41" applyFont="1" applyBorder="1" applyAlignment="1">
      <alignment horizontal="center" vertical="center"/>
    </xf>
    <xf numFmtId="0" fontId="35" fillId="0" borderId="5" xfId="41" applyFont="1" applyBorder="1" applyAlignment="1">
      <alignment horizontal="center" vertical="center"/>
    </xf>
    <xf numFmtId="0" fontId="35" fillId="0" borderId="6" xfId="41" applyFont="1" applyBorder="1" applyAlignment="1">
      <alignment horizontal="center" vertical="center" wrapText="1"/>
    </xf>
    <xf numFmtId="0" fontId="35" fillId="0" borderId="7" xfId="41" applyFont="1" applyBorder="1" applyAlignment="1">
      <alignment horizontal="center" vertical="center" wrapText="1"/>
    </xf>
    <xf numFmtId="0" fontId="35" fillId="0" borderId="10" xfId="41" applyFont="1" applyBorder="1" applyAlignment="1">
      <alignment horizontal="center" vertical="center" wrapText="1"/>
    </xf>
    <xf numFmtId="0" fontId="35" fillId="0" borderId="11" xfId="41" applyFont="1" applyBorder="1" applyAlignment="1">
      <alignment horizontal="center" vertical="center" wrapText="1"/>
    </xf>
    <xf numFmtId="0" fontId="35" fillId="0" borderId="8" xfId="41" applyFont="1" applyBorder="1" applyAlignment="1">
      <alignment horizontal="center" vertical="center" wrapText="1"/>
    </xf>
    <xf numFmtId="0" fontId="35" fillId="0" borderId="9" xfId="4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38" fillId="0" borderId="12" xfId="41" applyFont="1" applyBorder="1" applyAlignment="1">
      <alignment horizontal="right" vertical="center"/>
    </xf>
    <xf numFmtId="0" fontId="35" fillId="0" borderId="1" xfId="41" applyFont="1" applyBorder="1" applyAlignment="1">
      <alignment horizontal="center" vertical="center"/>
    </xf>
    <xf numFmtId="0" fontId="35" fillId="0" borderId="1" xfId="4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35" fillId="2" borderId="4" xfId="41" applyFont="1" applyFill="1" applyBorder="1" applyAlignment="1">
      <alignment horizontal="left" vertical="center" wrapText="1"/>
    </xf>
    <xf numFmtId="0" fontId="35" fillId="2" borderId="5" xfId="41" applyFont="1" applyFill="1" applyBorder="1" applyAlignment="1">
      <alignment horizontal="left" vertical="center" wrapText="1"/>
    </xf>
    <xf numFmtId="0" fontId="35" fillId="0" borderId="4" xfId="41" applyFont="1" applyBorder="1" applyAlignment="1">
      <alignment horizontal="left" vertical="center" wrapText="1"/>
    </xf>
    <xf numFmtId="0" fontId="35" fillId="0" borderId="5" xfId="41" applyFont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right" vertical="center"/>
    </xf>
    <xf numFmtId="0" fontId="29" fillId="0" borderId="0" xfId="39" applyFont="1" applyFill="1" applyAlignment="1">
      <alignment horizontal="center" vertical="center" shrinkToFit="1"/>
    </xf>
    <xf numFmtId="0" fontId="29" fillId="0" borderId="0" xfId="39" applyFont="1" applyFill="1" applyAlignment="1">
      <alignment horizontal="right" vertical="center" shrinkToFit="1"/>
    </xf>
    <xf numFmtId="0" fontId="32" fillId="0" borderId="0" xfId="39" applyFont="1" applyFill="1" applyAlignment="1">
      <alignment horizontal="center" vertical="center" wrapText="1" shrinkToFit="1"/>
    </xf>
    <xf numFmtId="0" fontId="31" fillId="0" borderId="0" xfId="39" applyFont="1" applyFill="1" applyAlignment="1">
      <alignment horizontal="center" vertical="center" wrapText="1" shrinkToFit="1"/>
    </xf>
    <xf numFmtId="0" fontId="30" fillId="0" borderId="0" xfId="39" applyFont="1" applyFill="1" applyAlignment="1">
      <alignment horizontal="left" vertical="center" wrapText="1" shrinkToFi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right" vertical="center"/>
    </xf>
    <xf numFmtId="0" fontId="10" fillId="0" borderId="0" xfId="39" applyFont="1" applyFill="1" applyAlignment="1">
      <alignment horizontal="center" vertical="center" shrinkToFit="1"/>
    </xf>
    <xf numFmtId="0" fontId="10" fillId="0" borderId="0" xfId="39" applyFont="1" applyFill="1" applyAlignment="1">
      <alignment horizontal="right" vertical="center" shrinkToFit="1"/>
    </xf>
    <xf numFmtId="0" fontId="42" fillId="0" borderId="0" xfId="39" applyFont="1" applyFill="1" applyAlignment="1">
      <alignment horizontal="center" vertical="center" wrapText="1" shrinkToFit="1"/>
    </xf>
    <xf numFmtId="0" fontId="68" fillId="0" borderId="0" xfId="39" applyFont="1" applyFill="1" applyAlignment="1">
      <alignment horizontal="center" vertical="center" wrapText="1" shrinkToFit="1"/>
    </xf>
    <xf numFmtId="0" fontId="66" fillId="0" borderId="0" xfId="39" applyFont="1" applyFill="1" applyAlignment="1">
      <alignment horizontal="left"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75" fillId="0" borderId="1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0" fontId="34" fillId="2" borderId="1" xfId="6" applyFont="1" applyFill="1" applyBorder="1" applyAlignment="1">
      <alignment horizontal="center" vertical="center"/>
    </xf>
    <xf numFmtId="0" fontId="34" fillId="2" borderId="1" xfId="6" applyFont="1" applyFill="1" applyBorder="1" applyAlignment="1">
      <alignment horizontal="center" vertical="center" wrapText="1"/>
    </xf>
    <xf numFmtId="0" fontId="38" fillId="2" borderId="0" xfId="39" applyFont="1" applyFill="1" applyAlignment="1">
      <alignment horizontal="center" vertical="center" shrinkToFit="1"/>
    </xf>
    <xf numFmtId="0" fontId="38" fillId="2" borderId="0" xfId="39" applyFont="1" applyFill="1" applyAlignment="1">
      <alignment horizontal="right" vertical="center" shrinkToFit="1"/>
    </xf>
    <xf numFmtId="0" fontId="38" fillId="2" borderId="0" xfId="39" applyFont="1" applyFill="1" applyAlignment="1">
      <alignment horizontal="center" vertical="center" wrapText="1" shrinkToFit="1"/>
    </xf>
    <xf numFmtId="0" fontId="34" fillId="2" borderId="0" xfId="39" applyFont="1" applyFill="1" applyAlignment="1">
      <alignment horizontal="left" vertical="center" wrapText="1" shrinkToFit="1"/>
    </xf>
    <xf numFmtId="0" fontId="10" fillId="2" borderId="0" xfId="39" applyFont="1" applyFill="1" applyAlignment="1">
      <alignment horizontal="center" vertical="center" shrinkToFit="1"/>
    </xf>
    <xf numFmtId="0" fontId="10" fillId="2" borderId="0" xfId="39" applyFont="1" applyFill="1" applyAlignment="1">
      <alignment horizontal="right" vertical="center" shrinkToFit="1"/>
    </xf>
    <xf numFmtId="0" fontId="34" fillId="2" borderId="2" xfId="6" applyFont="1" applyFill="1" applyBorder="1" applyAlignment="1">
      <alignment horizontal="center" vertical="center" wrapText="1"/>
    </xf>
    <xf numFmtId="0" fontId="34" fillId="2" borderId="3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/>
    </xf>
    <xf numFmtId="0" fontId="29" fillId="0" borderId="0" xfId="39" applyFont="1" applyFill="1" applyAlignment="1">
      <alignment horizontal="center" vertical="center" wrapText="1" shrinkToFit="1"/>
    </xf>
    <xf numFmtId="0" fontId="33" fillId="0" borderId="1" xfId="6" applyFont="1" applyFill="1" applyBorder="1" applyAlignment="1">
      <alignment horizontal="center" vertical="center" wrapText="1"/>
    </xf>
    <xf numFmtId="2" fontId="35" fillId="2" borderId="1" xfId="53" applyNumberFormat="1" applyFont="1" applyFill="1" applyBorder="1" applyAlignment="1" applyProtection="1">
      <alignment horizontal="center" vertical="center"/>
      <protection locked="0"/>
    </xf>
    <xf numFmtId="2" fontId="35" fillId="2" borderId="1" xfId="53" applyNumberFormat="1" applyFont="1" applyFill="1" applyBorder="1" applyAlignment="1" applyProtection="1">
      <alignment horizontal="center" vertical="center" wrapText="1"/>
      <protection locked="0"/>
    </xf>
    <xf numFmtId="2" fontId="35" fillId="2" borderId="1" xfId="53" applyNumberFormat="1" applyFont="1" applyFill="1" applyBorder="1" applyAlignment="1" applyProtection="1">
      <alignment horizontal="left" vertical="center" wrapText="1"/>
      <protection locked="0"/>
    </xf>
    <xf numFmtId="2" fontId="35" fillId="2" borderId="1" xfId="41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1" applyFont="1" applyAlignment="1" applyProtection="1">
      <alignment vertical="center"/>
      <protection locked="0"/>
    </xf>
    <xf numFmtId="0" fontId="35" fillId="0" borderId="0" xfId="39" applyFont="1" applyAlignment="1" applyProtection="1">
      <alignment vertical="center" wrapText="1"/>
      <protection locked="0"/>
    </xf>
    <xf numFmtId="2" fontId="35" fillId="0" borderId="0" xfId="41" applyNumberFormat="1" applyFont="1" applyAlignment="1" applyProtection="1">
      <alignment horizontal="center" vertical="center" wrapText="1"/>
      <protection locked="0"/>
    </xf>
    <xf numFmtId="166" fontId="35" fillId="0" borderId="0" xfId="41" applyNumberFormat="1" applyFont="1" applyAlignment="1" applyProtection="1">
      <alignment vertical="center" wrapText="1"/>
      <protection locked="0"/>
    </xf>
    <xf numFmtId="166" fontId="35" fillId="0" borderId="0" xfId="41" applyNumberFormat="1" applyFont="1" applyAlignment="1" applyProtection="1">
      <alignment horizontal="left" vertical="center" wrapText="1"/>
      <protection locked="0"/>
    </xf>
    <xf numFmtId="2" fontId="35" fillId="0" borderId="0" xfId="41" applyNumberFormat="1" applyFont="1" applyAlignment="1" applyProtection="1">
      <alignment horizontal="center" vertical="center"/>
      <protection locked="0"/>
    </xf>
    <xf numFmtId="43" fontId="35" fillId="0" borderId="0" xfId="41" applyNumberFormat="1" applyFont="1" applyAlignment="1" applyProtection="1">
      <alignment vertical="center"/>
      <protection locked="0"/>
    </xf>
    <xf numFmtId="0" fontId="33" fillId="0" borderId="0" xfId="41" applyFont="1" applyProtection="1">
      <protection locked="0"/>
    </xf>
    <xf numFmtId="0" fontId="34" fillId="0" borderId="0" xfId="41" applyFont="1" applyProtection="1">
      <protection locked="0"/>
    </xf>
    <xf numFmtId="0" fontId="33" fillId="0" borderId="0" xfId="41" applyFont="1" applyAlignment="1" applyProtection="1">
      <alignment horizontal="left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48" fillId="0" borderId="3" xfId="0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2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2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Protection="1">
      <protection locked="0"/>
    </xf>
    <xf numFmtId="0" fontId="53" fillId="0" borderId="1" xfId="1" applyFont="1" applyFill="1" applyBorder="1" applyAlignment="1" applyProtection="1">
      <alignment horizontal="center" vertical="center"/>
      <protection locked="0"/>
    </xf>
    <xf numFmtId="2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1" xfId="0" applyNumberFormat="1" applyFont="1" applyFill="1" applyBorder="1" applyAlignment="1" applyProtection="1">
      <alignment horizontal="center" vertical="center"/>
      <protection locked="0"/>
    </xf>
    <xf numFmtId="2" fontId="5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4" fontId="34" fillId="0" borderId="1" xfId="41" applyNumberFormat="1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3" fillId="0" borderId="1" xfId="5" applyFont="1" applyFill="1" applyBorder="1" applyAlignment="1" applyProtection="1">
      <alignment horizontal="center" vertical="center" wrapText="1"/>
      <protection locked="0"/>
    </xf>
    <xf numFmtId="2" fontId="5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1" applyFont="1" applyFill="1" applyBorder="1" applyAlignment="1" applyProtection="1">
      <alignment horizontal="center" vertical="center"/>
      <protection locked="0"/>
    </xf>
    <xf numFmtId="2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" xfId="0" applyNumberFormat="1" applyFont="1" applyFill="1" applyBorder="1" applyAlignment="1" applyProtection="1">
      <alignment horizontal="center" vertical="center"/>
      <protection locked="0"/>
    </xf>
    <xf numFmtId="175" fontId="5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1" applyNumberFormat="1" applyFont="1" applyFill="1" applyBorder="1" applyAlignment="1" applyProtection="1">
      <alignment horizontal="center" vertical="center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1" applyNumberFormat="1" applyFont="1" applyFill="1" applyBorder="1" applyAlignment="1" applyProtection="1">
      <alignment horizontal="center" vertical="center"/>
      <protection locked="0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1" applyFont="1" applyFill="1" applyBorder="1" applyAlignment="1" applyProtection="1">
      <alignment horizontal="center" vertical="center"/>
      <protection locked="0"/>
    </xf>
    <xf numFmtId="2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1" xfId="0" applyNumberFormat="1" applyFont="1" applyFill="1" applyBorder="1" applyAlignment="1" applyProtection="1">
      <alignment horizontal="center" vertical="center"/>
      <protection locked="0"/>
    </xf>
    <xf numFmtId="2" fontId="34" fillId="0" borderId="1" xfId="116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67" fillId="0" borderId="1" xfId="6" applyNumberFormat="1" applyFont="1" applyFill="1" applyBorder="1" applyAlignment="1" applyProtection="1">
      <alignment horizontal="center" vertical="center" wrapText="1"/>
      <protection locked="0"/>
    </xf>
    <xf numFmtId="2" fontId="5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9" applyNumberFormat="1" applyFont="1" applyFill="1" applyBorder="1" applyAlignment="1" applyProtection="1">
      <alignment horizontal="center" vertical="center"/>
      <protection locked="0"/>
    </xf>
    <xf numFmtId="2" fontId="18" fillId="0" borderId="1" xfId="6" applyNumberFormat="1" applyFont="1" applyFill="1" applyBorder="1" applyAlignment="1" applyProtection="1">
      <alignment horizontal="center" vertical="center"/>
      <protection locked="0"/>
    </xf>
    <xf numFmtId="2" fontId="34" fillId="0" borderId="1" xfId="0" applyNumberFormat="1" applyFont="1" applyFill="1" applyBorder="1" applyAlignment="1" applyProtection="1">
      <alignment horizontal="center" vertical="top" wrapText="1"/>
      <protection locked="0"/>
    </xf>
    <xf numFmtId="2" fontId="33" fillId="0" borderId="1" xfId="0" applyNumberFormat="1" applyFont="1" applyFill="1" applyBorder="1" applyAlignment="1" applyProtection="1">
      <alignment horizontal="center" vertical="top" wrapText="1"/>
      <protection locked="0"/>
    </xf>
    <xf numFmtId="2" fontId="34" fillId="0" borderId="1" xfId="0" applyNumberFormat="1" applyFont="1" applyFill="1" applyBorder="1" applyAlignment="1" applyProtection="1">
      <alignment horizontal="left" vertical="top" wrapText="1"/>
      <protection locked="0"/>
    </xf>
    <xf numFmtId="2" fontId="49" fillId="0" borderId="1" xfId="0" applyNumberFormat="1" applyFont="1" applyFill="1" applyBorder="1" applyAlignment="1" applyProtection="1">
      <alignment horizontal="left" vertical="top" wrapText="1"/>
      <protection locked="0"/>
    </xf>
    <xf numFmtId="174" fontId="33" fillId="0" borderId="1" xfId="0" applyNumberFormat="1" applyFont="1" applyFill="1" applyBorder="1" applyAlignment="1" applyProtection="1">
      <alignment horizontal="center" vertical="center"/>
      <protection locked="0"/>
    </xf>
    <xf numFmtId="2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168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5" fontId="9" fillId="0" borderId="0" xfId="96" applyFont="1" applyFill="1" applyAlignment="1" applyProtection="1">
      <alignment horizontal="center" vertical="center" wrapText="1"/>
      <protection locked="0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9" fillId="0" borderId="0" xfId="0" applyNumberFormat="1" applyFont="1" applyFill="1" applyAlignment="1" applyProtection="1">
      <alignment horizontal="left" vertical="center" wrapText="1"/>
      <protection locked="0"/>
    </xf>
    <xf numFmtId="43" fontId="9" fillId="0" borderId="0" xfId="0" applyNumberFormat="1" applyFont="1" applyFill="1" applyAlignment="1" applyProtection="1">
      <alignment vertical="center"/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Alignment="1" applyProtection="1">
      <protection locked="0"/>
    </xf>
    <xf numFmtId="0" fontId="66" fillId="0" borderId="3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0" fontId="42" fillId="0" borderId="3" xfId="0" applyFont="1" applyFill="1" applyBorder="1" applyAlignment="1" applyProtection="1">
      <alignment horizontal="center" vertical="center" wrapText="1"/>
      <protection locked="0"/>
    </xf>
    <xf numFmtId="2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66" fillId="0" borderId="1" xfId="0" applyNumberFormat="1" applyFont="1" applyFill="1" applyBorder="1" applyAlignment="1" applyProtection="1">
      <alignment horizontal="center" vertical="center"/>
      <protection locked="0"/>
    </xf>
    <xf numFmtId="0" fontId="69" fillId="0" borderId="1" xfId="0" applyFont="1" applyFill="1" applyBorder="1" applyAlignment="1" applyProtection="1">
      <alignment horizontal="center" vertical="center" wrapText="1"/>
      <protection locked="0"/>
    </xf>
    <xf numFmtId="0" fontId="66" fillId="0" borderId="1" xfId="0" applyFont="1" applyFill="1" applyBorder="1" applyAlignment="1" applyProtection="1">
      <alignment horizontal="center" vertical="center" wrapText="1"/>
      <protection locked="0"/>
    </xf>
    <xf numFmtId="2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" xfId="0" applyFont="1" applyFill="1" applyBorder="1" applyAlignment="1" applyProtection="1">
      <alignment horizontal="center" vertical="center"/>
      <protection locked="0"/>
    </xf>
    <xf numFmtId="0" fontId="70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2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0" fontId="33" fillId="0" borderId="1" xfId="41" applyFont="1" applyFill="1" applyBorder="1" applyAlignment="1" applyProtection="1">
      <alignment horizontal="center" vertical="center" wrapText="1"/>
      <protection locked="0"/>
    </xf>
    <xf numFmtId="2" fontId="33" fillId="0" borderId="1" xfId="4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169" fontId="34" fillId="0" borderId="1" xfId="0" applyNumberFormat="1" applyFont="1" applyFill="1" applyBorder="1" applyAlignment="1" applyProtection="1">
      <alignment horizontal="center"/>
      <protection locked="0"/>
    </xf>
    <xf numFmtId="16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2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34" fillId="0" borderId="1" xfId="5" applyFont="1" applyFill="1" applyBorder="1" applyAlignment="1" applyProtection="1">
      <alignment horizontal="center" vertical="center" wrapText="1"/>
      <protection locked="0"/>
    </xf>
    <xf numFmtId="0" fontId="34" fillId="0" borderId="1" xfId="41" applyFont="1" applyFill="1" applyBorder="1" applyAlignment="1" applyProtection="1">
      <alignment horizontal="center" vertical="center" wrapText="1"/>
      <protection locked="0"/>
    </xf>
    <xf numFmtId="2" fontId="34" fillId="0" borderId="1" xfId="4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41" applyFont="1" applyFill="1" applyBorder="1" applyAlignment="1" applyProtection="1">
      <alignment vertical="center" wrapText="1"/>
      <protection locked="0"/>
    </xf>
    <xf numFmtId="2" fontId="33" fillId="0" borderId="1" xfId="41" applyNumberFormat="1" applyFont="1" applyFill="1" applyBorder="1" applyAlignment="1" applyProtection="1">
      <alignment vertical="center" wrapText="1"/>
      <protection locked="0"/>
    </xf>
    <xf numFmtId="168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Protection="1">
      <protection locked="0"/>
    </xf>
    <xf numFmtId="2" fontId="53" fillId="0" borderId="1" xfId="0" applyNumberFormat="1" applyFont="1" applyFill="1" applyBorder="1" applyAlignment="1" applyProtection="1">
      <alignment horizontal="center" vertical="top" wrapText="1"/>
      <protection locked="0"/>
    </xf>
    <xf numFmtId="2" fontId="54" fillId="0" borderId="1" xfId="41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41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6" applyFont="1" applyAlignment="1" applyProtection="1">
      <alignment horizontal="left" vertical="center" wrapText="1"/>
      <protection locked="0"/>
    </xf>
    <xf numFmtId="0" fontId="34" fillId="0" borderId="0" xfId="6" applyFont="1" applyAlignment="1" applyProtection="1">
      <alignment horizontal="center" vertical="center" wrapText="1"/>
      <protection locked="0"/>
    </xf>
    <xf numFmtId="0" fontId="34" fillId="0" borderId="0" xfId="6" applyFont="1" applyAlignment="1" applyProtection="1">
      <protection locked="0"/>
    </xf>
    <xf numFmtId="43" fontId="35" fillId="0" borderId="1" xfId="53" applyFont="1" applyFill="1" applyBorder="1" applyAlignment="1" applyProtection="1">
      <alignment horizontal="center" vertical="center"/>
      <protection locked="0"/>
    </xf>
    <xf numFmtId="43" fontId="35" fillId="2" borderId="1" xfId="53" applyFont="1" applyFill="1" applyBorder="1" applyAlignment="1" applyProtection="1">
      <alignment horizontal="center" vertical="center" wrapText="1"/>
      <protection locked="0"/>
    </xf>
    <xf numFmtId="43" fontId="35" fillId="2" borderId="1" xfId="53" applyFont="1" applyFill="1" applyBorder="1" applyAlignment="1" applyProtection="1">
      <alignment horizontal="left" vertical="center" wrapText="1"/>
      <protection locked="0"/>
    </xf>
    <xf numFmtId="43" fontId="35" fillId="2" borderId="1" xfId="53" applyFont="1" applyFill="1" applyBorder="1" applyAlignment="1" applyProtection="1">
      <alignment horizontal="center" vertical="center"/>
      <protection locked="0"/>
    </xf>
    <xf numFmtId="0" fontId="18" fillId="2" borderId="1" xfId="41" applyFont="1" applyFill="1" applyBorder="1" applyAlignment="1" applyProtection="1">
      <alignment horizontal="center" vertical="center"/>
      <protection locked="0"/>
    </xf>
    <xf numFmtId="2" fontId="82" fillId="2" borderId="1" xfId="41" applyNumberFormat="1" applyFont="1" applyFill="1" applyBorder="1" applyAlignment="1" applyProtection="1">
      <alignment horizontal="center" vertical="center" wrapText="1"/>
      <protection locked="0"/>
    </xf>
    <xf numFmtId="0" fontId="82" fillId="2" borderId="1" xfId="41" applyFont="1" applyFill="1" applyBorder="1" applyAlignment="1" applyProtection="1">
      <alignment horizontal="center" vertical="center" wrapText="1"/>
      <protection locked="0"/>
    </xf>
    <xf numFmtId="2" fontId="82" fillId="2" borderId="1" xfId="53" applyNumberFormat="1" applyFont="1" applyFill="1" applyBorder="1" applyAlignment="1" applyProtection="1">
      <alignment horizontal="center" vertical="center" wrapText="1"/>
      <protection locked="0"/>
    </xf>
    <xf numFmtId="2" fontId="55" fillId="2" borderId="1" xfId="53" applyNumberFormat="1" applyFont="1" applyFill="1" applyBorder="1" applyAlignment="1" applyProtection="1">
      <alignment horizontal="center" vertical="center" wrapText="1"/>
      <protection locked="0"/>
    </xf>
    <xf numFmtId="167" fontId="19" fillId="2" borderId="1" xfId="41" applyNumberFormat="1" applyFont="1" applyFill="1" applyBorder="1" applyAlignment="1" applyProtection="1">
      <alignment horizontal="center" vertical="center" wrapText="1"/>
      <protection locked="0"/>
    </xf>
    <xf numFmtId="2" fontId="55" fillId="2" borderId="1" xfId="41" applyNumberFormat="1" applyFont="1" applyFill="1" applyBorder="1" applyAlignment="1" applyProtection="1">
      <alignment horizontal="center" vertical="center" wrapText="1"/>
      <protection locked="0"/>
    </xf>
    <xf numFmtId="0" fontId="55" fillId="2" borderId="1" xfId="41" applyFont="1" applyFill="1" applyBorder="1" applyAlignment="1" applyProtection="1">
      <alignment horizontal="center" vertical="center" wrapText="1"/>
      <protection locked="0"/>
    </xf>
    <xf numFmtId="0" fontId="19" fillId="2" borderId="1" xfId="41" applyFont="1" applyFill="1" applyBorder="1" applyAlignment="1" applyProtection="1">
      <alignment horizontal="center" vertical="center"/>
      <protection locked="0"/>
    </xf>
    <xf numFmtId="2" fontId="83" fillId="2" borderId="1" xfId="41" applyNumberFormat="1" applyFont="1" applyFill="1" applyBorder="1" applyAlignment="1" applyProtection="1">
      <alignment horizontal="center" vertical="center" wrapText="1"/>
      <protection locked="0"/>
    </xf>
    <xf numFmtId="2" fontId="84" fillId="2" borderId="1" xfId="41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41" applyNumberFormat="1" applyFont="1" applyFill="1" applyBorder="1" applyAlignment="1" applyProtection="1">
      <alignment horizontal="center" vertical="center"/>
      <protection locked="0"/>
    </xf>
    <xf numFmtId="0" fontId="34" fillId="2" borderId="0" xfId="41" applyFont="1" applyFill="1" applyAlignment="1" applyProtection="1">
      <alignment horizontal="center"/>
      <protection locked="0"/>
    </xf>
    <xf numFmtId="4" fontId="34" fillId="2" borderId="0" xfId="41" applyNumberFormat="1" applyFont="1" applyFill="1" applyAlignment="1" applyProtection="1">
      <alignment horizontal="center"/>
      <protection locked="0"/>
    </xf>
    <xf numFmtId="0" fontId="34" fillId="2" borderId="0" xfId="41" applyFont="1" applyFill="1" applyAlignment="1" applyProtection="1">
      <protection locked="0"/>
    </xf>
    <xf numFmtId="4" fontId="33" fillId="2" borderId="1" xfId="41" applyNumberFormat="1" applyFont="1" applyFill="1" applyBorder="1" applyAlignment="1" applyProtection="1">
      <alignment horizontal="center" vertical="center"/>
      <protection locked="0"/>
    </xf>
    <xf numFmtId="4" fontId="34" fillId="2" borderId="1" xfId="41" applyNumberFormat="1" applyFont="1" applyFill="1" applyBorder="1" applyAlignment="1" applyProtection="1">
      <alignment horizontal="center" vertical="center"/>
      <protection locked="0"/>
    </xf>
    <xf numFmtId="4" fontId="34" fillId="2" borderId="1" xfId="55" applyNumberFormat="1" applyFont="1" applyFill="1" applyBorder="1" applyAlignment="1" applyProtection="1">
      <alignment horizontal="center" vertical="center"/>
      <protection locked="0"/>
    </xf>
    <xf numFmtId="4" fontId="33" fillId="2" borderId="1" xfId="29" applyNumberFormat="1" applyFont="1" applyFill="1" applyBorder="1" applyAlignment="1" applyProtection="1">
      <alignment horizontal="center" vertical="center"/>
      <protection locked="0"/>
    </xf>
    <xf numFmtId="4" fontId="33" fillId="2" borderId="1" xfId="15" applyNumberFormat="1" applyFont="1" applyFill="1" applyBorder="1" applyAlignment="1" applyProtection="1">
      <alignment horizontal="center" vertical="center"/>
      <protection locked="0"/>
    </xf>
    <xf numFmtId="0" fontId="34" fillId="2" borderId="1" xfId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2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2" fontId="3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4" fillId="2" borderId="1" xfId="26" applyNumberFormat="1" applyFont="1" applyFill="1" applyBorder="1" applyAlignment="1" applyProtection="1">
      <alignment horizontal="center" vertical="center"/>
      <protection locked="0"/>
    </xf>
    <xf numFmtId="4" fontId="34" fillId="2" borderId="1" xfId="25" applyNumberFormat="1" applyFont="1" applyFill="1" applyBorder="1" applyAlignment="1" applyProtection="1">
      <alignment horizontal="center" vertical="center"/>
      <protection locked="0"/>
    </xf>
    <xf numFmtId="4" fontId="34" fillId="2" borderId="1" xfId="28" applyNumberFormat="1" applyFont="1" applyFill="1" applyBorder="1" applyAlignment="1" applyProtection="1">
      <alignment horizontal="center" vertical="center"/>
      <protection locked="0"/>
    </xf>
    <xf numFmtId="2" fontId="34" fillId="2" borderId="1" xfId="9" applyNumberFormat="1" applyFont="1" applyFill="1" applyBorder="1" applyAlignment="1" applyProtection="1">
      <alignment horizontal="center" vertical="center"/>
      <protection locked="0"/>
    </xf>
    <xf numFmtId="4" fontId="34" fillId="2" borderId="1" xfId="29" applyNumberFormat="1" applyFont="1" applyFill="1" applyBorder="1" applyAlignment="1" applyProtection="1">
      <alignment horizontal="center" vertical="center"/>
      <protection locked="0"/>
    </xf>
    <xf numFmtId="49" fontId="33" fillId="2" borderId="1" xfId="41" applyNumberFormat="1" applyFont="1" applyFill="1" applyBorder="1" applyAlignment="1" applyProtection="1">
      <alignment horizontal="left" vertical="center"/>
      <protection locked="0"/>
    </xf>
    <xf numFmtId="4" fontId="33" fillId="2" borderId="1" xfId="26" applyNumberFormat="1" applyFont="1" applyFill="1" applyBorder="1" applyAlignment="1" applyProtection="1">
      <alignment horizontal="center" vertical="center"/>
      <protection locked="0"/>
    </xf>
    <xf numFmtId="180" fontId="34" fillId="2" borderId="1" xfId="41" applyNumberFormat="1" applyFont="1" applyFill="1" applyBorder="1" applyAlignment="1" applyProtection="1">
      <alignment horizontal="center" vertical="center"/>
      <protection locked="0"/>
    </xf>
    <xf numFmtId="4" fontId="34" fillId="2" borderId="1" xfId="13" applyNumberFormat="1" applyFont="1" applyFill="1" applyBorder="1" applyAlignment="1" applyProtection="1">
      <alignment horizontal="center" vertical="center"/>
      <protection locked="0"/>
    </xf>
    <xf numFmtId="4" fontId="34" fillId="2" borderId="1" xfId="15" applyNumberFormat="1" applyFont="1" applyFill="1" applyBorder="1" applyAlignment="1" applyProtection="1">
      <alignment horizontal="center" vertical="center"/>
      <protection locked="0"/>
    </xf>
    <xf numFmtId="4" fontId="33" fillId="2" borderId="1" xfId="13" applyNumberFormat="1" applyFont="1" applyFill="1" applyBorder="1" applyAlignment="1" applyProtection="1">
      <alignment horizontal="center" vertical="center"/>
      <protection locked="0"/>
    </xf>
    <xf numFmtId="4" fontId="34" fillId="2" borderId="1" xfId="53" applyNumberFormat="1" applyFont="1" applyFill="1" applyBorder="1" applyAlignment="1" applyProtection="1">
      <alignment horizontal="center" vertical="center"/>
      <protection locked="0"/>
    </xf>
    <xf numFmtId="0" fontId="34" fillId="2" borderId="1" xfId="30" applyFont="1" applyFill="1" applyBorder="1" applyAlignment="1" applyProtection="1">
      <alignment horizontal="center" vertical="center" wrapText="1"/>
      <protection locked="0"/>
    </xf>
    <xf numFmtId="2" fontId="34" fillId="2" borderId="1" xfId="30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9" applyFont="1" applyFill="1" applyBorder="1" applyAlignment="1" applyProtection="1">
      <alignment horizontal="center" vertical="center" wrapText="1"/>
      <protection locked="0"/>
    </xf>
    <xf numFmtId="2" fontId="34" fillId="2" borderId="1" xfId="9" applyNumberFormat="1" applyFont="1" applyFill="1" applyBorder="1" applyAlignment="1" applyProtection="1">
      <alignment horizontal="center" vertical="center" wrapText="1"/>
      <protection locked="0"/>
    </xf>
    <xf numFmtId="2" fontId="33" fillId="2" borderId="1" xfId="30" applyNumberFormat="1" applyFont="1" applyFill="1" applyBorder="1" applyAlignment="1" applyProtection="1">
      <alignment horizontal="center" vertical="center" wrapText="1"/>
      <protection locked="0"/>
    </xf>
    <xf numFmtId="0" fontId="33" fillId="2" borderId="1" xfId="26" applyFont="1" applyFill="1" applyBorder="1" applyAlignment="1" applyProtection="1">
      <alignment horizontal="center"/>
      <protection locked="0"/>
    </xf>
    <xf numFmtId="2" fontId="34" fillId="2" borderId="1" xfId="30" applyNumberFormat="1" applyFont="1" applyFill="1" applyBorder="1" applyAlignment="1" applyProtection="1">
      <alignment horizontal="center"/>
      <protection locked="0"/>
    </xf>
    <xf numFmtId="0" fontId="34" fillId="2" borderId="1" xfId="30" applyFont="1" applyFill="1" applyBorder="1" applyAlignment="1" applyProtection="1">
      <alignment horizontal="center"/>
      <protection locked="0"/>
    </xf>
    <xf numFmtId="169" fontId="34" fillId="2" borderId="1" xfId="30" applyNumberFormat="1" applyFont="1" applyFill="1" applyBorder="1" applyAlignment="1" applyProtection="1">
      <alignment horizontal="center"/>
      <protection locked="0"/>
    </xf>
    <xf numFmtId="0" fontId="34" fillId="2" borderId="1" xfId="31" applyFont="1" applyFill="1" applyBorder="1" applyAlignment="1" applyProtection="1">
      <alignment horizontal="center" vertical="center" wrapText="1"/>
      <protection locked="0"/>
    </xf>
    <xf numFmtId="2" fontId="34" fillId="2" borderId="1" xfId="31" applyNumberFormat="1" applyFont="1" applyFill="1" applyBorder="1" applyAlignment="1" applyProtection="1">
      <alignment horizontal="center" vertical="center" wrapText="1"/>
      <protection locked="0"/>
    </xf>
    <xf numFmtId="2" fontId="33" fillId="2" borderId="1" xfId="31" applyNumberFormat="1" applyFont="1" applyFill="1" applyBorder="1" applyAlignment="1" applyProtection="1">
      <alignment horizontal="center" vertical="center" wrapText="1"/>
      <protection locked="0"/>
    </xf>
    <xf numFmtId="2" fontId="34" fillId="2" borderId="1" xfId="31" applyNumberFormat="1" applyFont="1" applyFill="1" applyBorder="1" applyAlignment="1" applyProtection="1">
      <alignment horizontal="center"/>
      <protection locked="0"/>
    </xf>
    <xf numFmtId="0" fontId="34" fillId="2" borderId="1" xfId="31" applyFont="1" applyFill="1" applyBorder="1" applyAlignment="1" applyProtection="1">
      <alignment horizontal="center"/>
      <protection locked="0"/>
    </xf>
    <xf numFmtId="0" fontId="34" fillId="2" borderId="1" xfId="32" applyFont="1" applyFill="1" applyBorder="1" applyAlignment="1" applyProtection="1">
      <alignment horizontal="center" vertical="center" wrapText="1"/>
      <protection locked="0"/>
    </xf>
    <xf numFmtId="2" fontId="34" fillId="2" borderId="1" xfId="32" applyNumberFormat="1" applyFont="1" applyFill="1" applyBorder="1" applyAlignment="1" applyProtection="1">
      <alignment horizontal="center" vertical="center" wrapText="1"/>
      <protection locked="0"/>
    </xf>
    <xf numFmtId="2" fontId="33" fillId="2" borderId="1" xfId="32" applyNumberFormat="1" applyFont="1" applyFill="1" applyBorder="1" applyAlignment="1" applyProtection="1">
      <alignment horizontal="center" vertical="center" wrapText="1"/>
      <protection locked="0"/>
    </xf>
    <xf numFmtId="2" fontId="34" fillId="2" borderId="1" xfId="32" applyNumberFormat="1" applyFont="1" applyFill="1" applyBorder="1" applyAlignment="1" applyProtection="1">
      <alignment horizontal="center"/>
      <protection locked="0"/>
    </xf>
    <xf numFmtId="0" fontId="34" fillId="2" borderId="1" xfId="32" applyFont="1" applyFill="1" applyBorder="1" applyAlignment="1" applyProtection="1">
      <alignment horizontal="center"/>
      <protection locked="0"/>
    </xf>
    <xf numFmtId="2" fontId="34" fillId="2" borderId="1" xfId="32" applyNumberFormat="1" applyFont="1" applyFill="1" applyBorder="1" applyAlignment="1" applyProtection="1">
      <alignment horizontal="center" vertical="center"/>
      <protection locked="0"/>
    </xf>
    <xf numFmtId="2" fontId="34" fillId="2" borderId="1" xfId="133" applyNumberFormat="1" applyFont="1" applyFill="1" applyBorder="1" applyAlignment="1" applyProtection="1">
      <alignment horizontal="center" vertical="center" wrapText="1"/>
      <protection locked="0"/>
    </xf>
    <xf numFmtId="169" fontId="34" fillId="2" borderId="1" xfId="133" applyNumberFormat="1" applyFont="1" applyFill="1" applyBorder="1" applyAlignment="1" applyProtection="1">
      <alignment horizontal="center" vertical="center" wrapText="1"/>
      <protection locked="0"/>
    </xf>
    <xf numFmtId="2" fontId="33" fillId="2" borderId="1" xfId="133" applyNumberFormat="1" applyFont="1" applyFill="1" applyBorder="1" applyAlignment="1" applyProtection="1">
      <alignment horizontal="center" vertical="center" wrapText="1"/>
      <protection locked="0"/>
    </xf>
    <xf numFmtId="2" fontId="34" fillId="2" borderId="1" xfId="133" applyNumberFormat="1" applyFont="1" applyFill="1" applyBorder="1" applyAlignment="1" applyProtection="1">
      <alignment horizontal="center"/>
      <protection locked="0"/>
    </xf>
    <xf numFmtId="0" fontId="34" fillId="2" borderId="1" xfId="133" applyFont="1" applyFill="1" applyBorder="1" applyAlignment="1" applyProtection="1">
      <alignment horizontal="center"/>
      <protection locked="0"/>
    </xf>
    <xf numFmtId="169" fontId="34" fillId="2" borderId="1" xfId="133" applyNumberFormat="1" applyFont="1" applyFill="1" applyBorder="1" applyAlignment="1" applyProtection="1">
      <alignment horizontal="center"/>
      <protection locked="0"/>
    </xf>
    <xf numFmtId="0" fontId="34" fillId="2" borderId="1" xfId="41" applyFont="1" applyFill="1" applyBorder="1" applyAlignment="1" applyProtection="1">
      <alignment vertical="center"/>
      <protection locked="0"/>
    </xf>
    <xf numFmtId="174" fontId="33" fillId="2" borderId="1" xfId="56" applyNumberFormat="1" applyFont="1" applyFill="1" applyBorder="1" applyAlignment="1" applyProtection="1">
      <alignment horizontal="center" vertical="center"/>
      <protection locked="0"/>
    </xf>
    <xf numFmtId="2" fontId="33" fillId="2" borderId="1" xfId="56" applyNumberFormat="1" applyFont="1" applyFill="1" applyBorder="1" applyAlignment="1" applyProtection="1">
      <alignment horizontal="center" vertical="center"/>
      <protection locked="0"/>
    </xf>
    <xf numFmtId="0" fontId="33" fillId="2" borderId="1" xfId="56" applyFont="1" applyFill="1" applyBorder="1" applyAlignment="1" applyProtection="1">
      <alignment horizontal="center" vertical="center"/>
      <protection locked="0"/>
    </xf>
    <xf numFmtId="0" fontId="34" fillId="2" borderId="1" xfId="56" applyFont="1" applyFill="1" applyBorder="1" applyAlignment="1" applyProtection="1">
      <alignment horizontal="center" vertical="center"/>
      <protection locked="0"/>
    </xf>
    <xf numFmtId="2" fontId="34" fillId="2" borderId="1" xfId="56" applyNumberFormat="1" applyFont="1" applyFill="1" applyBorder="1" applyAlignment="1" applyProtection="1">
      <alignment horizontal="center" vertical="center"/>
      <protection locked="0"/>
    </xf>
    <xf numFmtId="2" fontId="34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56" applyFont="1" applyFill="1" applyBorder="1" applyAlignment="1" applyProtection="1">
      <alignment horizontal="center" vertical="center" wrapText="1"/>
      <protection locked="0"/>
    </xf>
    <xf numFmtId="2" fontId="33" fillId="2" borderId="1" xfId="41" applyNumberFormat="1" applyFont="1" applyFill="1" applyBorder="1" applyAlignment="1" applyProtection="1">
      <alignment horizontal="center" vertical="top" wrapText="1"/>
      <protection locked="0"/>
    </xf>
    <xf numFmtId="2" fontId="79" fillId="2" borderId="1" xfId="41" applyNumberFormat="1" applyFont="1" applyFill="1" applyBorder="1" applyAlignment="1" applyProtection="1">
      <alignment horizontal="center" vertical="top" wrapText="1"/>
      <protection locked="0"/>
    </xf>
    <xf numFmtId="169" fontId="33" fillId="2" borderId="1" xfId="41" applyNumberFormat="1" applyFont="1" applyFill="1" applyBorder="1" applyAlignment="1" applyProtection="1">
      <alignment horizontal="center" vertical="top" wrapText="1"/>
      <protection locked="0"/>
    </xf>
    <xf numFmtId="169" fontId="34" fillId="2" borderId="1" xfId="41" applyNumberFormat="1" applyFont="1" applyFill="1" applyBorder="1" applyAlignment="1" applyProtection="1">
      <alignment horizontal="center" wrapText="1"/>
      <protection locked="0"/>
    </xf>
    <xf numFmtId="2" fontId="34" fillId="2" borderId="1" xfId="41" applyNumberFormat="1" applyFont="1" applyFill="1" applyBorder="1" applyAlignment="1" applyProtection="1">
      <alignment horizontal="center" wrapText="1"/>
      <protection locked="0"/>
    </xf>
    <xf numFmtId="169" fontId="34" fillId="2" borderId="1" xfId="41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41" applyFont="1" applyFill="1" applyBorder="1" applyAlignment="1" applyProtection="1">
      <alignment horizontal="center" vertical="top" wrapText="1"/>
      <protection locked="0"/>
    </xf>
    <xf numFmtId="2" fontId="34" fillId="2" borderId="1" xfId="41" applyNumberFormat="1" applyFont="1" applyFill="1" applyBorder="1" applyAlignment="1" applyProtection="1">
      <alignment horizontal="center" vertical="top" wrapText="1"/>
      <protection locked="0"/>
    </xf>
    <xf numFmtId="0" fontId="34" fillId="2" borderId="1" xfId="41" applyFont="1" applyFill="1" applyBorder="1" applyAlignment="1" applyProtection="1">
      <alignment horizontal="center" wrapText="1"/>
      <protection locked="0"/>
    </xf>
    <xf numFmtId="169" fontId="34" fillId="2" borderId="1" xfId="41" applyNumberFormat="1" applyFont="1" applyFill="1" applyBorder="1" applyAlignment="1" applyProtection="1">
      <alignment horizontal="center" vertical="top" wrapText="1"/>
      <protection locked="0"/>
    </xf>
    <xf numFmtId="0" fontId="34" fillId="2" borderId="1" xfId="41" applyFont="1" applyFill="1" applyBorder="1" applyAlignment="1" applyProtection="1">
      <alignment horizontal="center" vertical="center" wrapText="1"/>
      <protection locked="0"/>
    </xf>
    <xf numFmtId="2" fontId="34" fillId="2" borderId="1" xfId="41" applyNumberFormat="1" applyFont="1" applyFill="1" applyBorder="1" applyAlignment="1" applyProtection="1">
      <alignment horizontal="center" vertical="center" wrapText="1"/>
      <protection locked="0"/>
    </xf>
    <xf numFmtId="168" fontId="34" fillId="2" borderId="1" xfId="41" applyNumberFormat="1" applyFont="1" applyFill="1" applyBorder="1" applyAlignment="1" applyProtection="1">
      <alignment horizontal="center" vertical="center" wrapText="1"/>
      <protection locked="0"/>
    </xf>
    <xf numFmtId="2" fontId="33" fillId="2" borderId="1" xfId="35" applyNumberFormat="1" applyFont="1" applyFill="1" applyBorder="1" applyAlignment="1" applyProtection="1">
      <alignment horizontal="center" vertical="center" wrapText="1"/>
      <protection locked="0"/>
    </xf>
    <xf numFmtId="2" fontId="79" fillId="2" borderId="1" xfId="35" applyNumberFormat="1" applyFont="1" applyFill="1" applyBorder="1" applyAlignment="1" applyProtection="1">
      <alignment horizontal="center" vertical="center" wrapText="1"/>
      <protection locked="0"/>
    </xf>
    <xf numFmtId="0" fontId="44" fillId="2" borderId="1" xfId="25" applyFont="1" applyFill="1" applyBorder="1" applyAlignment="1" applyProtection="1">
      <alignment horizontal="center" vertical="center"/>
      <protection locked="0"/>
    </xf>
    <xf numFmtId="4" fontId="44" fillId="2" borderId="1" xfId="25" applyNumberFormat="1" applyFont="1" applyFill="1" applyBorder="1" applyAlignment="1" applyProtection="1">
      <alignment horizontal="center" vertical="center"/>
      <protection locked="0"/>
    </xf>
    <xf numFmtId="9" fontId="44" fillId="2" borderId="1" xfId="25" applyNumberFormat="1" applyFont="1" applyFill="1" applyBorder="1" applyAlignment="1" applyProtection="1">
      <alignment horizontal="center" vertical="center"/>
      <protection locked="0"/>
    </xf>
    <xf numFmtId="4" fontId="7" fillId="2" borderId="1" xfId="25" applyNumberFormat="1" applyFont="1" applyFill="1" applyBorder="1" applyAlignment="1" applyProtection="1">
      <alignment horizontal="center" vertical="center"/>
      <protection locked="0"/>
    </xf>
    <xf numFmtId="4" fontId="7" fillId="2" borderId="1" xfId="25" applyNumberFormat="1" applyFont="1" applyFill="1" applyBorder="1" applyAlignment="1" applyProtection="1">
      <alignment horizontal="left" vertical="center"/>
      <protection locked="0"/>
    </xf>
    <xf numFmtId="4" fontId="44" fillId="2" borderId="1" xfId="25" applyNumberFormat="1" applyFont="1" applyFill="1" applyBorder="1" applyAlignment="1" applyProtection="1">
      <alignment horizontal="left" vertical="center"/>
      <protection locked="0"/>
    </xf>
    <xf numFmtId="9" fontId="44" fillId="2" borderId="0" xfId="25" applyNumberFormat="1" applyFont="1" applyFill="1" applyAlignment="1" applyProtection="1">
      <alignment horizontal="center" vertical="center"/>
      <protection locked="0"/>
    </xf>
    <xf numFmtId="4" fontId="44" fillId="2" borderId="0" xfId="25" applyNumberFormat="1" applyFont="1" applyFill="1" applyAlignment="1" applyProtection="1">
      <alignment horizontal="center" vertical="center"/>
      <protection locked="0"/>
    </xf>
    <xf numFmtId="4" fontId="44" fillId="2" borderId="0" xfId="25" applyNumberFormat="1" applyFont="1" applyFill="1" applyAlignment="1" applyProtection="1">
      <alignment horizontal="left" vertical="center"/>
      <protection locked="0"/>
    </xf>
    <xf numFmtId="0" fontId="34" fillId="2" borderId="0" xfId="6" applyFont="1" applyFill="1" applyAlignment="1" applyProtection="1">
      <alignment horizontal="center" vertical="center" wrapText="1"/>
      <protection locked="0"/>
    </xf>
    <xf numFmtId="0" fontId="7" fillId="2" borderId="0" xfId="41" applyFill="1" applyAlignment="1" applyProtection="1">
      <alignment horizontal="center"/>
      <protection locked="0"/>
    </xf>
    <xf numFmtId="4" fontId="7" fillId="2" borderId="0" xfId="41" applyNumberFormat="1" applyFill="1" applyAlignment="1" applyProtection="1">
      <alignment horizontal="center"/>
      <protection locked="0"/>
    </xf>
    <xf numFmtId="0" fontId="34" fillId="2" borderId="0" xfId="6" applyFont="1" applyFill="1" applyAlignment="1" applyProtection="1">
      <alignment horizontal="left" vertical="center" wrapText="1"/>
      <protection locked="0"/>
    </xf>
    <xf numFmtId="0" fontId="34" fillId="2" borderId="0" xfId="6" applyFont="1" applyFill="1" applyProtection="1">
      <protection locked="0"/>
    </xf>
    <xf numFmtId="0" fontId="33" fillId="2" borderId="0" xfId="41" applyFont="1" applyFill="1" applyProtection="1">
      <protection locked="0"/>
    </xf>
    <xf numFmtId="0" fontId="34" fillId="2" borderId="0" xfId="6" applyFont="1" applyFill="1" applyAlignment="1" applyProtection="1">
      <alignment horizontal="center"/>
      <protection locked="0"/>
    </xf>
    <xf numFmtId="1" fontId="33" fillId="2" borderId="1" xfId="6" applyNumberFormat="1" applyFont="1" applyFill="1" applyBorder="1" applyAlignment="1" applyProtection="1">
      <alignment horizontal="center" vertical="center"/>
      <protection locked="0"/>
    </xf>
    <xf numFmtId="49" fontId="33" fillId="2" borderId="1" xfId="6" applyNumberFormat="1" applyFont="1" applyFill="1" applyBorder="1" applyAlignment="1" applyProtection="1">
      <alignment horizontal="center" vertical="center"/>
      <protection locked="0"/>
    </xf>
    <xf numFmtId="0" fontId="33" fillId="2" borderId="1" xfId="6" applyFont="1" applyFill="1" applyBorder="1" applyAlignment="1" applyProtection="1">
      <alignment horizontal="center" vertical="center"/>
      <protection locked="0"/>
    </xf>
    <xf numFmtId="2" fontId="33" fillId="2" borderId="2" xfId="6" applyNumberFormat="1" applyFont="1" applyFill="1" applyBorder="1" applyAlignment="1" applyProtection="1">
      <alignment horizontal="center" vertical="center"/>
      <protection locked="0"/>
    </xf>
    <xf numFmtId="2" fontId="34" fillId="2" borderId="1" xfId="6" applyNumberFormat="1" applyFont="1" applyFill="1" applyBorder="1" applyAlignment="1" applyProtection="1">
      <alignment horizontal="center" vertical="center"/>
      <protection locked="0"/>
    </xf>
    <xf numFmtId="2" fontId="33" fillId="2" borderId="1" xfId="6" applyNumberFormat="1" applyFont="1" applyFill="1" applyBorder="1" applyAlignment="1" applyProtection="1">
      <alignment horizontal="center" vertical="center"/>
      <protection locked="0"/>
    </xf>
    <xf numFmtId="2" fontId="33" fillId="2" borderId="1" xfId="6" applyNumberFormat="1" applyFont="1" applyFill="1" applyBorder="1" applyAlignment="1" applyProtection="1">
      <alignment horizontal="center"/>
      <protection locked="0"/>
    </xf>
    <xf numFmtId="2" fontId="34" fillId="2" borderId="1" xfId="6" applyNumberFormat="1" applyFont="1" applyFill="1" applyBorder="1" applyAlignment="1" applyProtection="1">
      <alignment horizontal="center"/>
      <protection locked="0"/>
    </xf>
    <xf numFmtId="2" fontId="34" fillId="2" borderId="1" xfId="6" applyNumberFormat="1" applyFont="1" applyFill="1" applyBorder="1" applyAlignment="1" applyProtection="1">
      <alignment horizontal="center" vertical="center" wrapText="1"/>
      <protection locked="0"/>
    </xf>
    <xf numFmtId="170" fontId="33" fillId="2" borderId="1" xfId="41" applyNumberFormat="1" applyFont="1" applyFill="1" applyBorder="1" applyAlignment="1" applyProtection="1">
      <alignment horizontal="center" vertical="center"/>
      <protection locked="0"/>
    </xf>
    <xf numFmtId="9" fontId="33" fillId="2" borderId="1" xfId="41" applyNumberFormat="1" applyFont="1" applyFill="1" applyBorder="1" applyAlignment="1" applyProtection="1">
      <alignment horizontal="center" vertical="center"/>
      <protection locked="0"/>
    </xf>
    <xf numFmtId="0" fontId="34" fillId="2" borderId="0" xfId="6" applyFont="1" applyFill="1" applyAlignment="1" applyProtection="1">
      <alignment horizontal="left"/>
      <protection locked="0"/>
    </xf>
    <xf numFmtId="4" fontId="86" fillId="2" borderId="1" xfId="26" applyNumberFormat="1" applyFont="1" applyFill="1" applyBorder="1" applyAlignment="1" applyProtection="1">
      <alignment horizontal="center" vertical="center"/>
      <protection locked="0"/>
    </xf>
    <xf numFmtId="0" fontId="33" fillId="2" borderId="1" xfId="41" applyFont="1" applyFill="1" applyBorder="1" applyAlignment="1" applyProtection="1">
      <alignment horizontal="center" vertical="center" wrapText="1"/>
      <protection locked="0"/>
    </xf>
    <xf numFmtId="0" fontId="34" fillId="2" borderId="1" xfId="41" applyFont="1" applyFill="1" applyBorder="1" applyAlignment="1" applyProtection="1">
      <alignment horizontal="center"/>
      <protection locked="0"/>
    </xf>
    <xf numFmtId="4" fontId="33" fillId="2" borderId="1" xfId="41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13" applyFont="1" applyFill="1" applyBorder="1" applyAlignment="1" applyProtection="1">
      <alignment horizontal="center" vertical="center" wrapText="1"/>
      <protection locked="0"/>
    </xf>
    <xf numFmtId="4" fontId="33" fillId="2" borderId="1" xfId="28" applyNumberFormat="1" applyFont="1" applyFill="1" applyBorder="1" applyAlignment="1" applyProtection="1">
      <alignment horizontal="center" vertical="center"/>
      <protection locked="0"/>
    </xf>
    <xf numFmtId="0" fontId="34" fillId="2" borderId="0" xfId="41" applyFont="1" applyFill="1" applyAlignment="1" applyProtection="1">
      <alignment horizontal="left"/>
      <protection locked="0"/>
    </xf>
    <xf numFmtId="0" fontId="34" fillId="2" borderId="0" xfId="6" applyFont="1" applyFill="1" applyAlignment="1" applyProtection="1">
      <alignment horizontal="left"/>
      <protection locked="0"/>
    </xf>
    <xf numFmtId="0" fontId="33" fillId="0" borderId="1" xfId="41" applyFont="1" applyFill="1" applyBorder="1" applyAlignment="1" applyProtection="1">
      <alignment horizontal="center" vertical="center"/>
      <protection locked="0"/>
    </xf>
    <xf numFmtId="2" fontId="33" fillId="0" borderId="1" xfId="41" applyNumberFormat="1" applyFont="1" applyFill="1" applyBorder="1" applyAlignment="1" applyProtection="1">
      <alignment horizontal="center" vertical="center"/>
      <protection locked="0"/>
    </xf>
    <xf numFmtId="0" fontId="34" fillId="0" borderId="1" xfId="41" applyFont="1" applyFill="1" applyBorder="1" applyAlignment="1" applyProtection="1">
      <alignment horizontal="center" vertical="center"/>
      <protection locked="0"/>
    </xf>
    <xf numFmtId="2" fontId="34" fillId="0" borderId="1" xfId="41" applyNumberFormat="1" applyFont="1" applyFill="1" applyBorder="1" applyAlignment="1" applyProtection="1">
      <alignment horizontal="center" vertical="center"/>
      <protection locked="0"/>
    </xf>
    <xf numFmtId="2" fontId="34" fillId="0" borderId="1" xfId="9" applyNumberFormat="1" applyFont="1" applyFill="1" applyBorder="1" applyAlignment="1" applyProtection="1">
      <alignment horizontal="center" vertical="center"/>
      <protection locked="0"/>
    </xf>
    <xf numFmtId="169" fontId="34" fillId="0" borderId="1" xfId="6" applyNumberFormat="1" applyFont="1" applyFill="1" applyBorder="1" applyAlignment="1" applyProtection="1">
      <alignment horizontal="center" vertical="center"/>
      <protection locked="0"/>
    </xf>
    <xf numFmtId="0" fontId="34" fillId="0" borderId="1" xfId="6" applyFont="1" applyFill="1" applyBorder="1" applyAlignment="1" applyProtection="1">
      <alignment horizontal="center" vertical="center"/>
      <protection locked="0"/>
    </xf>
    <xf numFmtId="0" fontId="34" fillId="0" borderId="1" xfId="9" applyFont="1" applyFill="1" applyBorder="1" applyAlignment="1" applyProtection="1">
      <alignment horizontal="center" vertical="center"/>
      <protection locked="0"/>
    </xf>
    <xf numFmtId="0" fontId="34" fillId="0" borderId="2" xfId="9" applyFont="1" applyFill="1" applyBorder="1" applyAlignment="1" applyProtection="1">
      <alignment horizontal="center" vertical="center"/>
      <protection locked="0"/>
    </xf>
    <xf numFmtId="2" fontId="34" fillId="0" borderId="2" xfId="9" applyNumberFormat="1" applyFont="1" applyFill="1" applyBorder="1" applyAlignment="1" applyProtection="1">
      <alignment horizontal="center" vertical="center"/>
      <protection locked="0"/>
    </xf>
    <xf numFmtId="169" fontId="34" fillId="0" borderId="2" xfId="6" applyNumberFormat="1" applyFont="1" applyFill="1" applyBorder="1" applyAlignment="1" applyProtection="1">
      <alignment horizontal="center" vertical="center"/>
      <protection locked="0"/>
    </xf>
    <xf numFmtId="0" fontId="34" fillId="0" borderId="2" xfId="6" applyFont="1" applyFill="1" applyBorder="1" applyAlignment="1" applyProtection="1">
      <alignment horizontal="center" vertical="center"/>
      <protection locked="0"/>
    </xf>
    <xf numFmtId="2" fontId="34" fillId="0" borderId="2" xfId="41" applyNumberFormat="1" applyFont="1" applyFill="1" applyBorder="1" applyAlignment="1" applyProtection="1">
      <alignment horizontal="center" vertical="center" wrapText="1"/>
      <protection locked="0"/>
    </xf>
    <xf numFmtId="0" fontId="34" fillId="0" borderId="5" xfId="41" applyFont="1" applyFill="1" applyBorder="1" applyAlignment="1" applyProtection="1">
      <alignment horizontal="center" vertical="center" wrapText="1"/>
      <protection locked="0"/>
    </xf>
    <xf numFmtId="2" fontId="34" fillId="0" borderId="1" xfId="26" applyNumberFormat="1" applyFont="1" applyFill="1" applyBorder="1" applyAlignment="1" applyProtection="1">
      <alignment horizontal="center" vertical="center" wrapText="1"/>
      <protection locked="0"/>
    </xf>
    <xf numFmtId="169" fontId="34" fillId="0" borderId="1" xfId="9" applyNumberFormat="1" applyFont="1" applyFill="1" applyBorder="1" applyAlignment="1" applyProtection="1">
      <alignment horizontal="center" vertical="center"/>
      <protection locked="0"/>
    </xf>
    <xf numFmtId="2" fontId="34" fillId="0" borderId="5" xfId="41" applyNumberFormat="1" applyFont="1" applyFill="1" applyBorder="1" applyAlignment="1" applyProtection="1">
      <alignment horizontal="center" vertical="center" wrapText="1"/>
      <protection locked="0"/>
    </xf>
    <xf numFmtId="170" fontId="34" fillId="0" borderId="1" xfId="28" applyNumberFormat="1" applyFont="1" applyFill="1" applyBorder="1" applyAlignment="1" applyProtection="1">
      <alignment horizontal="center" vertical="center" wrapText="1"/>
      <protection locked="0"/>
    </xf>
    <xf numFmtId="2" fontId="34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4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39" applyFont="1" applyFill="1" applyBorder="1" applyAlignment="1" applyProtection="1">
      <alignment horizontal="center" vertical="center"/>
      <protection locked="0"/>
    </xf>
    <xf numFmtId="2" fontId="34" fillId="0" borderId="1" xfId="39" applyNumberFormat="1" applyFont="1" applyFill="1" applyBorder="1" applyAlignment="1" applyProtection="1">
      <alignment horizontal="center" vertical="center"/>
      <protection locked="0"/>
    </xf>
    <xf numFmtId="168" fontId="34" fillId="0" borderId="1" xfId="41" applyNumberFormat="1" applyFont="1" applyFill="1" applyBorder="1" applyAlignment="1" applyProtection="1">
      <alignment horizontal="center" vertical="center"/>
      <protection locked="0"/>
    </xf>
    <xf numFmtId="4" fontId="18" fillId="0" borderId="1" xfId="41" applyNumberFormat="1" applyFont="1" applyFill="1" applyBorder="1" applyAlignment="1" applyProtection="1">
      <alignment horizontal="center" vertical="center" wrapText="1"/>
      <protection locked="0"/>
    </xf>
    <xf numFmtId="4" fontId="88" fillId="0" borderId="1" xfId="25" applyNumberFormat="1" applyFont="1" applyFill="1" applyBorder="1" applyAlignment="1" applyProtection="1">
      <alignment horizontal="center" vertical="center"/>
      <protection locked="0"/>
    </xf>
    <xf numFmtId="4" fontId="89" fillId="0" borderId="1" xfId="25" applyNumberFormat="1" applyFont="1" applyFill="1" applyBorder="1" applyAlignment="1" applyProtection="1">
      <alignment horizontal="left" vertical="center"/>
      <protection locked="0"/>
    </xf>
    <xf numFmtId="4" fontId="89" fillId="0" borderId="1" xfId="25" applyNumberFormat="1" applyFont="1" applyFill="1" applyBorder="1" applyAlignment="1" applyProtection="1">
      <alignment horizontal="center" vertical="center"/>
      <protection locked="0"/>
    </xf>
    <xf numFmtId="4" fontId="44" fillId="0" borderId="1" xfId="25" applyNumberFormat="1" applyFont="1" applyFill="1" applyBorder="1" applyAlignment="1" applyProtection="1">
      <alignment horizontal="left" vertical="center"/>
      <protection locked="0"/>
    </xf>
    <xf numFmtId="4" fontId="44" fillId="0" borderId="1" xfId="25" applyNumberFormat="1" applyFont="1" applyFill="1" applyBorder="1" applyAlignment="1" applyProtection="1">
      <alignment horizontal="center" vertical="center"/>
      <protection locked="0"/>
    </xf>
    <xf numFmtId="0" fontId="89" fillId="0" borderId="0" xfId="41" applyFont="1" applyFill="1" applyAlignment="1" applyProtection="1">
      <alignment horizontal="center"/>
      <protection locked="0"/>
    </xf>
    <xf numFmtId="4" fontId="89" fillId="0" borderId="0" xfId="41" applyNumberFormat="1" applyFont="1" applyFill="1" applyAlignment="1" applyProtection="1">
      <alignment horizontal="center"/>
      <protection locked="0"/>
    </xf>
    <xf numFmtId="0" fontId="34" fillId="0" borderId="0" xfId="6" applyFont="1" applyFill="1" applyProtection="1">
      <protection locked="0"/>
    </xf>
    <xf numFmtId="0" fontId="33" fillId="0" borderId="0" xfId="41" applyFont="1" applyFill="1" applyProtection="1">
      <protection locked="0"/>
    </xf>
    <xf numFmtId="0" fontId="34" fillId="0" borderId="0" xfId="6" applyFont="1" applyFill="1" applyAlignment="1" applyProtection="1">
      <protection locked="0"/>
    </xf>
    <xf numFmtId="0" fontId="88" fillId="0" borderId="1" xfId="25" applyFont="1" applyFill="1" applyBorder="1" applyAlignment="1" applyProtection="1">
      <alignment horizontal="center" vertical="center"/>
      <protection locked="0"/>
    </xf>
    <xf numFmtId="9" fontId="89" fillId="0" borderId="1" xfId="25" applyNumberFormat="1" applyFont="1" applyFill="1" applyBorder="1" applyAlignment="1" applyProtection="1">
      <alignment horizontal="center" vertical="center"/>
      <protection locked="0"/>
    </xf>
    <xf numFmtId="9" fontId="44" fillId="0" borderId="1" xfId="25" applyNumberFormat="1" applyFont="1" applyFill="1" applyBorder="1" applyAlignment="1" applyProtection="1">
      <alignment horizontal="center" vertical="center"/>
      <protection locked="0"/>
    </xf>
    <xf numFmtId="0" fontId="34" fillId="0" borderId="0" xfId="6" applyFont="1" applyFill="1" applyAlignment="1" applyProtection="1">
      <alignment horizontal="left" vertical="center" wrapText="1"/>
      <protection locked="0"/>
    </xf>
    <xf numFmtId="0" fontId="34" fillId="0" borderId="0" xfId="6" applyFont="1" applyFill="1" applyAlignment="1" applyProtection="1">
      <alignment horizontal="center" vertical="center" wrapText="1"/>
      <protection locked="0"/>
    </xf>
  </cellXfs>
  <cellStyles count="134">
    <cellStyle name="Comma 10" xfId="5"/>
    <cellStyle name="Comma 10 2" xfId="61"/>
    <cellStyle name="Comma 10 2 2" xfId="85"/>
    <cellStyle name="Comma 10 2 3" xfId="106"/>
    <cellStyle name="Comma 10 3" xfId="7"/>
    <cellStyle name="Comma 10 3 2" xfId="86"/>
    <cellStyle name="Comma 10 3 2 2" xfId="107"/>
    <cellStyle name="Comma 10 3 3" xfId="78"/>
    <cellStyle name="Comma 10 3 4" xfId="117"/>
    <cellStyle name="Comma 10 4" xfId="60"/>
    <cellStyle name="Comma 10 5" xfId="116"/>
    <cellStyle name="Comma 19" xfId="22"/>
    <cellStyle name="Comma 2" xfId="38"/>
    <cellStyle name="Comma 2 2" xfId="36"/>
    <cellStyle name="Comma 2 2 2" xfId="63"/>
    <cellStyle name="Comma 2 2 2 2" xfId="95"/>
    <cellStyle name="Comma 2 2 2 3" xfId="111"/>
    <cellStyle name="Comma 2 2 3" xfId="121"/>
    <cellStyle name="Comma 2 3" xfId="64"/>
    <cellStyle name="Comma 2 3 2" xfId="14"/>
    <cellStyle name="Comma 2 3 2 2" xfId="90"/>
    <cellStyle name="Comma 2 3 2 2 2" xfId="109"/>
    <cellStyle name="Comma 2 3 2 3" xfId="81"/>
    <cellStyle name="Comma 2 3 2 4" xfId="119"/>
    <cellStyle name="Comma 2 3 3" xfId="96"/>
    <cellStyle name="Comma 2 3 4" xfId="112"/>
    <cellStyle name="Comma 2 4" xfId="23"/>
    <cellStyle name="Comma 2 5" xfId="62"/>
    <cellStyle name="Comma 2 6" xfId="82"/>
    <cellStyle name="Comma 2 7" xfId="122"/>
    <cellStyle name="Comma 20" xfId="18"/>
    <cellStyle name="Comma 20 2" xfId="53"/>
    <cellStyle name="Comma 20 2 2" xfId="98"/>
    <cellStyle name="Comma 20 2 3" xfId="114"/>
    <cellStyle name="Comma 20 2 4" xfId="124"/>
    <cellStyle name="Comma 20 3" xfId="65"/>
    <cellStyle name="Comma 20 3 2" xfId="91"/>
    <cellStyle name="Comma 20 3 3" xfId="110"/>
    <cellStyle name="Comma 20 4" xfId="120"/>
    <cellStyle name="Comma 3" xfId="66"/>
    <cellStyle name="Comma 3 2" xfId="84"/>
    <cellStyle name="Comma 3 3" xfId="105"/>
    <cellStyle name="Comma 4" xfId="67"/>
    <cellStyle name="Comma 5" xfId="11"/>
    <cellStyle name="Comma 5 2" xfId="68"/>
    <cellStyle name="Comma 5 2 2" xfId="88"/>
    <cellStyle name="Comma 5 2 3" xfId="108"/>
    <cellStyle name="Comma 5 3" xfId="80"/>
    <cellStyle name="Comma 5 4" xfId="102"/>
    <cellStyle name="Comma 5 4 2" xfId="130"/>
    <cellStyle name="Comma 5 5" xfId="118"/>
    <cellStyle name="Comma 6" xfId="59"/>
    <cellStyle name="Comma 7" xfId="77"/>
    <cellStyle name="Comma 8" xfId="100"/>
    <cellStyle name="Comma 8 2" xfId="128"/>
    <cellStyle name="Comma 9" xfId="103"/>
    <cellStyle name="Normal" xfId="0" builtinId="0"/>
    <cellStyle name="Normal 10" xfId="6"/>
    <cellStyle name="Normal 11" xfId="51"/>
    <cellStyle name="Normal 12" xfId="99"/>
    <cellStyle name="Normal 12 2" xfId="127"/>
    <cellStyle name="Normal 13 3 4" xfId="31"/>
    <cellStyle name="Normal 13 5 3" xfId="30"/>
    <cellStyle name="Normal 14" xfId="3"/>
    <cellStyle name="Normal 14 3" xfId="41"/>
    <cellStyle name="Normal 14 3 2" xfId="33"/>
    <cellStyle name="Normal 14 3 2 2" xfId="57"/>
    <cellStyle name="Normal 14 3 2 3" xfId="93"/>
    <cellStyle name="Normal 15" xfId="42"/>
    <cellStyle name="Normal 16_axalqalaqis skola " xfId="4"/>
    <cellStyle name="Normal 2" xfId="1"/>
    <cellStyle name="Normal 2 2" xfId="15"/>
    <cellStyle name="Normal 2 2 2" xfId="69"/>
    <cellStyle name="Normal 2 2_MCXETA yazarma- Copy" xfId="70"/>
    <cellStyle name="Normal 2 3" xfId="43"/>
    <cellStyle name="Normal 2_---SUL--- GORI-HOSPITALI-BOLO" xfId="71"/>
    <cellStyle name="Normal 3" xfId="13"/>
    <cellStyle name="Normal 3 2" xfId="37"/>
    <cellStyle name="Normal 3 3" xfId="44"/>
    <cellStyle name="Normal 3 5" xfId="19"/>
    <cellStyle name="Normal 35 2" xfId="34"/>
    <cellStyle name="Normal 35 2 2" xfId="58"/>
    <cellStyle name="Normal 35 2 3" xfId="94"/>
    <cellStyle name="Normal 37" xfId="52"/>
    <cellStyle name="Normal 37 2" xfId="97"/>
    <cellStyle name="Normal 37 2 2" xfId="113"/>
    <cellStyle name="Normal 37 2 2 2" xfId="132"/>
    <cellStyle name="Normal 37 2 3" xfId="126"/>
    <cellStyle name="Normal 37 3" xfId="83"/>
    <cellStyle name="Normal 37 3 2" xfId="125"/>
    <cellStyle name="Normal 37 4" xfId="104"/>
    <cellStyle name="Normal 37 4 2" xfId="131"/>
    <cellStyle name="Normal 37 5" xfId="123"/>
    <cellStyle name="Normal 4" xfId="45"/>
    <cellStyle name="Normal 4 2" xfId="46"/>
    <cellStyle name="Normal 4 3" xfId="72"/>
    <cellStyle name="Normal 49" xfId="32"/>
    <cellStyle name="Normal 5" xfId="20"/>
    <cellStyle name="Normal 5 4 2" xfId="21"/>
    <cellStyle name="Normal 50" xfId="10"/>
    <cellStyle name="Normal 50 2" xfId="56"/>
    <cellStyle name="Normal 51" xfId="8"/>
    <cellStyle name="Normal 51 2" xfId="87"/>
    <cellStyle name="Normal 51 3" xfId="79"/>
    <cellStyle name="Normal 6" xfId="40"/>
    <cellStyle name="Normal 6 2" xfId="73"/>
    <cellStyle name="Normal 7" xfId="47"/>
    <cellStyle name="Normal 7 2" xfId="74"/>
    <cellStyle name="Normal 7 3" xfId="17"/>
    <cellStyle name="Normal 8" xfId="49"/>
    <cellStyle name="Normal 8 2" xfId="75"/>
    <cellStyle name="Normal 9" xfId="50"/>
    <cellStyle name="Normal_axalqalaqis skola  2" xfId="133"/>
    <cellStyle name="Normal_gare wyalsadfenigagarini 2 2" xfId="9"/>
    <cellStyle name="Percent 2" xfId="12"/>
    <cellStyle name="Percent 2 2" xfId="54"/>
    <cellStyle name="Percent 2 3" xfId="76"/>
    <cellStyle name="Percent 2 3 2" xfId="89"/>
    <cellStyle name="Percent 3" xfId="101"/>
    <cellStyle name="Percent 3 2" xfId="115"/>
    <cellStyle name="Percent 3 3" xfId="129"/>
    <cellStyle name="Style 1" xfId="35"/>
    <cellStyle name="Обычный 2" xfId="26"/>
    <cellStyle name="Обычный 2 2" xfId="24"/>
    <cellStyle name="Обычный 3" xfId="25"/>
    <cellStyle name="Обычный 4" xfId="27"/>
    <cellStyle name="Обычный 4 2" xfId="55"/>
    <cellStyle name="Обычный 4 3" xfId="92"/>
    <cellStyle name="Обычный_SAN2008-I" xfId="48"/>
    <cellStyle name="Обычный_Лист1" xfId="2"/>
    <cellStyle name="Обычный_Лист1 2" xfId="16"/>
    <cellStyle name="Обычный_Лист1 3" xfId="39"/>
    <cellStyle name="ჩვეულებრივი 2" xfId="28"/>
    <cellStyle name="ჩვეულებრივი 2 2 2" xfId="29"/>
  </cellStyles>
  <dxfs count="30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%20&#4332;&#4308;&#4314;&#4312;\&#4313;&#4317;&#4320;&#4308;&#4325;&#4322;&#4312;&#4320;&#4308;&#4305;&#4323;&#4314;&#4312;%20&#4321;&#4317;&#4324;&#4308;&#4314;%20&#4312;&#4320;&#4306;&#4304;&#4316;&#4329;&#4304;&#4312;&#4321;%20&#4306;&#4304;&#4321;&#4304;&#4306;&#4310;&#4304;&#4309;&#4316;&#4312;\&#4321;&#4317;&#4324;.%20&#4312;&#4320;&#4306;&#4304;&#4316;&#4329;&#4304;&#4312;&#4321;%20&#4320;&#4308;&#4310;&#4308;&#4320;&#4309;&#4323;&#4304;&#4320;&#4312;&#4321;%20&#4320;&#4308;&#4304;&#4305;&#4312;&#4314;&#4312;&#4322;&#4304;&#4330;&#4312;&#4312;&#4321;%20&#4334;&#4304;&#4320;&#4335;&#4311;&#4304;&#4326;&#4320;&#4312;&#4330;&#4334;&#4309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.barat"/>
      <sheetName val="B"/>
      <sheetName val="B-1"/>
      <sheetName val="B-2.1-"/>
      <sheetName val="B-2.1.1"/>
      <sheetName val="B-2.1.2"/>
      <sheetName val="B-2.2-"/>
      <sheetName val="B-2.2.2."/>
      <sheetName val="B-2.2.2.1-"/>
      <sheetName val="B-2.2.2.1.1-"/>
      <sheetName val="B-2.2.2.1.2-"/>
      <sheetName val="B-2.2.4-"/>
      <sheetName val="B-2.2.4.1-"/>
      <sheetName val="B-2.2.4.2-"/>
      <sheetName val="B-3-"/>
      <sheetName val="B-3.1-"/>
      <sheetName val="B-3.1.1"/>
      <sheetName val="B-3.1.2"/>
      <sheetName val="B-3.1.3"/>
    </sheetNames>
    <sheetDataSet>
      <sheetData sheetId="0">
        <row r="11">
          <cell r="A11" t="str">
            <v>დმანისის მუნიციპალიტეტის სოფელ ირგანჩაის წყალმომარაგების ქსელის რეაბილიტაცია</v>
          </cell>
        </row>
        <row r="34">
          <cell r="B34" t="str">
            <v>ერთეული ფასები შედგენილია 2019 წლის IV კვარტლის სამშენებლო რესურსების ფასების მიხედვით და დღევანდელი საბაზრო ფასებით იმ მასალებზე რომლებიც არ არის სამშენებლო რეხურსების ფასების კრებულში და ხელფასებზე.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V53"/>
  <sheetViews>
    <sheetView view="pageBreakPreview" zoomScaleNormal="100" zoomScaleSheetLayoutView="100" workbookViewId="0">
      <selection activeCell="A8" sqref="A8"/>
    </sheetView>
  </sheetViews>
  <sheetFormatPr defaultRowHeight="16.2"/>
  <cols>
    <col min="1" max="13" width="12.44140625" style="1" customWidth="1"/>
    <col min="14" max="14" width="10" style="1" customWidth="1"/>
    <col min="15" max="256" width="9.109375" style="1"/>
    <col min="257" max="257" width="1.88671875" style="1" customWidth="1"/>
    <col min="258" max="258" width="3.5546875" style="1" customWidth="1"/>
    <col min="259" max="259" width="8.88671875" style="1" customWidth="1"/>
    <col min="260" max="260" width="21" style="1" customWidth="1"/>
    <col min="261" max="261" width="9.109375" style="1"/>
    <col min="262" max="262" width="5.109375" style="1" customWidth="1"/>
    <col min="263" max="263" width="10.6640625" style="1" customWidth="1"/>
    <col min="264" max="264" width="9.5546875" style="1" customWidth="1"/>
    <col min="265" max="265" width="9.109375" style="1"/>
    <col min="266" max="266" width="13.33203125" style="1" customWidth="1"/>
    <col min="267" max="267" width="4.109375" style="1" customWidth="1"/>
    <col min="268" max="268" width="6.88671875" style="1" customWidth="1"/>
    <col min="269" max="269" width="27.88671875" style="1" customWidth="1"/>
    <col min="270" max="270" width="10" style="1" customWidth="1"/>
    <col min="271" max="512" width="9.109375" style="1"/>
    <col min="513" max="513" width="1.88671875" style="1" customWidth="1"/>
    <col min="514" max="514" width="3.5546875" style="1" customWidth="1"/>
    <col min="515" max="515" width="8.88671875" style="1" customWidth="1"/>
    <col min="516" max="516" width="21" style="1" customWidth="1"/>
    <col min="517" max="517" width="9.109375" style="1"/>
    <col min="518" max="518" width="5.109375" style="1" customWidth="1"/>
    <col min="519" max="519" width="10.6640625" style="1" customWidth="1"/>
    <col min="520" max="520" width="9.5546875" style="1" customWidth="1"/>
    <col min="521" max="521" width="9.109375" style="1"/>
    <col min="522" max="522" width="13.33203125" style="1" customWidth="1"/>
    <col min="523" max="523" width="4.109375" style="1" customWidth="1"/>
    <col min="524" max="524" width="6.88671875" style="1" customWidth="1"/>
    <col min="525" max="525" width="27.88671875" style="1" customWidth="1"/>
    <col min="526" max="526" width="10" style="1" customWidth="1"/>
    <col min="527" max="768" width="9.109375" style="1"/>
    <col min="769" max="769" width="1.88671875" style="1" customWidth="1"/>
    <col min="770" max="770" width="3.5546875" style="1" customWidth="1"/>
    <col min="771" max="771" width="8.88671875" style="1" customWidth="1"/>
    <col min="772" max="772" width="21" style="1" customWidth="1"/>
    <col min="773" max="773" width="9.109375" style="1"/>
    <col min="774" max="774" width="5.109375" style="1" customWidth="1"/>
    <col min="775" max="775" width="10.6640625" style="1" customWidth="1"/>
    <col min="776" max="776" width="9.5546875" style="1" customWidth="1"/>
    <col min="777" max="777" width="9.109375" style="1"/>
    <col min="778" max="778" width="13.33203125" style="1" customWidth="1"/>
    <col min="779" max="779" width="4.109375" style="1" customWidth="1"/>
    <col min="780" max="780" width="6.88671875" style="1" customWidth="1"/>
    <col min="781" max="781" width="27.88671875" style="1" customWidth="1"/>
    <col min="782" max="782" width="10" style="1" customWidth="1"/>
    <col min="783" max="1024" width="9.109375" style="1"/>
    <col min="1025" max="1025" width="1.88671875" style="1" customWidth="1"/>
    <col min="1026" max="1026" width="3.5546875" style="1" customWidth="1"/>
    <col min="1027" max="1027" width="8.88671875" style="1" customWidth="1"/>
    <col min="1028" max="1028" width="21" style="1" customWidth="1"/>
    <col min="1029" max="1029" width="9.109375" style="1"/>
    <col min="1030" max="1030" width="5.109375" style="1" customWidth="1"/>
    <col min="1031" max="1031" width="10.6640625" style="1" customWidth="1"/>
    <col min="1032" max="1032" width="9.5546875" style="1" customWidth="1"/>
    <col min="1033" max="1033" width="9.109375" style="1"/>
    <col min="1034" max="1034" width="13.33203125" style="1" customWidth="1"/>
    <col min="1035" max="1035" width="4.109375" style="1" customWidth="1"/>
    <col min="1036" max="1036" width="6.88671875" style="1" customWidth="1"/>
    <col min="1037" max="1037" width="27.88671875" style="1" customWidth="1"/>
    <col min="1038" max="1038" width="10" style="1" customWidth="1"/>
    <col min="1039" max="1280" width="9.109375" style="1"/>
    <col min="1281" max="1281" width="1.88671875" style="1" customWidth="1"/>
    <col min="1282" max="1282" width="3.5546875" style="1" customWidth="1"/>
    <col min="1283" max="1283" width="8.88671875" style="1" customWidth="1"/>
    <col min="1284" max="1284" width="21" style="1" customWidth="1"/>
    <col min="1285" max="1285" width="9.109375" style="1"/>
    <col min="1286" max="1286" width="5.109375" style="1" customWidth="1"/>
    <col min="1287" max="1287" width="10.6640625" style="1" customWidth="1"/>
    <col min="1288" max="1288" width="9.5546875" style="1" customWidth="1"/>
    <col min="1289" max="1289" width="9.109375" style="1"/>
    <col min="1290" max="1290" width="13.33203125" style="1" customWidth="1"/>
    <col min="1291" max="1291" width="4.109375" style="1" customWidth="1"/>
    <col min="1292" max="1292" width="6.88671875" style="1" customWidth="1"/>
    <col min="1293" max="1293" width="27.88671875" style="1" customWidth="1"/>
    <col min="1294" max="1294" width="10" style="1" customWidth="1"/>
    <col min="1295" max="1536" width="9.109375" style="1"/>
    <col min="1537" max="1537" width="1.88671875" style="1" customWidth="1"/>
    <col min="1538" max="1538" width="3.5546875" style="1" customWidth="1"/>
    <col min="1539" max="1539" width="8.88671875" style="1" customWidth="1"/>
    <col min="1540" max="1540" width="21" style="1" customWidth="1"/>
    <col min="1541" max="1541" width="9.109375" style="1"/>
    <col min="1542" max="1542" width="5.109375" style="1" customWidth="1"/>
    <col min="1543" max="1543" width="10.6640625" style="1" customWidth="1"/>
    <col min="1544" max="1544" width="9.5546875" style="1" customWidth="1"/>
    <col min="1545" max="1545" width="9.109375" style="1"/>
    <col min="1546" max="1546" width="13.33203125" style="1" customWidth="1"/>
    <col min="1547" max="1547" width="4.109375" style="1" customWidth="1"/>
    <col min="1548" max="1548" width="6.88671875" style="1" customWidth="1"/>
    <col min="1549" max="1549" width="27.88671875" style="1" customWidth="1"/>
    <col min="1550" max="1550" width="10" style="1" customWidth="1"/>
    <col min="1551" max="1792" width="9.109375" style="1"/>
    <col min="1793" max="1793" width="1.88671875" style="1" customWidth="1"/>
    <col min="1794" max="1794" width="3.5546875" style="1" customWidth="1"/>
    <col min="1795" max="1795" width="8.88671875" style="1" customWidth="1"/>
    <col min="1796" max="1796" width="21" style="1" customWidth="1"/>
    <col min="1797" max="1797" width="9.109375" style="1"/>
    <col min="1798" max="1798" width="5.109375" style="1" customWidth="1"/>
    <col min="1799" max="1799" width="10.6640625" style="1" customWidth="1"/>
    <col min="1800" max="1800" width="9.5546875" style="1" customWidth="1"/>
    <col min="1801" max="1801" width="9.109375" style="1"/>
    <col min="1802" max="1802" width="13.33203125" style="1" customWidth="1"/>
    <col min="1803" max="1803" width="4.109375" style="1" customWidth="1"/>
    <col min="1804" max="1804" width="6.88671875" style="1" customWidth="1"/>
    <col min="1805" max="1805" width="27.88671875" style="1" customWidth="1"/>
    <col min="1806" max="1806" width="10" style="1" customWidth="1"/>
    <col min="1807" max="2048" width="9.109375" style="1"/>
    <col min="2049" max="2049" width="1.88671875" style="1" customWidth="1"/>
    <col min="2050" max="2050" width="3.5546875" style="1" customWidth="1"/>
    <col min="2051" max="2051" width="8.88671875" style="1" customWidth="1"/>
    <col min="2052" max="2052" width="21" style="1" customWidth="1"/>
    <col min="2053" max="2053" width="9.109375" style="1"/>
    <col min="2054" max="2054" width="5.109375" style="1" customWidth="1"/>
    <col min="2055" max="2055" width="10.6640625" style="1" customWidth="1"/>
    <col min="2056" max="2056" width="9.5546875" style="1" customWidth="1"/>
    <col min="2057" max="2057" width="9.109375" style="1"/>
    <col min="2058" max="2058" width="13.33203125" style="1" customWidth="1"/>
    <col min="2059" max="2059" width="4.109375" style="1" customWidth="1"/>
    <col min="2060" max="2060" width="6.88671875" style="1" customWidth="1"/>
    <col min="2061" max="2061" width="27.88671875" style="1" customWidth="1"/>
    <col min="2062" max="2062" width="10" style="1" customWidth="1"/>
    <col min="2063" max="2304" width="9.109375" style="1"/>
    <col min="2305" max="2305" width="1.88671875" style="1" customWidth="1"/>
    <col min="2306" max="2306" width="3.5546875" style="1" customWidth="1"/>
    <col min="2307" max="2307" width="8.88671875" style="1" customWidth="1"/>
    <col min="2308" max="2308" width="21" style="1" customWidth="1"/>
    <col min="2309" max="2309" width="9.109375" style="1"/>
    <col min="2310" max="2310" width="5.109375" style="1" customWidth="1"/>
    <col min="2311" max="2311" width="10.6640625" style="1" customWidth="1"/>
    <col min="2312" max="2312" width="9.5546875" style="1" customWidth="1"/>
    <col min="2313" max="2313" width="9.109375" style="1"/>
    <col min="2314" max="2314" width="13.33203125" style="1" customWidth="1"/>
    <col min="2315" max="2315" width="4.109375" style="1" customWidth="1"/>
    <col min="2316" max="2316" width="6.88671875" style="1" customWidth="1"/>
    <col min="2317" max="2317" width="27.88671875" style="1" customWidth="1"/>
    <col min="2318" max="2318" width="10" style="1" customWidth="1"/>
    <col min="2319" max="2560" width="9.109375" style="1"/>
    <col min="2561" max="2561" width="1.88671875" style="1" customWidth="1"/>
    <col min="2562" max="2562" width="3.5546875" style="1" customWidth="1"/>
    <col min="2563" max="2563" width="8.88671875" style="1" customWidth="1"/>
    <col min="2564" max="2564" width="21" style="1" customWidth="1"/>
    <col min="2565" max="2565" width="9.109375" style="1"/>
    <col min="2566" max="2566" width="5.109375" style="1" customWidth="1"/>
    <col min="2567" max="2567" width="10.6640625" style="1" customWidth="1"/>
    <col min="2568" max="2568" width="9.5546875" style="1" customWidth="1"/>
    <col min="2569" max="2569" width="9.109375" style="1"/>
    <col min="2570" max="2570" width="13.33203125" style="1" customWidth="1"/>
    <col min="2571" max="2571" width="4.109375" style="1" customWidth="1"/>
    <col min="2572" max="2572" width="6.88671875" style="1" customWidth="1"/>
    <col min="2573" max="2573" width="27.88671875" style="1" customWidth="1"/>
    <col min="2574" max="2574" width="10" style="1" customWidth="1"/>
    <col min="2575" max="2816" width="9.109375" style="1"/>
    <col min="2817" max="2817" width="1.88671875" style="1" customWidth="1"/>
    <col min="2818" max="2818" width="3.5546875" style="1" customWidth="1"/>
    <col min="2819" max="2819" width="8.88671875" style="1" customWidth="1"/>
    <col min="2820" max="2820" width="21" style="1" customWidth="1"/>
    <col min="2821" max="2821" width="9.109375" style="1"/>
    <col min="2822" max="2822" width="5.109375" style="1" customWidth="1"/>
    <col min="2823" max="2823" width="10.6640625" style="1" customWidth="1"/>
    <col min="2824" max="2824" width="9.5546875" style="1" customWidth="1"/>
    <col min="2825" max="2825" width="9.109375" style="1"/>
    <col min="2826" max="2826" width="13.33203125" style="1" customWidth="1"/>
    <col min="2827" max="2827" width="4.109375" style="1" customWidth="1"/>
    <col min="2828" max="2828" width="6.88671875" style="1" customWidth="1"/>
    <col min="2829" max="2829" width="27.88671875" style="1" customWidth="1"/>
    <col min="2830" max="2830" width="10" style="1" customWidth="1"/>
    <col min="2831" max="3072" width="9.109375" style="1"/>
    <col min="3073" max="3073" width="1.88671875" style="1" customWidth="1"/>
    <col min="3074" max="3074" width="3.5546875" style="1" customWidth="1"/>
    <col min="3075" max="3075" width="8.88671875" style="1" customWidth="1"/>
    <col min="3076" max="3076" width="21" style="1" customWidth="1"/>
    <col min="3077" max="3077" width="9.109375" style="1"/>
    <col min="3078" max="3078" width="5.109375" style="1" customWidth="1"/>
    <col min="3079" max="3079" width="10.6640625" style="1" customWidth="1"/>
    <col min="3080" max="3080" width="9.5546875" style="1" customWidth="1"/>
    <col min="3081" max="3081" width="9.109375" style="1"/>
    <col min="3082" max="3082" width="13.33203125" style="1" customWidth="1"/>
    <col min="3083" max="3083" width="4.109375" style="1" customWidth="1"/>
    <col min="3084" max="3084" width="6.88671875" style="1" customWidth="1"/>
    <col min="3085" max="3085" width="27.88671875" style="1" customWidth="1"/>
    <col min="3086" max="3086" width="10" style="1" customWidth="1"/>
    <col min="3087" max="3328" width="9.109375" style="1"/>
    <col min="3329" max="3329" width="1.88671875" style="1" customWidth="1"/>
    <col min="3330" max="3330" width="3.5546875" style="1" customWidth="1"/>
    <col min="3331" max="3331" width="8.88671875" style="1" customWidth="1"/>
    <col min="3332" max="3332" width="21" style="1" customWidth="1"/>
    <col min="3333" max="3333" width="9.109375" style="1"/>
    <col min="3334" max="3334" width="5.109375" style="1" customWidth="1"/>
    <col min="3335" max="3335" width="10.6640625" style="1" customWidth="1"/>
    <col min="3336" max="3336" width="9.5546875" style="1" customWidth="1"/>
    <col min="3337" max="3337" width="9.109375" style="1"/>
    <col min="3338" max="3338" width="13.33203125" style="1" customWidth="1"/>
    <col min="3339" max="3339" width="4.109375" style="1" customWidth="1"/>
    <col min="3340" max="3340" width="6.88671875" style="1" customWidth="1"/>
    <col min="3341" max="3341" width="27.88671875" style="1" customWidth="1"/>
    <col min="3342" max="3342" width="10" style="1" customWidth="1"/>
    <col min="3343" max="3584" width="9.109375" style="1"/>
    <col min="3585" max="3585" width="1.88671875" style="1" customWidth="1"/>
    <col min="3586" max="3586" width="3.5546875" style="1" customWidth="1"/>
    <col min="3587" max="3587" width="8.88671875" style="1" customWidth="1"/>
    <col min="3588" max="3588" width="21" style="1" customWidth="1"/>
    <col min="3589" max="3589" width="9.109375" style="1"/>
    <col min="3590" max="3590" width="5.109375" style="1" customWidth="1"/>
    <col min="3591" max="3591" width="10.6640625" style="1" customWidth="1"/>
    <col min="3592" max="3592" width="9.5546875" style="1" customWidth="1"/>
    <col min="3593" max="3593" width="9.109375" style="1"/>
    <col min="3594" max="3594" width="13.33203125" style="1" customWidth="1"/>
    <col min="3595" max="3595" width="4.109375" style="1" customWidth="1"/>
    <col min="3596" max="3596" width="6.88671875" style="1" customWidth="1"/>
    <col min="3597" max="3597" width="27.88671875" style="1" customWidth="1"/>
    <col min="3598" max="3598" width="10" style="1" customWidth="1"/>
    <col min="3599" max="3840" width="9.109375" style="1"/>
    <col min="3841" max="3841" width="1.88671875" style="1" customWidth="1"/>
    <col min="3842" max="3842" width="3.5546875" style="1" customWidth="1"/>
    <col min="3843" max="3843" width="8.88671875" style="1" customWidth="1"/>
    <col min="3844" max="3844" width="21" style="1" customWidth="1"/>
    <col min="3845" max="3845" width="9.109375" style="1"/>
    <col min="3846" max="3846" width="5.109375" style="1" customWidth="1"/>
    <col min="3847" max="3847" width="10.6640625" style="1" customWidth="1"/>
    <col min="3848" max="3848" width="9.5546875" style="1" customWidth="1"/>
    <col min="3849" max="3849" width="9.109375" style="1"/>
    <col min="3850" max="3850" width="13.33203125" style="1" customWidth="1"/>
    <col min="3851" max="3851" width="4.109375" style="1" customWidth="1"/>
    <col min="3852" max="3852" width="6.88671875" style="1" customWidth="1"/>
    <col min="3853" max="3853" width="27.88671875" style="1" customWidth="1"/>
    <col min="3854" max="3854" width="10" style="1" customWidth="1"/>
    <col min="3855" max="4096" width="9.109375" style="1"/>
    <col min="4097" max="4097" width="1.88671875" style="1" customWidth="1"/>
    <col min="4098" max="4098" width="3.5546875" style="1" customWidth="1"/>
    <col min="4099" max="4099" width="8.88671875" style="1" customWidth="1"/>
    <col min="4100" max="4100" width="21" style="1" customWidth="1"/>
    <col min="4101" max="4101" width="9.109375" style="1"/>
    <col min="4102" max="4102" width="5.109375" style="1" customWidth="1"/>
    <col min="4103" max="4103" width="10.6640625" style="1" customWidth="1"/>
    <col min="4104" max="4104" width="9.5546875" style="1" customWidth="1"/>
    <col min="4105" max="4105" width="9.109375" style="1"/>
    <col min="4106" max="4106" width="13.33203125" style="1" customWidth="1"/>
    <col min="4107" max="4107" width="4.109375" style="1" customWidth="1"/>
    <col min="4108" max="4108" width="6.88671875" style="1" customWidth="1"/>
    <col min="4109" max="4109" width="27.88671875" style="1" customWidth="1"/>
    <col min="4110" max="4110" width="10" style="1" customWidth="1"/>
    <col min="4111" max="4352" width="9.109375" style="1"/>
    <col min="4353" max="4353" width="1.88671875" style="1" customWidth="1"/>
    <col min="4354" max="4354" width="3.5546875" style="1" customWidth="1"/>
    <col min="4355" max="4355" width="8.88671875" style="1" customWidth="1"/>
    <col min="4356" max="4356" width="21" style="1" customWidth="1"/>
    <col min="4357" max="4357" width="9.109375" style="1"/>
    <col min="4358" max="4358" width="5.109375" style="1" customWidth="1"/>
    <col min="4359" max="4359" width="10.6640625" style="1" customWidth="1"/>
    <col min="4360" max="4360" width="9.5546875" style="1" customWidth="1"/>
    <col min="4361" max="4361" width="9.109375" style="1"/>
    <col min="4362" max="4362" width="13.33203125" style="1" customWidth="1"/>
    <col min="4363" max="4363" width="4.109375" style="1" customWidth="1"/>
    <col min="4364" max="4364" width="6.88671875" style="1" customWidth="1"/>
    <col min="4365" max="4365" width="27.88671875" style="1" customWidth="1"/>
    <col min="4366" max="4366" width="10" style="1" customWidth="1"/>
    <col min="4367" max="4608" width="9.109375" style="1"/>
    <col min="4609" max="4609" width="1.88671875" style="1" customWidth="1"/>
    <col min="4610" max="4610" width="3.5546875" style="1" customWidth="1"/>
    <col min="4611" max="4611" width="8.88671875" style="1" customWidth="1"/>
    <col min="4612" max="4612" width="21" style="1" customWidth="1"/>
    <col min="4613" max="4613" width="9.109375" style="1"/>
    <col min="4614" max="4614" width="5.109375" style="1" customWidth="1"/>
    <col min="4615" max="4615" width="10.6640625" style="1" customWidth="1"/>
    <col min="4616" max="4616" width="9.5546875" style="1" customWidth="1"/>
    <col min="4617" max="4617" width="9.109375" style="1"/>
    <col min="4618" max="4618" width="13.33203125" style="1" customWidth="1"/>
    <col min="4619" max="4619" width="4.109375" style="1" customWidth="1"/>
    <col min="4620" max="4620" width="6.88671875" style="1" customWidth="1"/>
    <col min="4621" max="4621" width="27.88671875" style="1" customWidth="1"/>
    <col min="4622" max="4622" width="10" style="1" customWidth="1"/>
    <col min="4623" max="4864" width="9.109375" style="1"/>
    <col min="4865" max="4865" width="1.88671875" style="1" customWidth="1"/>
    <col min="4866" max="4866" width="3.5546875" style="1" customWidth="1"/>
    <col min="4867" max="4867" width="8.88671875" style="1" customWidth="1"/>
    <col min="4868" max="4868" width="21" style="1" customWidth="1"/>
    <col min="4869" max="4869" width="9.109375" style="1"/>
    <col min="4870" max="4870" width="5.109375" style="1" customWidth="1"/>
    <col min="4871" max="4871" width="10.6640625" style="1" customWidth="1"/>
    <col min="4872" max="4872" width="9.5546875" style="1" customWidth="1"/>
    <col min="4873" max="4873" width="9.109375" style="1"/>
    <col min="4874" max="4874" width="13.33203125" style="1" customWidth="1"/>
    <col min="4875" max="4875" width="4.109375" style="1" customWidth="1"/>
    <col min="4876" max="4876" width="6.88671875" style="1" customWidth="1"/>
    <col min="4877" max="4877" width="27.88671875" style="1" customWidth="1"/>
    <col min="4878" max="4878" width="10" style="1" customWidth="1"/>
    <col min="4879" max="5120" width="9.109375" style="1"/>
    <col min="5121" max="5121" width="1.88671875" style="1" customWidth="1"/>
    <col min="5122" max="5122" width="3.5546875" style="1" customWidth="1"/>
    <col min="5123" max="5123" width="8.88671875" style="1" customWidth="1"/>
    <col min="5124" max="5124" width="21" style="1" customWidth="1"/>
    <col min="5125" max="5125" width="9.109375" style="1"/>
    <col min="5126" max="5126" width="5.109375" style="1" customWidth="1"/>
    <col min="5127" max="5127" width="10.6640625" style="1" customWidth="1"/>
    <col min="5128" max="5128" width="9.5546875" style="1" customWidth="1"/>
    <col min="5129" max="5129" width="9.109375" style="1"/>
    <col min="5130" max="5130" width="13.33203125" style="1" customWidth="1"/>
    <col min="5131" max="5131" width="4.109375" style="1" customWidth="1"/>
    <col min="5132" max="5132" width="6.88671875" style="1" customWidth="1"/>
    <col min="5133" max="5133" width="27.88671875" style="1" customWidth="1"/>
    <col min="5134" max="5134" width="10" style="1" customWidth="1"/>
    <col min="5135" max="5376" width="9.109375" style="1"/>
    <col min="5377" max="5377" width="1.88671875" style="1" customWidth="1"/>
    <col min="5378" max="5378" width="3.5546875" style="1" customWidth="1"/>
    <col min="5379" max="5379" width="8.88671875" style="1" customWidth="1"/>
    <col min="5380" max="5380" width="21" style="1" customWidth="1"/>
    <col min="5381" max="5381" width="9.109375" style="1"/>
    <col min="5382" max="5382" width="5.109375" style="1" customWidth="1"/>
    <col min="5383" max="5383" width="10.6640625" style="1" customWidth="1"/>
    <col min="5384" max="5384" width="9.5546875" style="1" customWidth="1"/>
    <col min="5385" max="5385" width="9.109375" style="1"/>
    <col min="5386" max="5386" width="13.33203125" style="1" customWidth="1"/>
    <col min="5387" max="5387" width="4.109375" style="1" customWidth="1"/>
    <col min="5388" max="5388" width="6.88671875" style="1" customWidth="1"/>
    <col min="5389" max="5389" width="27.88671875" style="1" customWidth="1"/>
    <col min="5390" max="5390" width="10" style="1" customWidth="1"/>
    <col min="5391" max="5632" width="9.109375" style="1"/>
    <col min="5633" max="5633" width="1.88671875" style="1" customWidth="1"/>
    <col min="5634" max="5634" width="3.5546875" style="1" customWidth="1"/>
    <col min="5635" max="5635" width="8.88671875" style="1" customWidth="1"/>
    <col min="5636" max="5636" width="21" style="1" customWidth="1"/>
    <col min="5637" max="5637" width="9.109375" style="1"/>
    <col min="5638" max="5638" width="5.109375" style="1" customWidth="1"/>
    <col min="5639" max="5639" width="10.6640625" style="1" customWidth="1"/>
    <col min="5640" max="5640" width="9.5546875" style="1" customWidth="1"/>
    <col min="5641" max="5641" width="9.109375" style="1"/>
    <col min="5642" max="5642" width="13.33203125" style="1" customWidth="1"/>
    <col min="5643" max="5643" width="4.109375" style="1" customWidth="1"/>
    <col min="5644" max="5644" width="6.88671875" style="1" customWidth="1"/>
    <col min="5645" max="5645" width="27.88671875" style="1" customWidth="1"/>
    <col min="5646" max="5646" width="10" style="1" customWidth="1"/>
    <col min="5647" max="5888" width="9.109375" style="1"/>
    <col min="5889" max="5889" width="1.88671875" style="1" customWidth="1"/>
    <col min="5890" max="5890" width="3.5546875" style="1" customWidth="1"/>
    <col min="5891" max="5891" width="8.88671875" style="1" customWidth="1"/>
    <col min="5892" max="5892" width="21" style="1" customWidth="1"/>
    <col min="5893" max="5893" width="9.109375" style="1"/>
    <col min="5894" max="5894" width="5.109375" style="1" customWidth="1"/>
    <col min="5895" max="5895" width="10.6640625" style="1" customWidth="1"/>
    <col min="5896" max="5896" width="9.5546875" style="1" customWidth="1"/>
    <col min="5897" max="5897" width="9.109375" style="1"/>
    <col min="5898" max="5898" width="13.33203125" style="1" customWidth="1"/>
    <col min="5899" max="5899" width="4.109375" style="1" customWidth="1"/>
    <col min="5900" max="5900" width="6.88671875" style="1" customWidth="1"/>
    <col min="5901" max="5901" width="27.88671875" style="1" customWidth="1"/>
    <col min="5902" max="5902" width="10" style="1" customWidth="1"/>
    <col min="5903" max="6144" width="9.109375" style="1"/>
    <col min="6145" max="6145" width="1.88671875" style="1" customWidth="1"/>
    <col min="6146" max="6146" width="3.5546875" style="1" customWidth="1"/>
    <col min="6147" max="6147" width="8.88671875" style="1" customWidth="1"/>
    <col min="6148" max="6148" width="21" style="1" customWidth="1"/>
    <col min="6149" max="6149" width="9.109375" style="1"/>
    <col min="6150" max="6150" width="5.109375" style="1" customWidth="1"/>
    <col min="6151" max="6151" width="10.6640625" style="1" customWidth="1"/>
    <col min="6152" max="6152" width="9.5546875" style="1" customWidth="1"/>
    <col min="6153" max="6153" width="9.109375" style="1"/>
    <col min="6154" max="6154" width="13.33203125" style="1" customWidth="1"/>
    <col min="6155" max="6155" width="4.109375" style="1" customWidth="1"/>
    <col min="6156" max="6156" width="6.88671875" style="1" customWidth="1"/>
    <col min="6157" max="6157" width="27.88671875" style="1" customWidth="1"/>
    <col min="6158" max="6158" width="10" style="1" customWidth="1"/>
    <col min="6159" max="6400" width="9.109375" style="1"/>
    <col min="6401" max="6401" width="1.88671875" style="1" customWidth="1"/>
    <col min="6402" max="6402" width="3.5546875" style="1" customWidth="1"/>
    <col min="6403" max="6403" width="8.88671875" style="1" customWidth="1"/>
    <col min="6404" max="6404" width="21" style="1" customWidth="1"/>
    <col min="6405" max="6405" width="9.109375" style="1"/>
    <col min="6406" max="6406" width="5.109375" style="1" customWidth="1"/>
    <col min="6407" max="6407" width="10.6640625" style="1" customWidth="1"/>
    <col min="6408" max="6408" width="9.5546875" style="1" customWidth="1"/>
    <col min="6409" max="6409" width="9.109375" style="1"/>
    <col min="6410" max="6410" width="13.33203125" style="1" customWidth="1"/>
    <col min="6411" max="6411" width="4.109375" style="1" customWidth="1"/>
    <col min="6412" max="6412" width="6.88671875" style="1" customWidth="1"/>
    <col min="6413" max="6413" width="27.88671875" style="1" customWidth="1"/>
    <col min="6414" max="6414" width="10" style="1" customWidth="1"/>
    <col min="6415" max="6656" width="9.109375" style="1"/>
    <col min="6657" max="6657" width="1.88671875" style="1" customWidth="1"/>
    <col min="6658" max="6658" width="3.5546875" style="1" customWidth="1"/>
    <col min="6659" max="6659" width="8.88671875" style="1" customWidth="1"/>
    <col min="6660" max="6660" width="21" style="1" customWidth="1"/>
    <col min="6661" max="6661" width="9.109375" style="1"/>
    <col min="6662" max="6662" width="5.109375" style="1" customWidth="1"/>
    <col min="6663" max="6663" width="10.6640625" style="1" customWidth="1"/>
    <col min="6664" max="6664" width="9.5546875" style="1" customWidth="1"/>
    <col min="6665" max="6665" width="9.109375" style="1"/>
    <col min="6666" max="6666" width="13.33203125" style="1" customWidth="1"/>
    <col min="6667" max="6667" width="4.109375" style="1" customWidth="1"/>
    <col min="6668" max="6668" width="6.88671875" style="1" customWidth="1"/>
    <col min="6669" max="6669" width="27.88671875" style="1" customWidth="1"/>
    <col min="6670" max="6670" width="10" style="1" customWidth="1"/>
    <col min="6671" max="6912" width="9.109375" style="1"/>
    <col min="6913" max="6913" width="1.88671875" style="1" customWidth="1"/>
    <col min="6914" max="6914" width="3.5546875" style="1" customWidth="1"/>
    <col min="6915" max="6915" width="8.88671875" style="1" customWidth="1"/>
    <col min="6916" max="6916" width="21" style="1" customWidth="1"/>
    <col min="6917" max="6917" width="9.109375" style="1"/>
    <col min="6918" max="6918" width="5.109375" style="1" customWidth="1"/>
    <col min="6919" max="6919" width="10.6640625" style="1" customWidth="1"/>
    <col min="6920" max="6920" width="9.5546875" style="1" customWidth="1"/>
    <col min="6921" max="6921" width="9.109375" style="1"/>
    <col min="6922" max="6922" width="13.33203125" style="1" customWidth="1"/>
    <col min="6923" max="6923" width="4.109375" style="1" customWidth="1"/>
    <col min="6924" max="6924" width="6.88671875" style="1" customWidth="1"/>
    <col min="6925" max="6925" width="27.88671875" style="1" customWidth="1"/>
    <col min="6926" max="6926" width="10" style="1" customWidth="1"/>
    <col min="6927" max="7168" width="9.109375" style="1"/>
    <col min="7169" max="7169" width="1.88671875" style="1" customWidth="1"/>
    <col min="7170" max="7170" width="3.5546875" style="1" customWidth="1"/>
    <col min="7171" max="7171" width="8.88671875" style="1" customWidth="1"/>
    <col min="7172" max="7172" width="21" style="1" customWidth="1"/>
    <col min="7173" max="7173" width="9.109375" style="1"/>
    <col min="7174" max="7174" width="5.109375" style="1" customWidth="1"/>
    <col min="7175" max="7175" width="10.6640625" style="1" customWidth="1"/>
    <col min="7176" max="7176" width="9.5546875" style="1" customWidth="1"/>
    <col min="7177" max="7177" width="9.109375" style="1"/>
    <col min="7178" max="7178" width="13.33203125" style="1" customWidth="1"/>
    <col min="7179" max="7179" width="4.109375" style="1" customWidth="1"/>
    <col min="7180" max="7180" width="6.88671875" style="1" customWidth="1"/>
    <col min="7181" max="7181" width="27.88671875" style="1" customWidth="1"/>
    <col min="7182" max="7182" width="10" style="1" customWidth="1"/>
    <col min="7183" max="7424" width="9.109375" style="1"/>
    <col min="7425" max="7425" width="1.88671875" style="1" customWidth="1"/>
    <col min="7426" max="7426" width="3.5546875" style="1" customWidth="1"/>
    <col min="7427" max="7427" width="8.88671875" style="1" customWidth="1"/>
    <col min="7428" max="7428" width="21" style="1" customWidth="1"/>
    <col min="7429" max="7429" width="9.109375" style="1"/>
    <col min="7430" max="7430" width="5.109375" style="1" customWidth="1"/>
    <col min="7431" max="7431" width="10.6640625" style="1" customWidth="1"/>
    <col min="7432" max="7432" width="9.5546875" style="1" customWidth="1"/>
    <col min="7433" max="7433" width="9.109375" style="1"/>
    <col min="7434" max="7434" width="13.33203125" style="1" customWidth="1"/>
    <col min="7435" max="7435" width="4.109375" style="1" customWidth="1"/>
    <col min="7436" max="7436" width="6.88671875" style="1" customWidth="1"/>
    <col min="7437" max="7437" width="27.88671875" style="1" customWidth="1"/>
    <col min="7438" max="7438" width="10" style="1" customWidth="1"/>
    <col min="7439" max="7680" width="9.109375" style="1"/>
    <col min="7681" max="7681" width="1.88671875" style="1" customWidth="1"/>
    <col min="7682" max="7682" width="3.5546875" style="1" customWidth="1"/>
    <col min="7683" max="7683" width="8.88671875" style="1" customWidth="1"/>
    <col min="7684" max="7684" width="21" style="1" customWidth="1"/>
    <col min="7685" max="7685" width="9.109375" style="1"/>
    <col min="7686" max="7686" width="5.109375" style="1" customWidth="1"/>
    <col min="7687" max="7687" width="10.6640625" style="1" customWidth="1"/>
    <col min="7688" max="7688" width="9.5546875" style="1" customWidth="1"/>
    <col min="7689" max="7689" width="9.109375" style="1"/>
    <col min="7690" max="7690" width="13.33203125" style="1" customWidth="1"/>
    <col min="7691" max="7691" width="4.109375" style="1" customWidth="1"/>
    <col min="7692" max="7692" width="6.88671875" style="1" customWidth="1"/>
    <col min="7693" max="7693" width="27.88671875" style="1" customWidth="1"/>
    <col min="7694" max="7694" width="10" style="1" customWidth="1"/>
    <col min="7695" max="7936" width="9.109375" style="1"/>
    <col min="7937" max="7937" width="1.88671875" style="1" customWidth="1"/>
    <col min="7938" max="7938" width="3.5546875" style="1" customWidth="1"/>
    <col min="7939" max="7939" width="8.88671875" style="1" customWidth="1"/>
    <col min="7940" max="7940" width="21" style="1" customWidth="1"/>
    <col min="7941" max="7941" width="9.109375" style="1"/>
    <col min="7942" max="7942" width="5.109375" style="1" customWidth="1"/>
    <col min="7943" max="7943" width="10.6640625" style="1" customWidth="1"/>
    <col min="7944" max="7944" width="9.5546875" style="1" customWidth="1"/>
    <col min="7945" max="7945" width="9.109375" style="1"/>
    <col min="7946" max="7946" width="13.33203125" style="1" customWidth="1"/>
    <col min="7947" max="7947" width="4.109375" style="1" customWidth="1"/>
    <col min="7948" max="7948" width="6.88671875" style="1" customWidth="1"/>
    <col min="7949" max="7949" width="27.88671875" style="1" customWidth="1"/>
    <col min="7950" max="7950" width="10" style="1" customWidth="1"/>
    <col min="7951" max="8192" width="9.109375" style="1"/>
    <col min="8193" max="8193" width="1.88671875" style="1" customWidth="1"/>
    <col min="8194" max="8194" width="3.5546875" style="1" customWidth="1"/>
    <col min="8195" max="8195" width="8.88671875" style="1" customWidth="1"/>
    <col min="8196" max="8196" width="21" style="1" customWidth="1"/>
    <col min="8197" max="8197" width="9.109375" style="1"/>
    <col min="8198" max="8198" width="5.109375" style="1" customWidth="1"/>
    <col min="8199" max="8199" width="10.6640625" style="1" customWidth="1"/>
    <col min="8200" max="8200" width="9.5546875" style="1" customWidth="1"/>
    <col min="8201" max="8201" width="9.109375" style="1"/>
    <col min="8202" max="8202" width="13.33203125" style="1" customWidth="1"/>
    <col min="8203" max="8203" width="4.109375" style="1" customWidth="1"/>
    <col min="8204" max="8204" width="6.88671875" style="1" customWidth="1"/>
    <col min="8205" max="8205" width="27.88671875" style="1" customWidth="1"/>
    <col min="8206" max="8206" width="10" style="1" customWidth="1"/>
    <col min="8207" max="8448" width="9.109375" style="1"/>
    <col min="8449" max="8449" width="1.88671875" style="1" customWidth="1"/>
    <col min="8450" max="8450" width="3.5546875" style="1" customWidth="1"/>
    <col min="8451" max="8451" width="8.88671875" style="1" customWidth="1"/>
    <col min="8452" max="8452" width="21" style="1" customWidth="1"/>
    <col min="8453" max="8453" width="9.109375" style="1"/>
    <col min="8454" max="8454" width="5.109375" style="1" customWidth="1"/>
    <col min="8455" max="8455" width="10.6640625" style="1" customWidth="1"/>
    <col min="8456" max="8456" width="9.5546875" style="1" customWidth="1"/>
    <col min="8457" max="8457" width="9.109375" style="1"/>
    <col min="8458" max="8458" width="13.33203125" style="1" customWidth="1"/>
    <col min="8459" max="8459" width="4.109375" style="1" customWidth="1"/>
    <col min="8460" max="8460" width="6.88671875" style="1" customWidth="1"/>
    <col min="8461" max="8461" width="27.88671875" style="1" customWidth="1"/>
    <col min="8462" max="8462" width="10" style="1" customWidth="1"/>
    <col min="8463" max="8704" width="9.109375" style="1"/>
    <col min="8705" max="8705" width="1.88671875" style="1" customWidth="1"/>
    <col min="8706" max="8706" width="3.5546875" style="1" customWidth="1"/>
    <col min="8707" max="8707" width="8.88671875" style="1" customWidth="1"/>
    <col min="8708" max="8708" width="21" style="1" customWidth="1"/>
    <col min="8709" max="8709" width="9.109375" style="1"/>
    <col min="8710" max="8710" width="5.109375" style="1" customWidth="1"/>
    <col min="8711" max="8711" width="10.6640625" style="1" customWidth="1"/>
    <col min="8712" max="8712" width="9.5546875" style="1" customWidth="1"/>
    <col min="8713" max="8713" width="9.109375" style="1"/>
    <col min="8714" max="8714" width="13.33203125" style="1" customWidth="1"/>
    <col min="8715" max="8715" width="4.109375" style="1" customWidth="1"/>
    <col min="8716" max="8716" width="6.88671875" style="1" customWidth="1"/>
    <col min="8717" max="8717" width="27.88671875" style="1" customWidth="1"/>
    <col min="8718" max="8718" width="10" style="1" customWidth="1"/>
    <col min="8719" max="8960" width="9.109375" style="1"/>
    <col min="8961" max="8961" width="1.88671875" style="1" customWidth="1"/>
    <col min="8962" max="8962" width="3.5546875" style="1" customWidth="1"/>
    <col min="8963" max="8963" width="8.88671875" style="1" customWidth="1"/>
    <col min="8964" max="8964" width="21" style="1" customWidth="1"/>
    <col min="8965" max="8965" width="9.109375" style="1"/>
    <col min="8966" max="8966" width="5.109375" style="1" customWidth="1"/>
    <col min="8967" max="8967" width="10.6640625" style="1" customWidth="1"/>
    <col min="8968" max="8968" width="9.5546875" style="1" customWidth="1"/>
    <col min="8969" max="8969" width="9.109375" style="1"/>
    <col min="8970" max="8970" width="13.33203125" style="1" customWidth="1"/>
    <col min="8971" max="8971" width="4.109375" style="1" customWidth="1"/>
    <col min="8972" max="8972" width="6.88671875" style="1" customWidth="1"/>
    <col min="8973" max="8973" width="27.88671875" style="1" customWidth="1"/>
    <col min="8974" max="8974" width="10" style="1" customWidth="1"/>
    <col min="8975" max="9216" width="9.109375" style="1"/>
    <col min="9217" max="9217" width="1.88671875" style="1" customWidth="1"/>
    <col min="9218" max="9218" width="3.5546875" style="1" customWidth="1"/>
    <col min="9219" max="9219" width="8.88671875" style="1" customWidth="1"/>
    <col min="9220" max="9220" width="21" style="1" customWidth="1"/>
    <col min="9221" max="9221" width="9.109375" style="1"/>
    <col min="9222" max="9222" width="5.109375" style="1" customWidth="1"/>
    <col min="9223" max="9223" width="10.6640625" style="1" customWidth="1"/>
    <col min="9224" max="9224" width="9.5546875" style="1" customWidth="1"/>
    <col min="9225" max="9225" width="9.109375" style="1"/>
    <col min="9226" max="9226" width="13.33203125" style="1" customWidth="1"/>
    <col min="9227" max="9227" width="4.109375" style="1" customWidth="1"/>
    <col min="9228" max="9228" width="6.88671875" style="1" customWidth="1"/>
    <col min="9229" max="9229" width="27.88671875" style="1" customWidth="1"/>
    <col min="9230" max="9230" width="10" style="1" customWidth="1"/>
    <col min="9231" max="9472" width="9.109375" style="1"/>
    <col min="9473" max="9473" width="1.88671875" style="1" customWidth="1"/>
    <col min="9474" max="9474" width="3.5546875" style="1" customWidth="1"/>
    <col min="9475" max="9475" width="8.88671875" style="1" customWidth="1"/>
    <col min="9476" max="9476" width="21" style="1" customWidth="1"/>
    <col min="9477" max="9477" width="9.109375" style="1"/>
    <col min="9478" max="9478" width="5.109375" style="1" customWidth="1"/>
    <col min="9479" max="9479" width="10.6640625" style="1" customWidth="1"/>
    <col min="9480" max="9480" width="9.5546875" style="1" customWidth="1"/>
    <col min="9481" max="9481" width="9.109375" style="1"/>
    <col min="9482" max="9482" width="13.33203125" style="1" customWidth="1"/>
    <col min="9483" max="9483" width="4.109375" style="1" customWidth="1"/>
    <col min="9484" max="9484" width="6.88671875" style="1" customWidth="1"/>
    <col min="9485" max="9485" width="27.88671875" style="1" customWidth="1"/>
    <col min="9486" max="9486" width="10" style="1" customWidth="1"/>
    <col min="9487" max="9728" width="9.109375" style="1"/>
    <col min="9729" max="9729" width="1.88671875" style="1" customWidth="1"/>
    <col min="9730" max="9730" width="3.5546875" style="1" customWidth="1"/>
    <col min="9731" max="9731" width="8.88671875" style="1" customWidth="1"/>
    <col min="9732" max="9732" width="21" style="1" customWidth="1"/>
    <col min="9733" max="9733" width="9.109375" style="1"/>
    <col min="9734" max="9734" width="5.109375" style="1" customWidth="1"/>
    <col min="9735" max="9735" width="10.6640625" style="1" customWidth="1"/>
    <col min="9736" max="9736" width="9.5546875" style="1" customWidth="1"/>
    <col min="9737" max="9737" width="9.109375" style="1"/>
    <col min="9738" max="9738" width="13.33203125" style="1" customWidth="1"/>
    <col min="9739" max="9739" width="4.109375" style="1" customWidth="1"/>
    <col min="9740" max="9740" width="6.88671875" style="1" customWidth="1"/>
    <col min="9741" max="9741" width="27.88671875" style="1" customWidth="1"/>
    <col min="9742" max="9742" width="10" style="1" customWidth="1"/>
    <col min="9743" max="9984" width="9.109375" style="1"/>
    <col min="9985" max="9985" width="1.88671875" style="1" customWidth="1"/>
    <col min="9986" max="9986" width="3.5546875" style="1" customWidth="1"/>
    <col min="9987" max="9987" width="8.88671875" style="1" customWidth="1"/>
    <col min="9988" max="9988" width="21" style="1" customWidth="1"/>
    <col min="9989" max="9989" width="9.109375" style="1"/>
    <col min="9990" max="9990" width="5.109375" style="1" customWidth="1"/>
    <col min="9991" max="9991" width="10.6640625" style="1" customWidth="1"/>
    <col min="9992" max="9992" width="9.5546875" style="1" customWidth="1"/>
    <col min="9993" max="9993" width="9.109375" style="1"/>
    <col min="9994" max="9994" width="13.33203125" style="1" customWidth="1"/>
    <col min="9995" max="9995" width="4.109375" style="1" customWidth="1"/>
    <col min="9996" max="9996" width="6.88671875" style="1" customWidth="1"/>
    <col min="9997" max="9997" width="27.88671875" style="1" customWidth="1"/>
    <col min="9998" max="9998" width="10" style="1" customWidth="1"/>
    <col min="9999" max="10240" width="9.109375" style="1"/>
    <col min="10241" max="10241" width="1.88671875" style="1" customWidth="1"/>
    <col min="10242" max="10242" width="3.5546875" style="1" customWidth="1"/>
    <col min="10243" max="10243" width="8.88671875" style="1" customWidth="1"/>
    <col min="10244" max="10244" width="21" style="1" customWidth="1"/>
    <col min="10245" max="10245" width="9.109375" style="1"/>
    <col min="10246" max="10246" width="5.109375" style="1" customWidth="1"/>
    <col min="10247" max="10247" width="10.6640625" style="1" customWidth="1"/>
    <col min="10248" max="10248" width="9.5546875" style="1" customWidth="1"/>
    <col min="10249" max="10249" width="9.109375" style="1"/>
    <col min="10250" max="10250" width="13.33203125" style="1" customWidth="1"/>
    <col min="10251" max="10251" width="4.109375" style="1" customWidth="1"/>
    <col min="10252" max="10252" width="6.88671875" style="1" customWidth="1"/>
    <col min="10253" max="10253" width="27.88671875" style="1" customWidth="1"/>
    <col min="10254" max="10254" width="10" style="1" customWidth="1"/>
    <col min="10255" max="10496" width="9.109375" style="1"/>
    <col min="10497" max="10497" width="1.88671875" style="1" customWidth="1"/>
    <col min="10498" max="10498" width="3.5546875" style="1" customWidth="1"/>
    <col min="10499" max="10499" width="8.88671875" style="1" customWidth="1"/>
    <col min="10500" max="10500" width="21" style="1" customWidth="1"/>
    <col min="10501" max="10501" width="9.109375" style="1"/>
    <col min="10502" max="10502" width="5.109375" style="1" customWidth="1"/>
    <col min="10503" max="10503" width="10.6640625" style="1" customWidth="1"/>
    <col min="10504" max="10504" width="9.5546875" style="1" customWidth="1"/>
    <col min="10505" max="10505" width="9.109375" style="1"/>
    <col min="10506" max="10506" width="13.33203125" style="1" customWidth="1"/>
    <col min="10507" max="10507" width="4.109375" style="1" customWidth="1"/>
    <col min="10508" max="10508" width="6.88671875" style="1" customWidth="1"/>
    <col min="10509" max="10509" width="27.88671875" style="1" customWidth="1"/>
    <col min="10510" max="10510" width="10" style="1" customWidth="1"/>
    <col min="10511" max="10752" width="9.109375" style="1"/>
    <col min="10753" max="10753" width="1.88671875" style="1" customWidth="1"/>
    <col min="10754" max="10754" width="3.5546875" style="1" customWidth="1"/>
    <col min="10755" max="10755" width="8.88671875" style="1" customWidth="1"/>
    <col min="10756" max="10756" width="21" style="1" customWidth="1"/>
    <col min="10757" max="10757" width="9.109375" style="1"/>
    <col min="10758" max="10758" width="5.109375" style="1" customWidth="1"/>
    <col min="10759" max="10759" width="10.6640625" style="1" customWidth="1"/>
    <col min="10760" max="10760" width="9.5546875" style="1" customWidth="1"/>
    <col min="10761" max="10761" width="9.109375" style="1"/>
    <col min="10762" max="10762" width="13.33203125" style="1" customWidth="1"/>
    <col min="10763" max="10763" width="4.109375" style="1" customWidth="1"/>
    <col min="10764" max="10764" width="6.88671875" style="1" customWidth="1"/>
    <col min="10765" max="10765" width="27.88671875" style="1" customWidth="1"/>
    <col min="10766" max="10766" width="10" style="1" customWidth="1"/>
    <col min="10767" max="11008" width="9.109375" style="1"/>
    <col min="11009" max="11009" width="1.88671875" style="1" customWidth="1"/>
    <col min="11010" max="11010" width="3.5546875" style="1" customWidth="1"/>
    <col min="11011" max="11011" width="8.88671875" style="1" customWidth="1"/>
    <col min="11012" max="11012" width="21" style="1" customWidth="1"/>
    <col min="11013" max="11013" width="9.109375" style="1"/>
    <col min="11014" max="11014" width="5.109375" style="1" customWidth="1"/>
    <col min="11015" max="11015" width="10.6640625" style="1" customWidth="1"/>
    <col min="11016" max="11016" width="9.5546875" style="1" customWidth="1"/>
    <col min="11017" max="11017" width="9.109375" style="1"/>
    <col min="11018" max="11018" width="13.33203125" style="1" customWidth="1"/>
    <col min="11019" max="11019" width="4.109375" style="1" customWidth="1"/>
    <col min="11020" max="11020" width="6.88671875" style="1" customWidth="1"/>
    <col min="11021" max="11021" width="27.88671875" style="1" customWidth="1"/>
    <col min="11022" max="11022" width="10" style="1" customWidth="1"/>
    <col min="11023" max="11264" width="9.109375" style="1"/>
    <col min="11265" max="11265" width="1.88671875" style="1" customWidth="1"/>
    <col min="11266" max="11266" width="3.5546875" style="1" customWidth="1"/>
    <col min="11267" max="11267" width="8.88671875" style="1" customWidth="1"/>
    <col min="11268" max="11268" width="21" style="1" customWidth="1"/>
    <col min="11269" max="11269" width="9.109375" style="1"/>
    <col min="11270" max="11270" width="5.109375" style="1" customWidth="1"/>
    <col min="11271" max="11271" width="10.6640625" style="1" customWidth="1"/>
    <col min="11272" max="11272" width="9.5546875" style="1" customWidth="1"/>
    <col min="11273" max="11273" width="9.109375" style="1"/>
    <col min="11274" max="11274" width="13.33203125" style="1" customWidth="1"/>
    <col min="11275" max="11275" width="4.109375" style="1" customWidth="1"/>
    <col min="11276" max="11276" width="6.88671875" style="1" customWidth="1"/>
    <col min="11277" max="11277" width="27.88671875" style="1" customWidth="1"/>
    <col min="11278" max="11278" width="10" style="1" customWidth="1"/>
    <col min="11279" max="11520" width="9.109375" style="1"/>
    <col min="11521" max="11521" width="1.88671875" style="1" customWidth="1"/>
    <col min="11522" max="11522" width="3.5546875" style="1" customWidth="1"/>
    <col min="11523" max="11523" width="8.88671875" style="1" customWidth="1"/>
    <col min="11524" max="11524" width="21" style="1" customWidth="1"/>
    <col min="11525" max="11525" width="9.109375" style="1"/>
    <col min="11526" max="11526" width="5.109375" style="1" customWidth="1"/>
    <col min="11527" max="11527" width="10.6640625" style="1" customWidth="1"/>
    <col min="11528" max="11528" width="9.5546875" style="1" customWidth="1"/>
    <col min="11529" max="11529" width="9.109375" style="1"/>
    <col min="11530" max="11530" width="13.33203125" style="1" customWidth="1"/>
    <col min="11531" max="11531" width="4.109375" style="1" customWidth="1"/>
    <col min="11532" max="11532" width="6.88671875" style="1" customWidth="1"/>
    <col min="11533" max="11533" width="27.88671875" style="1" customWidth="1"/>
    <col min="11534" max="11534" width="10" style="1" customWidth="1"/>
    <col min="11535" max="11776" width="9.109375" style="1"/>
    <col min="11777" max="11777" width="1.88671875" style="1" customWidth="1"/>
    <col min="11778" max="11778" width="3.5546875" style="1" customWidth="1"/>
    <col min="11779" max="11779" width="8.88671875" style="1" customWidth="1"/>
    <col min="11780" max="11780" width="21" style="1" customWidth="1"/>
    <col min="11781" max="11781" width="9.109375" style="1"/>
    <col min="11782" max="11782" width="5.109375" style="1" customWidth="1"/>
    <col min="11783" max="11783" width="10.6640625" style="1" customWidth="1"/>
    <col min="11784" max="11784" width="9.5546875" style="1" customWidth="1"/>
    <col min="11785" max="11785" width="9.109375" style="1"/>
    <col min="11786" max="11786" width="13.33203125" style="1" customWidth="1"/>
    <col min="11787" max="11787" width="4.109375" style="1" customWidth="1"/>
    <col min="11788" max="11788" width="6.88671875" style="1" customWidth="1"/>
    <col min="11789" max="11789" width="27.88671875" style="1" customWidth="1"/>
    <col min="11790" max="11790" width="10" style="1" customWidth="1"/>
    <col min="11791" max="12032" width="9.109375" style="1"/>
    <col min="12033" max="12033" width="1.88671875" style="1" customWidth="1"/>
    <col min="12034" max="12034" width="3.5546875" style="1" customWidth="1"/>
    <col min="12035" max="12035" width="8.88671875" style="1" customWidth="1"/>
    <col min="12036" max="12036" width="21" style="1" customWidth="1"/>
    <col min="12037" max="12037" width="9.109375" style="1"/>
    <col min="12038" max="12038" width="5.109375" style="1" customWidth="1"/>
    <col min="12039" max="12039" width="10.6640625" style="1" customWidth="1"/>
    <col min="12040" max="12040" width="9.5546875" style="1" customWidth="1"/>
    <col min="12041" max="12041" width="9.109375" style="1"/>
    <col min="12042" max="12042" width="13.33203125" style="1" customWidth="1"/>
    <col min="12043" max="12043" width="4.109375" style="1" customWidth="1"/>
    <col min="12044" max="12044" width="6.88671875" style="1" customWidth="1"/>
    <col min="12045" max="12045" width="27.88671875" style="1" customWidth="1"/>
    <col min="12046" max="12046" width="10" style="1" customWidth="1"/>
    <col min="12047" max="12288" width="9.109375" style="1"/>
    <col min="12289" max="12289" width="1.88671875" style="1" customWidth="1"/>
    <col min="12290" max="12290" width="3.5546875" style="1" customWidth="1"/>
    <col min="12291" max="12291" width="8.88671875" style="1" customWidth="1"/>
    <col min="12292" max="12292" width="21" style="1" customWidth="1"/>
    <col min="12293" max="12293" width="9.109375" style="1"/>
    <col min="12294" max="12294" width="5.109375" style="1" customWidth="1"/>
    <col min="12295" max="12295" width="10.6640625" style="1" customWidth="1"/>
    <col min="12296" max="12296" width="9.5546875" style="1" customWidth="1"/>
    <col min="12297" max="12297" width="9.109375" style="1"/>
    <col min="12298" max="12298" width="13.33203125" style="1" customWidth="1"/>
    <col min="12299" max="12299" width="4.109375" style="1" customWidth="1"/>
    <col min="12300" max="12300" width="6.88671875" style="1" customWidth="1"/>
    <col min="12301" max="12301" width="27.88671875" style="1" customWidth="1"/>
    <col min="12302" max="12302" width="10" style="1" customWidth="1"/>
    <col min="12303" max="12544" width="9.109375" style="1"/>
    <col min="12545" max="12545" width="1.88671875" style="1" customWidth="1"/>
    <col min="12546" max="12546" width="3.5546875" style="1" customWidth="1"/>
    <col min="12547" max="12547" width="8.88671875" style="1" customWidth="1"/>
    <col min="12548" max="12548" width="21" style="1" customWidth="1"/>
    <col min="12549" max="12549" width="9.109375" style="1"/>
    <col min="12550" max="12550" width="5.109375" style="1" customWidth="1"/>
    <col min="12551" max="12551" width="10.6640625" style="1" customWidth="1"/>
    <col min="12552" max="12552" width="9.5546875" style="1" customWidth="1"/>
    <col min="12553" max="12553" width="9.109375" style="1"/>
    <col min="12554" max="12554" width="13.33203125" style="1" customWidth="1"/>
    <col min="12555" max="12555" width="4.109375" style="1" customWidth="1"/>
    <col min="12556" max="12556" width="6.88671875" style="1" customWidth="1"/>
    <col min="12557" max="12557" width="27.88671875" style="1" customWidth="1"/>
    <col min="12558" max="12558" width="10" style="1" customWidth="1"/>
    <col min="12559" max="12800" width="9.109375" style="1"/>
    <col min="12801" max="12801" width="1.88671875" style="1" customWidth="1"/>
    <col min="12802" max="12802" width="3.5546875" style="1" customWidth="1"/>
    <col min="12803" max="12803" width="8.88671875" style="1" customWidth="1"/>
    <col min="12804" max="12804" width="21" style="1" customWidth="1"/>
    <col min="12805" max="12805" width="9.109375" style="1"/>
    <col min="12806" max="12806" width="5.109375" style="1" customWidth="1"/>
    <col min="12807" max="12807" width="10.6640625" style="1" customWidth="1"/>
    <col min="12808" max="12808" width="9.5546875" style="1" customWidth="1"/>
    <col min="12809" max="12809" width="9.109375" style="1"/>
    <col min="12810" max="12810" width="13.33203125" style="1" customWidth="1"/>
    <col min="12811" max="12811" width="4.109375" style="1" customWidth="1"/>
    <col min="12812" max="12812" width="6.88671875" style="1" customWidth="1"/>
    <col min="12813" max="12813" width="27.88671875" style="1" customWidth="1"/>
    <col min="12814" max="12814" width="10" style="1" customWidth="1"/>
    <col min="12815" max="13056" width="9.109375" style="1"/>
    <col min="13057" max="13057" width="1.88671875" style="1" customWidth="1"/>
    <col min="13058" max="13058" width="3.5546875" style="1" customWidth="1"/>
    <col min="13059" max="13059" width="8.88671875" style="1" customWidth="1"/>
    <col min="13060" max="13060" width="21" style="1" customWidth="1"/>
    <col min="13061" max="13061" width="9.109375" style="1"/>
    <col min="13062" max="13062" width="5.109375" style="1" customWidth="1"/>
    <col min="13063" max="13063" width="10.6640625" style="1" customWidth="1"/>
    <col min="13064" max="13064" width="9.5546875" style="1" customWidth="1"/>
    <col min="13065" max="13065" width="9.109375" style="1"/>
    <col min="13066" max="13066" width="13.33203125" style="1" customWidth="1"/>
    <col min="13067" max="13067" width="4.109375" style="1" customWidth="1"/>
    <col min="13068" max="13068" width="6.88671875" style="1" customWidth="1"/>
    <col min="13069" max="13069" width="27.88671875" style="1" customWidth="1"/>
    <col min="13070" max="13070" width="10" style="1" customWidth="1"/>
    <col min="13071" max="13312" width="9.109375" style="1"/>
    <col min="13313" max="13313" width="1.88671875" style="1" customWidth="1"/>
    <col min="13314" max="13314" width="3.5546875" style="1" customWidth="1"/>
    <col min="13315" max="13315" width="8.88671875" style="1" customWidth="1"/>
    <col min="13316" max="13316" width="21" style="1" customWidth="1"/>
    <col min="13317" max="13317" width="9.109375" style="1"/>
    <col min="13318" max="13318" width="5.109375" style="1" customWidth="1"/>
    <col min="13319" max="13319" width="10.6640625" style="1" customWidth="1"/>
    <col min="13320" max="13320" width="9.5546875" style="1" customWidth="1"/>
    <col min="13321" max="13321" width="9.109375" style="1"/>
    <col min="13322" max="13322" width="13.33203125" style="1" customWidth="1"/>
    <col min="13323" max="13323" width="4.109375" style="1" customWidth="1"/>
    <col min="13324" max="13324" width="6.88671875" style="1" customWidth="1"/>
    <col min="13325" max="13325" width="27.88671875" style="1" customWidth="1"/>
    <col min="13326" max="13326" width="10" style="1" customWidth="1"/>
    <col min="13327" max="13568" width="9.109375" style="1"/>
    <col min="13569" max="13569" width="1.88671875" style="1" customWidth="1"/>
    <col min="13570" max="13570" width="3.5546875" style="1" customWidth="1"/>
    <col min="13571" max="13571" width="8.88671875" style="1" customWidth="1"/>
    <col min="13572" max="13572" width="21" style="1" customWidth="1"/>
    <col min="13573" max="13573" width="9.109375" style="1"/>
    <col min="13574" max="13574" width="5.109375" style="1" customWidth="1"/>
    <col min="13575" max="13575" width="10.6640625" style="1" customWidth="1"/>
    <col min="13576" max="13576" width="9.5546875" style="1" customWidth="1"/>
    <col min="13577" max="13577" width="9.109375" style="1"/>
    <col min="13578" max="13578" width="13.33203125" style="1" customWidth="1"/>
    <col min="13579" max="13579" width="4.109375" style="1" customWidth="1"/>
    <col min="13580" max="13580" width="6.88671875" style="1" customWidth="1"/>
    <col min="13581" max="13581" width="27.88671875" style="1" customWidth="1"/>
    <col min="13582" max="13582" width="10" style="1" customWidth="1"/>
    <col min="13583" max="13824" width="9.109375" style="1"/>
    <col min="13825" max="13825" width="1.88671875" style="1" customWidth="1"/>
    <col min="13826" max="13826" width="3.5546875" style="1" customWidth="1"/>
    <col min="13827" max="13827" width="8.88671875" style="1" customWidth="1"/>
    <col min="13828" max="13828" width="21" style="1" customWidth="1"/>
    <col min="13829" max="13829" width="9.109375" style="1"/>
    <col min="13830" max="13830" width="5.109375" style="1" customWidth="1"/>
    <col min="13831" max="13831" width="10.6640625" style="1" customWidth="1"/>
    <col min="13832" max="13832" width="9.5546875" style="1" customWidth="1"/>
    <col min="13833" max="13833" width="9.109375" style="1"/>
    <col min="13834" max="13834" width="13.33203125" style="1" customWidth="1"/>
    <col min="13835" max="13835" width="4.109375" style="1" customWidth="1"/>
    <col min="13836" max="13836" width="6.88671875" style="1" customWidth="1"/>
    <col min="13837" max="13837" width="27.88671875" style="1" customWidth="1"/>
    <col min="13838" max="13838" width="10" style="1" customWidth="1"/>
    <col min="13839" max="14080" width="9.109375" style="1"/>
    <col min="14081" max="14081" width="1.88671875" style="1" customWidth="1"/>
    <col min="14082" max="14082" width="3.5546875" style="1" customWidth="1"/>
    <col min="14083" max="14083" width="8.88671875" style="1" customWidth="1"/>
    <col min="14084" max="14084" width="21" style="1" customWidth="1"/>
    <col min="14085" max="14085" width="9.109375" style="1"/>
    <col min="14086" max="14086" width="5.109375" style="1" customWidth="1"/>
    <col min="14087" max="14087" width="10.6640625" style="1" customWidth="1"/>
    <col min="14088" max="14088" width="9.5546875" style="1" customWidth="1"/>
    <col min="14089" max="14089" width="9.109375" style="1"/>
    <col min="14090" max="14090" width="13.33203125" style="1" customWidth="1"/>
    <col min="14091" max="14091" width="4.109375" style="1" customWidth="1"/>
    <col min="14092" max="14092" width="6.88671875" style="1" customWidth="1"/>
    <col min="14093" max="14093" width="27.88671875" style="1" customWidth="1"/>
    <col min="14094" max="14094" width="10" style="1" customWidth="1"/>
    <col min="14095" max="14336" width="9.109375" style="1"/>
    <col min="14337" max="14337" width="1.88671875" style="1" customWidth="1"/>
    <col min="14338" max="14338" width="3.5546875" style="1" customWidth="1"/>
    <col min="14339" max="14339" width="8.88671875" style="1" customWidth="1"/>
    <col min="14340" max="14340" width="21" style="1" customWidth="1"/>
    <col min="14341" max="14341" width="9.109375" style="1"/>
    <col min="14342" max="14342" width="5.109375" style="1" customWidth="1"/>
    <col min="14343" max="14343" width="10.6640625" style="1" customWidth="1"/>
    <col min="14344" max="14344" width="9.5546875" style="1" customWidth="1"/>
    <col min="14345" max="14345" width="9.109375" style="1"/>
    <col min="14346" max="14346" width="13.33203125" style="1" customWidth="1"/>
    <col min="14347" max="14347" width="4.109375" style="1" customWidth="1"/>
    <col min="14348" max="14348" width="6.88671875" style="1" customWidth="1"/>
    <col min="14349" max="14349" width="27.88671875" style="1" customWidth="1"/>
    <col min="14350" max="14350" width="10" style="1" customWidth="1"/>
    <col min="14351" max="14592" width="9.109375" style="1"/>
    <col min="14593" max="14593" width="1.88671875" style="1" customWidth="1"/>
    <col min="14594" max="14594" width="3.5546875" style="1" customWidth="1"/>
    <col min="14595" max="14595" width="8.88671875" style="1" customWidth="1"/>
    <col min="14596" max="14596" width="21" style="1" customWidth="1"/>
    <col min="14597" max="14597" width="9.109375" style="1"/>
    <col min="14598" max="14598" width="5.109375" style="1" customWidth="1"/>
    <col min="14599" max="14599" width="10.6640625" style="1" customWidth="1"/>
    <col min="14600" max="14600" width="9.5546875" style="1" customWidth="1"/>
    <col min="14601" max="14601" width="9.109375" style="1"/>
    <col min="14602" max="14602" width="13.33203125" style="1" customWidth="1"/>
    <col min="14603" max="14603" width="4.109375" style="1" customWidth="1"/>
    <col min="14604" max="14604" width="6.88671875" style="1" customWidth="1"/>
    <col min="14605" max="14605" width="27.88671875" style="1" customWidth="1"/>
    <col min="14606" max="14606" width="10" style="1" customWidth="1"/>
    <col min="14607" max="14848" width="9.109375" style="1"/>
    <col min="14849" max="14849" width="1.88671875" style="1" customWidth="1"/>
    <col min="14850" max="14850" width="3.5546875" style="1" customWidth="1"/>
    <col min="14851" max="14851" width="8.88671875" style="1" customWidth="1"/>
    <col min="14852" max="14852" width="21" style="1" customWidth="1"/>
    <col min="14853" max="14853" width="9.109375" style="1"/>
    <col min="14854" max="14854" width="5.109375" style="1" customWidth="1"/>
    <col min="14855" max="14855" width="10.6640625" style="1" customWidth="1"/>
    <col min="14856" max="14856" width="9.5546875" style="1" customWidth="1"/>
    <col min="14857" max="14857" width="9.109375" style="1"/>
    <col min="14858" max="14858" width="13.33203125" style="1" customWidth="1"/>
    <col min="14859" max="14859" width="4.109375" style="1" customWidth="1"/>
    <col min="14860" max="14860" width="6.88671875" style="1" customWidth="1"/>
    <col min="14861" max="14861" width="27.88671875" style="1" customWidth="1"/>
    <col min="14862" max="14862" width="10" style="1" customWidth="1"/>
    <col min="14863" max="15104" width="9.109375" style="1"/>
    <col min="15105" max="15105" width="1.88671875" style="1" customWidth="1"/>
    <col min="15106" max="15106" width="3.5546875" style="1" customWidth="1"/>
    <col min="15107" max="15107" width="8.88671875" style="1" customWidth="1"/>
    <col min="15108" max="15108" width="21" style="1" customWidth="1"/>
    <col min="15109" max="15109" width="9.109375" style="1"/>
    <col min="15110" max="15110" width="5.109375" style="1" customWidth="1"/>
    <col min="15111" max="15111" width="10.6640625" style="1" customWidth="1"/>
    <col min="15112" max="15112" width="9.5546875" style="1" customWidth="1"/>
    <col min="15113" max="15113" width="9.109375" style="1"/>
    <col min="15114" max="15114" width="13.33203125" style="1" customWidth="1"/>
    <col min="15115" max="15115" width="4.109375" style="1" customWidth="1"/>
    <col min="15116" max="15116" width="6.88671875" style="1" customWidth="1"/>
    <col min="15117" max="15117" width="27.88671875" style="1" customWidth="1"/>
    <col min="15118" max="15118" width="10" style="1" customWidth="1"/>
    <col min="15119" max="15360" width="9.109375" style="1"/>
    <col min="15361" max="15361" width="1.88671875" style="1" customWidth="1"/>
    <col min="15362" max="15362" width="3.5546875" style="1" customWidth="1"/>
    <col min="15363" max="15363" width="8.88671875" style="1" customWidth="1"/>
    <col min="15364" max="15364" width="21" style="1" customWidth="1"/>
    <col min="15365" max="15365" width="9.109375" style="1"/>
    <col min="15366" max="15366" width="5.109375" style="1" customWidth="1"/>
    <col min="15367" max="15367" width="10.6640625" style="1" customWidth="1"/>
    <col min="15368" max="15368" width="9.5546875" style="1" customWidth="1"/>
    <col min="15369" max="15369" width="9.109375" style="1"/>
    <col min="15370" max="15370" width="13.33203125" style="1" customWidth="1"/>
    <col min="15371" max="15371" width="4.109375" style="1" customWidth="1"/>
    <col min="15372" max="15372" width="6.88671875" style="1" customWidth="1"/>
    <col min="15373" max="15373" width="27.88671875" style="1" customWidth="1"/>
    <col min="15374" max="15374" width="10" style="1" customWidth="1"/>
    <col min="15375" max="15616" width="9.109375" style="1"/>
    <col min="15617" max="15617" width="1.88671875" style="1" customWidth="1"/>
    <col min="15618" max="15618" width="3.5546875" style="1" customWidth="1"/>
    <col min="15619" max="15619" width="8.88671875" style="1" customWidth="1"/>
    <col min="15620" max="15620" width="21" style="1" customWidth="1"/>
    <col min="15621" max="15621" width="9.109375" style="1"/>
    <col min="15622" max="15622" width="5.109375" style="1" customWidth="1"/>
    <col min="15623" max="15623" width="10.6640625" style="1" customWidth="1"/>
    <col min="15624" max="15624" width="9.5546875" style="1" customWidth="1"/>
    <col min="15625" max="15625" width="9.109375" style="1"/>
    <col min="15626" max="15626" width="13.33203125" style="1" customWidth="1"/>
    <col min="15627" max="15627" width="4.109375" style="1" customWidth="1"/>
    <col min="15628" max="15628" width="6.88671875" style="1" customWidth="1"/>
    <col min="15629" max="15629" width="27.88671875" style="1" customWidth="1"/>
    <col min="15630" max="15630" width="10" style="1" customWidth="1"/>
    <col min="15631" max="15872" width="9.109375" style="1"/>
    <col min="15873" max="15873" width="1.88671875" style="1" customWidth="1"/>
    <col min="15874" max="15874" width="3.5546875" style="1" customWidth="1"/>
    <col min="15875" max="15875" width="8.88671875" style="1" customWidth="1"/>
    <col min="15876" max="15876" width="21" style="1" customWidth="1"/>
    <col min="15877" max="15877" width="9.109375" style="1"/>
    <col min="15878" max="15878" width="5.109375" style="1" customWidth="1"/>
    <col min="15879" max="15879" width="10.6640625" style="1" customWidth="1"/>
    <col min="15880" max="15880" width="9.5546875" style="1" customWidth="1"/>
    <col min="15881" max="15881" width="9.109375" style="1"/>
    <col min="15882" max="15882" width="13.33203125" style="1" customWidth="1"/>
    <col min="15883" max="15883" width="4.109375" style="1" customWidth="1"/>
    <col min="15884" max="15884" width="6.88671875" style="1" customWidth="1"/>
    <col min="15885" max="15885" width="27.88671875" style="1" customWidth="1"/>
    <col min="15886" max="15886" width="10" style="1" customWidth="1"/>
    <col min="15887" max="16128" width="9.109375" style="1"/>
    <col min="16129" max="16129" width="1.88671875" style="1" customWidth="1"/>
    <col min="16130" max="16130" width="3.5546875" style="1" customWidth="1"/>
    <col min="16131" max="16131" width="8.88671875" style="1" customWidth="1"/>
    <col min="16132" max="16132" width="21" style="1" customWidth="1"/>
    <col min="16133" max="16133" width="9.109375" style="1"/>
    <col min="16134" max="16134" width="5.109375" style="1" customWidth="1"/>
    <col min="16135" max="16135" width="10.6640625" style="1" customWidth="1"/>
    <col min="16136" max="16136" width="9.5546875" style="1" customWidth="1"/>
    <col min="16137" max="16137" width="9.109375" style="1"/>
    <col min="16138" max="16138" width="13.33203125" style="1" customWidth="1"/>
    <col min="16139" max="16139" width="4.109375" style="1" customWidth="1"/>
    <col min="16140" max="16140" width="6.88671875" style="1" customWidth="1"/>
    <col min="16141" max="16141" width="27.88671875" style="1" customWidth="1"/>
    <col min="16142" max="16142" width="10" style="1" customWidth="1"/>
    <col min="16143" max="16384" width="9.109375" style="1"/>
  </cols>
  <sheetData>
    <row r="7" spans="1:13" ht="31.8">
      <c r="A7" s="645" t="s">
        <v>762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</row>
    <row r="11" spans="1:13" ht="21" customHeight="1">
      <c r="A11" s="646" t="s">
        <v>756</v>
      </c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</row>
    <row r="12" spans="1:13" ht="21.6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</row>
    <row r="19" spans="1:13">
      <c r="D19" s="2"/>
    </row>
    <row r="20" spans="1:13">
      <c r="C20" s="3"/>
      <c r="D20" s="2"/>
    </row>
    <row r="31" spans="1:13" ht="18" customHeight="1">
      <c r="A31" s="644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</row>
    <row r="32" spans="1:13" ht="18.600000000000001">
      <c r="G32" s="4"/>
    </row>
    <row r="33" spans="1:256" ht="40.5" customHeight="1">
      <c r="B33" s="638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5.25" customHeight="1">
      <c r="A34" s="6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1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3"/>
    </row>
    <row r="37" spans="1:256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56">
      <c r="B38" s="643"/>
      <c r="C38" s="643"/>
      <c r="D38" s="643"/>
      <c r="E38" s="643"/>
      <c r="F38" s="643"/>
      <c r="G38" s="643"/>
      <c r="H38" s="9"/>
      <c r="I38" s="3"/>
      <c r="J38" s="3"/>
      <c r="K38" s="3"/>
      <c r="L38" s="3"/>
      <c r="M38" s="3"/>
    </row>
    <row r="39" spans="1:256">
      <c r="B39" s="641"/>
      <c r="C39" s="641"/>
      <c r="D39" s="641"/>
      <c r="E39" s="641"/>
      <c r="F39" s="641"/>
      <c r="G39" s="641"/>
      <c r="H39" s="10"/>
      <c r="I39" s="3"/>
      <c r="J39" s="3"/>
      <c r="K39" s="3"/>
      <c r="L39" s="3"/>
      <c r="M39" s="3"/>
    </row>
    <row r="40" spans="1:256">
      <c r="B40" s="641"/>
      <c r="C40" s="641"/>
      <c r="D40" s="641"/>
      <c r="E40" s="641"/>
      <c r="F40" s="641"/>
      <c r="G40" s="641"/>
      <c r="H40" s="12"/>
      <c r="I40" s="3"/>
      <c r="J40" s="3"/>
      <c r="K40" s="3"/>
      <c r="L40" s="3"/>
      <c r="M40" s="3"/>
    </row>
    <row r="41" spans="1:256">
      <c r="B41" s="641"/>
      <c r="C41" s="641"/>
      <c r="D41" s="641"/>
      <c r="E41" s="641"/>
      <c r="F41" s="641"/>
      <c r="G41" s="641"/>
      <c r="H41" s="10"/>
      <c r="I41" s="3"/>
      <c r="J41" s="3"/>
      <c r="K41" s="3"/>
      <c r="L41" s="3"/>
      <c r="M41" s="3"/>
    </row>
    <row r="42" spans="1:256">
      <c r="B42" s="641"/>
      <c r="C42" s="641"/>
      <c r="D42" s="641"/>
      <c r="E42" s="641"/>
      <c r="F42" s="641"/>
      <c r="G42" s="641"/>
      <c r="H42" s="10"/>
      <c r="I42" s="3"/>
      <c r="J42" s="3"/>
      <c r="K42" s="3"/>
      <c r="L42" s="3"/>
      <c r="M42" s="3"/>
    </row>
    <row r="43" spans="1:256">
      <c r="B43" s="641"/>
      <c r="C43" s="641"/>
      <c r="D43" s="641"/>
      <c r="E43" s="641"/>
      <c r="F43" s="641"/>
      <c r="G43" s="641"/>
      <c r="H43" s="10"/>
      <c r="I43" s="3"/>
      <c r="J43" s="3"/>
      <c r="K43" s="3"/>
      <c r="L43" s="3"/>
      <c r="M43" s="3"/>
    </row>
    <row r="44" spans="1:256">
      <c r="B44" s="641"/>
      <c r="C44" s="641"/>
      <c r="D44" s="641"/>
      <c r="E44" s="641"/>
      <c r="F44" s="641"/>
      <c r="G44" s="641"/>
      <c r="H44" s="10"/>
      <c r="I44" s="3"/>
      <c r="J44" s="3"/>
      <c r="K44" s="3"/>
      <c r="L44" s="3"/>
      <c r="M44" s="3"/>
    </row>
    <row r="45" spans="1:256">
      <c r="B45" s="641"/>
      <c r="C45" s="641"/>
      <c r="D45" s="641"/>
      <c r="E45" s="641"/>
      <c r="F45" s="641"/>
      <c r="G45" s="641"/>
      <c r="H45" s="10"/>
      <c r="I45" s="3"/>
      <c r="J45" s="3"/>
      <c r="K45" s="3"/>
      <c r="L45" s="3"/>
      <c r="M45" s="3"/>
    </row>
    <row r="46" spans="1:256" ht="33.75" customHeight="1">
      <c r="B46" s="642"/>
      <c r="C46" s="642"/>
      <c r="D46" s="642"/>
      <c r="E46" s="642"/>
      <c r="F46" s="642"/>
      <c r="G46" s="642"/>
      <c r="H46" s="10"/>
      <c r="I46" s="3"/>
      <c r="J46" s="3"/>
      <c r="K46" s="3"/>
      <c r="L46" s="3"/>
      <c r="M46" s="3"/>
    </row>
    <row r="47" spans="1:256">
      <c r="B47" s="3"/>
      <c r="C47" s="3"/>
      <c r="D47" s="3"/>
      <c r="E47" s="3"/>
      <c r="F47" s="3"/>
      <c r="G47" s="3"/>
      <c r="H47" s="11"/>
      <c r="I47" s="3"/>
      <c r="J47" s="3"/>
      <c r="K47" s="3"/>
      <c r="L47" s="3"/>
      <c r="M47" s="3"/>
    </row>
    <row r="48" spans="1:256">
      <c r="B48" s="643"/>
      <c r="C48" s="643"/>
      <c r="D48" s="643"/>
      <c r="E48" s="643"/>
      <c r="F48" s="643"/>
      <c r="G48" s="643"/>
      <c r="H48" s="10"/>
      <c r="I48" s="3"/>
      <c r="J48" s="3"/>
      <c r="K48" s="3"/>
      <c r="L48" s="3"/>
      <c r="M48" s="3"/>
    </row>
    <row r="49" spans="1:256">
      <c r="B49" s="643"/>
      <c r="C49" s="643"/>
      <c r="D49" s="643"/>
      <c r="E49" s="643"/>
      <c r="F49" s="643"/>
      <c r="G49" s="643"/>
      <c r="H49" s="10"/>
      <c r="I49" s="3"/>
      <c r="J49" s="3"/>
      <c r="K49" s="3"/>
      <c r="L49" s="3"/>
      <c r="M49" s="3"/>
    </row>
    <row r="50" spans="1:256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256" ht="36" customHeight="1">
      <c r="B51" s="636"/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14"/>
    </row>
    <row r="52" spans="1:256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256" ht="16.5" customHeight="1">
      <c r="A53" s="7"/>
      <c r="B53" s="637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1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</sheetData>
  <mergeCells count="20">
    <mergeCell ref="A31:M31"/>
    <mergeCell ref="B38:G38"/>
    <mergeCell ref="B39:G39"/>
    <mergeCell ref="A7:M7"/>
    <mergeCell ref="A11:M11"/>
    <mergeCell ref="A12:M12"/>
    <mergeCell ref="B51:L51"/>
    <mergeCell ref="B53:L53"/>
    <mergeCell ref="B33:L33"/>
    <mergeCell ref="B34:L34"/>
    <mergeCell ref="B36:L36"/>
    <mergeCell ref="B43:G43"/>
    <mergeCell ref="B46:G46"/>
    <mergeCell ref="B44:G44"/>
    <mergeCell ref="B45:G45"/>
    <mergeCell ref="B48:G48"/>
    <mergeCell ref="B49:G49"/>
    <mergeCell ref="B40:G40"/>
    <mergeCell ref="B41:G41"/>
    <mergeCell ref="B42:G42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88" fitToHeight="0" orientation="landscape" r:id="rId1"/>
  <headerFooter alignWithMargins="0">
    <oddFooter>Page &amp;P</oddFooter>
  </headerFooter>
  <rowBreaks count="1" manualBreakCount="1">
    <brk id="2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1"/>
  <sheetViews>
    <sheetView view="pageBreakPreview" zoomScale="85" zoomScaleNormal="85" zoomScaleSheetLayoutView="85" workbookViewId="0">
      <selection activeCell="D10" sqref="D10:I17"/>
    </sheetView>
  </sheetViews>
  <sheetFormatPr defaultRowHeight="16.2"/>
  <cols>
    <col min="1" max="1" width="6.88671875" style="59" customWidth="1"/>
    <col min="2" max="2" width="11.33203125" style="59" customWidth="1"/>
    <col min="3" max="3" width="54.5546875" style="59" customWidth="1"/>
    <col min="4" max="4" width="14.33203125" style="72" customWidth="1"/>
    <col min="5" max="5" width="12.44140625" style="72" customWidth="1"/>
    <col min="6" max="6" width="16.44140625" style="73" customWidth="1"/>
    <col min="7" max="7" width="13.44140625" style="69" customWidth="1"/>
    <col min="8" max="8" width="14.88671875" style="59" customWidth="1"/>
    <col min="9" max="9" width="11.109375" style="59" customWidth="1"/>
    <col min="10" max="11" width="9.109375" style="59"/>
    <col min="12" max="12" width="10.33203125" style="59" bestFit="1" customWidth="1"/>
    <col min="13" max="254" width="9.109375" style="59"/>
    <col min="255" max="255" width="3.44140625" style="59" customWidth="1"/>
    <col min="256" max="256" width="7.6640625" style="59" customWidth="1"/>
    <col min="257" max="257" width="52.33203125" style="59" customWidth="1"/>
    <col min="258" max="258" width="14.33203125" style="59" customWidth="1"/>
    <col min="259" max="259" width="12.44140625" style="59" customWidth="1"/>
    <col min="260" max="260" width="16.44140625" style="59" customWidth="1"/>
    <col min="261" max="261" width="13.44140625" style="59" customWidth="1"/>
    <col min="262" max="262" width="14.88671875" style="59" customWidth="1"/>
    <col min="263" max="263" width="11.109375" style="59" customWidth="1"/>
    <col min="264" max="264" width="13.44140625" style="59" bestFit="1" customWidth="1"/>
    <col min="265" max="265" width="10.33203125" style="59" bestFit="1" customWidth="1"/>
    <col min="266" max="510" width="9.109375" style="59"/>
    <col min="511" max="511" width="3.44140625" style="59" customWidth="1"/>
    <col min="512" max="512" width="7.6640625" style="59" customWidth="1"/>
    <col min="513" max="513" width="52.33203125" style="59" customWidth="1"/>
    <col min="514" max="514" width="14.33203125" style="59" customWidth="1"/>
    <col min="515" max="515" width="12.44140625" style="59" customWidth="1"/>
    <col min="516" max="516" width="16.44140625" style="59" customWidth="1"/>
    <col min="517" max="517" width="13.44140625" style="59" customWidth="1"/>
    <col min="518" max="518" width="14.88671875" style="59" customWidth="1"/>
    <col min="519" max="519" width="11.109375" style="59" customWidth="1"/>
    <col min="520" max="520" width="13.44140625" style="59" bestFit="1" customWidth="1"/>
    <col min="521" max="521" width="10.33203125" style="59" bestFit="1" customWidth="1"/>
    <col min="522" max="766" width="9.109375" style="59"/>
    <col min="767" max="767" width="3.44140625" style="59" customWidth="1"/>
    <col min="768" max="768" width="7.6640625" style="59" customWidth="1"/>
    <col min="769" max="769" width="52.33203125" style="59" customWidth="1"/>
    <col min="770" max="770" width="14.33203125" style="59" customWidth="1"/>
    <col min="771" max="771" width="12.44140625" style="59" customWidth="1"/>
    <col min="772" max="772" width="16.44140625" style="59" customWidth="1"/>
    <col min="773" max="773" width="13.44140625" style="59" customWidth="1"/>
    <col min="774" max="774" width="14.88671875" style="59" customWidth="1"/>
    <col min="775" max="775" width="11.109375" style="59" customWidth="1"/>
    <col min="776" max="776" width="13.44140625" style="59" bestFit="1" customWidth="1"/>
    <col min="777" max="777" width="10.33203125" style="59" bestFit="1" customWidth="1"/>
    <col min="778" max="1022" width="9.109375" style="59"/>
    <col min="1023" max="1023" width="3.44140625" style="59" customWidth="1"/>
    <col min="1024" max="1024" width="7.6640625" style="59" customWidth="1"/>
    <col min="1025" max="1025" width="52.33203125" style="59" customWidth="1"/>
    <col min="1026" max="1026" width="14.33203125" style="59" customWidth="1"/>
    <col min="1027" max="1027" width="12.44140625" style="59" customWidth="1"/>
    <col min="1028" max="1028" width="16.44140625" style="59" customWidth="1"/>
    <col min="1029" max="1029" width="13.44140625" style="59" customWidth="1"/>
    <col min="1030" max="1030" width="14.88671875" style="59" customWidth="1"/>
    <col min="1031" max="1031" width="11.109375" style="59" customWidth="1"/>
    <col min="1032" max="1032" width="13.44140625" style="59" bestFit="1" customWidth="1"/>
    <col min="1033" max="1033" width="10.33203125" style="59" bestFit="1" customWidth="1"/>
    <col min="1034" max="1278" width="9.109375" style="59"/>
    <col min="1279" max="1279" width="3.44140625" style="59" customWidth="1"/>
    <col min="1280" max="1280" width="7.6640625" style="59" customWidth="1"/>
    <col min="1281" max="1281" width="52.33203125" style="59" customWidth="1"/>
    <col min="1282" max="1282" width="14.33203125" style="59" customWidth="1"/>
    <col min="1283" max="1283" width="12.44140625" style="59" customWidth="1"/>
    <col min="1284" max="1284" width="16.44140625" style="59" customWidth="1"/>
    <col min="1285" max="1285" width="13.44140625" style="59" customWidth="1"/>
    <col min="1286" max="1286" width="14.88671875" style="59" customWidth="1"/>
    <col min="1287" max="1287" width="11.109375" style="59" customWidth="1"/>
    <col min="1288" max="1288" width="13.44140625" style="59" bestFit="1" customWidth="1"/>
    <col min="1289" max="1289" width="10.33203125" style="59" bestFit="1" customWidth="1"/>
    <col min="1290" max="1534" width="9.109375" style="59"/>
    <col min="1535" max="1535" width="3.44140625" style="59" customWidth="1"/>
    <col min="1536" max="1536" width="7.6640625" style="59" customWidth="1"/>
    <col min="1537" max="1537" width="52.33203125" style="59" customWidth="1"/>
    <col min="1538" max="1538" width="14.33203125" style="59" customWidth="1"/>
    <col min="1539" max="1539" width="12.44140625" style="59" customWidth="1"/>
    <col min="1540" max="1540" width="16.44140625" style="59" customWidth="1"/>
    <col min="1541" max="1541" width="13.44140625" style="59" customWidth="1"/>
    <col min="1542" max="1542" width="14.88671875" style="59" customWidth="1"/>
    <col min="1543" max="1543" width="11.109375" style="59" customWidth="1"/>
    <col min="1544" max="1544" width="13.44140625" style="59" bestFit="1" customWidth="1"/>
    <col min="1545" max="1545" width="10.33203125" style="59" bestFit="1" customWidth="1"/>
    <col min="1546" max="1790" width="9.109375" style="59"/>
    <col min="1791" max="1791" width="3.44140625" style="59" customWidth="1"/>
    <col min="1792" max="1792" width="7.6640625" style="59" customWidth="1"/>
    <col min="1793" max="1793" width="52.33203125" style="59" customWidth="1"/>
    <col min="1794" max="1794" width="14.33203125" style="59" customWidth="1"/>
    <col min="1795" max="1795" width="12.44140625" style="59" customWidth="1"/>
    <col min="1796" max="1796" width="16.44140625" style="59" customWidth="1"/>
    <col min="1797" max="1797" width="13.44140625" style="59" customWidth="1"/>
    <col min="1798" max="1798" width="14.88671875" style="59" customWidth="1"/>
    <col min="1799" max="1799" width="11.109375" style="59" customWidth="1"/>
    <col min="1800" max="1800" width="13.44140625" style="59" bestFit="1" customWidth="1"/>
    <col min="1801" max="1801" width="10.33203125" style="59" bestFit="1" customWidth="1"/>
    <col min="1802" max="2046" width="9.109375" style="59"/>
    <col min="2047" max="2047" width="3.44140625" style="59" customWidth="1"/>
    <col min="2048" max="2048" width="7.6640625" style="59" customWidth="1"/>
    <col min="2049" max="2049" width="52.33203125" style="59" customWidth="1"/>
    <col min="2050" max="2050" width="14.33203125" style="59" customWidth="1"/>
    <col min="2051" max="2051" width="12.44140625" style="59" customWidth="1"/>
    <col min="2052" max="2052" width="16.44140625" style="59" customWidth="1"/>
    <col min="2053" max="2053" width="13.44140625" style="59" customWidth="1"/>
    <col min="2054" max="2054" width="14.88671875" style="59" customWidth="1"/>
    <col min="2055" max="2055" width="11.109375" style="59" customWidth="1"/>
    <col min="2056" max="2056" width="13.44140625" style="59" bestFit="1" customWidth="1"/>
    <col min="2057" max="2057" width="10.33203125" style="59" bestFit="1" customWidth="1"/>
    <col min="2058" max="2302" width="9.109375" style="59"/>
    <col min="2303" max="2303" width="3.44140625" style="59" customWidth="1"/>
    <col min="2304" max="2304" width="7.6640625" style="59" customWidth="1"/>
    <col min="2305" max="2305" width="52.33203125" style="59" customWidth="1"/>
    <col min="2306" max="2306" width="14.33203125" style="59" customWidth="1"/>
    <col min="2307" max="2307" width="12.44140625" style="59" customWidth="1"/>
    <col min="2308" max="2308" width="16.44140625" style="59" customWidth="1"/>
    <col min="2309" max="2309" width="13.44140625" style="59" customWidth="1"/>
    <col min="2310" max="2310" width="14.88671875" style="59" customWidth="1"/>
    <col min="2311" max="2311" width="11.109375" style="59" customWidth="1"/>
    <col min="2312" max="2312" width="13.44140625" style="59" bestFit="1" customWidth="1"/>
    <col min="2313" max="2313" width="10.33203125" style="59" bestFit="1" customWidth="1"/>
    <col min="2314" max="2558" width="9.109375" style="59"/>
    <col min="2559" max="2559" width="3.44140625" style="59" customWidth="1"/>
    <col min="2560" max="2560" width="7.6640625" style="59" customWidth="1"/>
    <col min="2561" max="2561" width="52.33203125" style="59" customWidth="1"/>
    <col min="2562" max="2562" width="14.33203125" style="59" customWidth="1"/>
    <col min="2563" max="2563" width="12.44140625" style="59" customWidth="1"/>
    <col min="2564" max="2564" width="16.44140625" style="59" customWidth="1"/>
    <col min="2565" max="2565" width="13.44140625" style="59" customWidth="1"/>
    <col min="2566" max="2566" width="14.88671875" style="59" customWidth="1"/>
    <col min="2567" max="2567" width="11.109375" style="59" customWidth="1"/>
    <col min="2568" max="2568" width="13.44140625" style="59" bestFit="1" customWidth="1"/>
    <col min="2569" max="2569" width="10.33203125" style="59" bestFit="1" customWidth="1"/>
    <col min="2570" max="2814" width="9.109375" style="59"/>
    <col min="2815" max="2815" width="3.44140625" style="59" customWidth="1"/>
    <col min="2816" max="2816" width="7.6640625" style="59" customWidth="1"/>
    <col min="2817" max="2817" width="52.33203125" style="59" customWidth="1"/>
    <col min="2818" max="2818" width="14.33203125" style="59" customWidth="1"/>
    <col min="2819" max="2819" width="12.44140625" style="59" customWidth="1"/>
    <col min="2820" max="2820" width="16.44140625" style="59" customWidth="1"/>
    <col min="2821" max="2821" width="13.44140625" style="59" customWidth="1"/>
    <col min="2822" max="2822" width="14.88671875" style="59" customWidth="1"/>
    <col min="2823" max="2823" width="11.109375" style="59" customWidth="1"/>
    <col min="2824" max="2824" width="13.44140625" style="59" bestFit="1" customWidth="1"/>
    <col min="2825" max="2825" width="10.33203125" style="59" bestFit="1" customWidth="1"/>
    <col min="2826" max="3070" width="9.109375" style="59"/>
    <col min="3071" max="3071" width="3.44140625" style="59" customWidth="1"/>
    <col min="3072" max="3072" width="7.6640625" style="59" customWidth="1"/>
    <col min="3073" max="3073" width="52.33203125" style="59" customWidth="1"/>
    <col min="3074" max="3074" width="14.33203125" style="59" customWidth="1"/>
    <col min="3075" max="3075" width="12.44140625" style="59" customWidth="1"/>
    <col min="3076" max="3076" width="16.44140625" style="59" customWidth="1"/>
    <col min="3077" max="3077" width="13.44140625" style="59" customWidth="1"/>
    <col min="3078" max="3078" width="14.88671875" style="59" customWidth="1"/>
    <col min="3079" max="3079" width="11.109375" style="59" customWidth="1"/>
    <col min="3080" max="3080" width="13.44140625" style="59" bestFit="1" customWidth="1"/>
    <col min="3081" max="3081" width="10.33203125" style="59" bestFit="1" customWidth="1"/>
    <col min="3082" max="3326" width="9.109375" style="59"/>
    <col min="3327" max="3327" width="3.44140625" style="59" customWidth="1"/>
    <col min="3328" max="3328" width="7.6640625" style="59" customWidth="1"/>
    <col min="3329" max="3329" width="52.33203125" style="59" customWidth="1"/>
    <col min="3330" max="3330" width="14.33203125" style="59" customWidth="1"/>
    <col min="3331" max="3331" width="12.44140625" style="59" customWidth="1"/>
    <col min="3332" max="3332" width="16.44140625" style="59" customWidth="1"/>
    <col min="3333" max="3333" width="13.44140625" style="59" customWidth="1"/>
    <col min="3334" max="3334" width="14.88671875" style="59" customWidth="1"/>
    <col min="3335" max="3335" width="11.109375" style="59" customWidth="1"/>
    <col min="3336" max="3336" width="13.44140625" style="59" bestFit="1" customWidth="1"/>
    <col min="3337" max="3337" width="10.33203125" style="59" bestFit="1" customWidth="1"/>
    <col min="3338" max="3582" width="9.109375" style="59"/>
    <col min="3583" max="3583" width="3.44140625" style="59" customWidth="1"/>
    <col min="3584" max="3584" width="7.6640625" style="59" customWidth="1"/>
    <col min="3585" max="3585" width="52.33203125" style="59" customWidth="1"/>
    <col min="3586" max="3586" width="14.33203125" style="59" customWidth="1"/>
    <col min="3587" max="3587" width="12.44140625" style="59" customWidth="1"/>
    <col min="3588" max="3588" width="16.44140625" style="59" customWidth="1"/>
    <col min="3589" max="3589" width="13.44140625" style="59" customWidth="1"/>
    <col min="3590" max="3590" width="14.88671875" style="59" customWidth="1"/>
    <col min="3591" max="3591" width="11.109375" style="59" customWidth="1"/>
    <col min="3592" max="3592" width="13.44140625" style="59" bestFit="1" customWidth="1"/>
    <col min="3593" max="3593" width="10.33203125" style="59" bestFit="1" customWidth="1"/>
    <col min="3594" max="3838" width="9.109375" style="59"/>
    <col min="3839" max="3839" width="3.44140625" style="59" customWidth="1"/>
    <col min="3840" max="3840" width="7.6640625" style="59" customWidth="1"/>
    <col min="3841" max="3841" width="52.33203125" style="59" customWidth="1"/>
    <col min="3842" max="3842" width="14.33203125" style="59" customWidth="1"/>
    <col min="3843" max="3843" width="12.44140625" style="59" customWidth="1"/>
    <col min="3844" max="3844" width="16.44140625" style="59" customWidth="1"/>
    <col min="3845" max="3845" width="13.44140625" style="59" customWidth="1"/>
    <col min="3846" max="3846" width="14.88671875" style="59" customWidth="1"/>
    <col min="3847" max="3847" width="11.109375" style="59" customWidth="1"/>
    <col min="3848" max="3848" width="13.44140625" style="59" bestFit="1" customWidth="1"/>
    <col min="3849" max="3849" width="10.33203125" style="59" bestFit="1" customWidth="1"/>
    <col min="3850" max="4094" width="9.109375" style="59"/>
    <col min="4095" max="4095" width="3.44140625" style="59" customWidth="1"/>
    <col min="4096" max="4096" width="7.6640625" style="59" customWidth="1"/>
    <col min="4097" max="4097" width="52.33203125" style="59" customWidth="1"/>
    <col min="4098" max="4098" width="14.33203125" style="59" customWidth="1"/>
    <col min="4099" max="4099" width="12.44140625" style="59" customWidth="1"/>
    <col min="4100" max="4100" width="16.44140625" style="59" customWidth="1"/>
    <col min="4101" max="4101" width="13.44140625" style="59" customWidth="1"/>
    <col min="4102" max="4102" width="14.88671875" style="59" customWidth="1"/>
    <col min="4103" max="4103" width="11.109375" style="59" customWidth="1"/>
    <col min="4104" max="4104" width="13.44140625" style="59" bestFit="1" customWidth="1"/>
    <col min="4105" max="4105" width="10.33203125" style="59" bestFit="1" customWidth="1"/>
    <col min="4106" max="4350" width="9.109375" style="59"/>
    <col min="4351" max="4351" width="3.44140625" style="59" customWidth="1"/>
    <col min="4352" max="4352" width="7.6640625" style="59" customWidth="1"/>
    <col min="4353" max="4353" width="52.33203125" style="59" customWidth="1"/>
    <col min="4354" max="4354" width="14.33203125" style="59" customWidth="1"/>
    <col min="4355" max="4355" width="12.44140625" style="59" customWidth="1"/>
    <col min="4356" max="4356" width="16.44140625" style="59" customWidth="1"/>
    <col min="4357" max="4357" width="13.44140625" style="59" customWidth="1"/>
    <col min="4358" max="4358" width="14.88671875" style="59" customWidth="1"/>
    <col min="4359" max="4359" width="11.109375" style="59" customWidth="1"/>
    <col min="4360" max="4360" width="13.44140625" style="59" bestFit="1" customWidth="1"/>
    <col min="4361" max="4361" width="10.33203125" style="59" bestFit="1" customWidth="1"/>
    <col min="4362" max="4606" width="9.109375" style="59"/>
    <col min="4607" max="4607" width="3.44140625" style="59" customWidth="1"/>
    <col min="4608" max="4608" width="7.6640625" style="59" customWidth="1"/>
    <col min="4609" max="4609" width="52.33203125" style="59" customWidth="1"/>
    <col min="4610" max="4610" width="14.33203125" style="59" customWidth="1"/>
    <col min="4611" max="4611" width="12.44140625" style="59" customWidth="1"/>
    <col min="4612" max="4612" width="16.44140625" style="59" customWidth="1"/>
    <col min="4613" max="4613" width="13.44140625" style="59" customWidth="1"/>
    <col min="4614" max="4614" width="14.88671875" style="59" customWidth="1"/>
    <col min="4615" max="4615" width="11.109375" style="59" customWidth="1"/>
    <col min="4616" max="4616" width="13.44140625" style="59" bestFit="1" customWidth="1"/>
    <col min="4617" max="4617" width="10.33203125" style="59" bestFit="1" customWidth="1"/>
    <col min="4618" max="4862" width="9.109375" style="59"/>
    <col min="4863" max="4863" width="3.44140625" style="59" customWidth="1"/>
    <col min="4864" max="4864" width="7.6640625" style="59" customWidth="1"/>
    <col min="4865" max="4865" width="52.33203125" style="59" customWidth="1"/>
    <col min="4866" max="4866" width="14.33203125" style="59" customWidth="1"/>
    <col min="4867" max="4867" width="12.44140625" style="59" customWidth="1"/>
    <col min="4868" max="4868" width="16.44140625" style="59" customWidth="1"/>
    <col min="4869" max="4869" width="13.44140625" style="59" customWidth="1"/>
    <col min="4870" max="4870" width="14.88671875" style="59" customWidth="1"/>
    <col min="4871" max="4871" width="11.109375" style="59" customWidth="1"/>
    <col min="4872" max="4872" width="13.44140625" style="59" bestFit="1" customWidth="1"/>
    <col min="4873" max="4873" width="10.33203125" style="59" bestFit="1" customWidth="1"/>
    <col min="4874" max="5118" width="9.109375" style="59"/>
    <col min="5119" max="5119" width="3.44140625" style="59" customWidth="1"/>
    <col min="5120" max="5120" width="7.6640625" style="59" customWidth="1"/>
    <col min="5121" max="5121" width="52.33203125" style="59" customWidth="1"/>
    <col min="5122" max="5122" width="14.33203125" style="59" customWidth="1"/>
    <col min="5123" max="5123" width="12.44140625" style="59" customWidth="1"/>
    <col min="5124" max="5124" width="16.44140625" style="59" customWidth="1"/>
    <col min="5125" max="5125" width="13.44140625" style="59" customWidth="1"/>
    <col min="5126" max="5126" width="14.88671875" style="59" customWidth="1"/>
    <col min="5127" max="5127" width="11.109375" style="59" customWidth="1"/>
    <col min="5128" max="5128" width="13.44140625" style="59" bestFit="1" customWidth="1"/>
    <col min="5129" max="5129" width="10.33203125" style="59" bestFit="1" customWidth="1"/>
    <col min="5130" max="5374" width="9.109375" style="59"/>
    <col min="5375" max="5375" width="3.44140625" style="59" customWidth="1"/>
    <col min="5376" max="5376" width="7.6640625" style="59" customWidth="1"/>
    <col min="5377" max="5377" width="52.33203125" style="59" customWidth="1"/>
    <col min="5378" max="5378" width="14.33203125" style="59" customWidth="1"/>
    <col min="5379" max="5379" width="12.44140625" style="59" customWidth="1"/>
    <col min="5380" max="5380" width="16.44140625" style="59" customWidth="1"/>
    <col min="5381" max="5381" width="13.44140625" style="59" customWidth="1"/>
    <col min="5382" max="5382" width="14.88671875" style="59" customWidth="1"/>
    <col min="5383" max="5383" width="11.109375" style="59" customWidth="1"/>
    <col min="5384" max="5384" width="13.44140625" style="59" bestFit="1" customWidth="1"/>
    <col min="5385" max="5385" width="10.33203125" style="59" bestFit="1" customWidth="1"/>
    <col min="5386" max="5630" width="9.109375" style="59"/>
    <col min="5631" max="5631" width="3.44140625" style="59" customWidth="1"/>
    <col min="5632" max="5632" width="7.6640625" style="59" customWidth="1"/>
    <col min="5633" max="5633" width="52.33203125" style="59" customWidth="1"/>
    <col min="5634" max="5634" width="14.33203125" style="59" customWidth="1"/>
    <col min="5635" max="5635" width="12.44140625" style="59" customWidth="1"/>
    <col min="5636" max="5636" width="16.44140625" style="59" customWidth="1"/>
    <col min="5637" max="5637" width="13.44140625" style="59" customWidth="1"/>
    <col min="5638" max="5638" width="14.88671875" style="59" customWidth="1"/>
    <col min="5639" max="5639" width="11.109375" style="59" customWidth="1"/>
    <col min="5640" max="5640" width="13.44140625" style="59" bestFit="1" customWidth="1"/>
    <col min="5641" max="5641" width="10.33203125" style="59" bestFit="1" customWidth="1"/>
    <col min="5642" max="5886" width="9.109375" style="59"/>
    <col min="5887" max="5887" width="3.44140625" style="59" customWidth="1"/>
    <col min="5888" max="5888" width="7.6640625" style="59" customWidth="1"/>
    <col min="5889" max="5889" width="52.33203125" style="59" customWidth="1"/>
    <col min="5890" max="5890" width="14.33203125" style="59" customWidth="1"/>
    <col min="5891" max="5891" width="12.44140625" style="59" customWidth="1"/>
    <col min="5892" max="5892" width="16.44140625" style="59" customWidth="1"/>
    <col min="5893" max="5893" width="13.44140625" style="59" customWidth="1"/>
    <col min="5894" max="5894" width="14.88671875" style="59" customWidth="1"/>
    <col min="5895" max="5895" width="11.109375" style="59" customWidth="1"/>
    <col min="5896" max="5896" width="13.44140625" style="59" bestFit="1" customWidth="1"/>
    <col min="5897" max="5897" width="10.33203125" style="59" bestFit="1" customWidth="1"/>
    <col min="5898" max="6142" width="9.109375" style="59"/>
    <col min="6143" max="6143" width="3.44140625" style="59" customWidth="1"/>
    <col min="6144" max="6144" width="7.6640625" style="59" customWidth="1"/>
    <col min="6145" max="6145" width="52.33203125" style="59" customWidth="1"/>
    <col min="6146" max="6146" width="14.33203125" style="59" customWidth="1"/>
    <col min="6147" max="6147" width="12.44140625" style="59" customWidth="1"/>
    <col min="6148" max="6148" width="16.44140625" style="59" customWidth="1"/>
    <col min="6149" max="6149" width="13.44140625" style="59" customWidth="1"/>
    <col min="6150" max="6150" width="14.88671875" style="59" customWidth="1"/>
    <col min="6151" max="6151" width="11.109375" style="59" customWidth="1"/>
    <col min="6152" max="6152" width="13.44140625" style="59" bestFit="1" customWidth="1"/>
    <col min="6153" max="6153" width="10.33203125" style="59" bestFit="1" customWidth="1"/>
    <col min="6154" max="6398" width="9.109375" style="59"/>
    <col min="6399" max="6399" width="3.44140625" style="59" customWidth="1"/>
    <col min="6400" max="6400" width="7.6640625" style="59" customWidth="1"/>
    <col min="6401" max="6401" width="52.33203125" style="59" customWidth="1"/>
    <col min="6402" max="6402" width="14.33203125" style="59" customWidth="1"/>
    <col min="6403" max="6403" width="12.44140625" style="59" customWidth="1"/>
    <col min="6404" max="6404" width="16.44140625" style="59" customWidth="1"/>
    <col min="6405" max="6405" width="13.44140625" style="59" customWidth="1"/>
    <col min="6406" max="6406" width="14.88671875" style="59" customWidth="1"/>
    <col min="6407" max="6407" width="11.109375" style="59" customWidth="1"/>
    <col min="6408" max="6408" width="13.44140625" style="59" bestFit="1" customWidth="1"/>
    <col min="6409" max="6409" width="10.33203125" style="59" bestFit="1" customWidth="1"/>
    <col min="6410" max="6654" width="9.109375" style="59"/>
    <col min="6655" max="6655" width="3.44140625" style="59" customWidth="1"/>
    <col min="6656" max="6656" width="7.6640625" style="59" customWidth="1"/>
    <col min="6657" max="6657" width="52.33203125" style="59" customWidth="1"/>
    <col min="6658" max="6658" width="14.33203125" style="59" customWidth="1"/>
    <col min="6659" max="6659" width="12.44140625" style="59" customWidth="1"/>
    <col min="6660" max="6660" width="16.44140625" style="59" customWidth="1"/>
    <col min="6661" max="6661" width="13.44140625" style="59" customWidth="1"/>
    <col min="6662" max="6662" width="14.88671875" style="59" customWidth="1"/>
    <col min="6663" max="6663" width="11.109375" style="59" customWidth="1"/>
    <col min="6664" max="6664" width="13.44140625" style="59" bestFit="1" customWidth="1"/>
    <col min="6665" max="6665" width="10.33203125" style="59" bestFit="1" customWidth="1"/>
    <col min="6666" max="6910" width="9.109375" style="59"/>
    <col min="6911" max="6911" width="3.44140625" style="59" customWidth="1"/>
    <col min="6912" max="6912" width="7.6640625" style="59" customWidth="1"/>
    <col min="6913" max="6913" width="52.33203125" style="59" customWidth="1"/>
    <col min="6914" max="6914" width="14.33203125" style="59" customWidth="1"/>
    <col min="6915" max="6915" width="12.44140625" style="59" customWidth="1"/>
    <col min="6916" max="6916" width="16.44140625" style="59" customWidth="1"/>
    <col min="6917" max="6917" width="13.44140625" style="59" customWidth="1"/>
    <col min="6918" max="6918" width="14.88671875" style="59" customWidth="1"/>
    <col min="6919" max="6919" width="11.109375" style="59" customWidth="1"/>
    <col min="6920" max="6920" width="13.44140625" style="59" bestFit="1" customWidth="1"/>
    <col min="6921" max="6921" width="10.33203125" style="59" bestFit="1" customWidth="1"/>
    <col min="6922" max="7166" width="9.109375" style="59"/>
    <col min="7167" max="7167" width="3.44140625" style="59" customWidth="1"/>
    <col min="7168" max="7168" width="7.6640625" style="59" customWidth="1"/>
    <col min="7169" max="7169" width="52.33203125" style="59" customWidth="1"/>
    <col min="7170" max="7170" width="14.33203125" style="59" customWidth="1"/>
    <col min="7171" max="7171" width="12.44140625" style="59" customWidth="1"/>
    <col min="7172" max="7172" width="16.44140625" style="59" customWidth="1"/>
    <col min="7173" max="7173" width="13.44140625" style="59" customWidth="1"/>
    <col min="7174" max="7174" width="14.88671875" style="59" customWidth="1"/>
    <col min="7175" max="7175" width="11.109375" style="59" customWidth="1"/>
    <col min="7176" max="7176" width="13.44140625" style="59" bestFit="1" customWidth="1"/>
    <col min="7177" max="7177" width="10.33203125" style="59" bestFit="1" customWidth="1"/>
    <col min="7178" max="7422" width="9.109375" style="59"/>
    <col min="7423" max="7423" width="3.44140625" style="59" customWidth="1"/>
    <col min="7424" max="7424" width="7.6640625" style="59" customWidth="1"/>
    <col min="7425" max="7425" width="52.33203125" style="59" customWidth="1"/>
    <col min="7426" max="7426" width="14.33203125" style="59" customWidth="1"/>
    <col min="7427" max="7427" width="12.44140625" style="59" customWidth="1"/>
    <col min="7428" max="7428" width="16.44140625" style="59" customWidth="1"/>
    <col min="7429" max="7429" width="13.44140625" style="59" customWidth="1"/>
    <col min="7430" max="7430" width="14.88671875" style="59" customWidth="1"/>
    <col min="7431" max="7431" width="11.109375" style="59" customWidth="1"/>
    <col min="7432" max="7432" width="13.44140625" style="59" bestFit="1" customWidth="1"/>
    <col min="7433" max="7433" width="10.33203125" style="59" bestFit="1" customWidth="1"/>
    <col min="7434" max="7678" width="9.109375" style="59"/>
    <col min="7679" max="7679" width="3.44140625" style="59" customWidth="1"/>
    <col min="7680" max="7680" width="7.6640625" style="59" customWidth="1"/>
    <col min="7681" max="7681" width="52.33203125" style="59" customWidth="1"/>
    <col min="7682" max="7682" width="14.33203125" style="59" customWidth="1"/>
    <col min="7683" max="7683" width="12.44140625" style="59" customWidth="1"/>
    <col min="7684" max="7684" width="16.44140625" style="59" customWidth="1"/>
    <col min="7685" max="7685" width="13.44140625" style="59" customWidth="1"/>
    <col min="7686" max="7686" width="14.88671875" style="59" customWidth="1"/>
    <col min="7687" max="7687" width="11.109375" style="59" customWidth="1"/>
    <col min="7688" max="7688" width="13.44140625" style="59" bestFit="1" customWidth="1"/>
    <col min="7689" max="7689" width="10.33203125" style="59" bestFit="1" customWidth="1"/>
    <col min="7690" max="7934" width="9.109375" style="59"/>
    <col min="7935" max="7935" width="3.44140625" style="59" customWidth="1"/>
    <col min="7936" max="7936" width="7.6640625" style="59" customWidth="1"/>
    <col min="7937" max="7937" width="52.33203125" style="59" customWidth="1"/>
    <col min="7938" max="7938" width="14.33203125" style="59" customWidth="1"/>
    <col min="7939" max="7939" width="12.44140625" style="59" customWidth="1"/>
    <col min="7940" max="7940" width="16.44140625" style="59" customWidth="1"/>
    <col min="7941" max="7941" width="13.44140625" style="59" customWidth="1"/>
    <col min="7942" max="7942" width="14.88671875" style="59" customWidth="1"/>
    <col min="7943" max="7943" width="11.109375" style="59" customWidth="1"/>
    <col min="7944" max="7944" width="13.44140625" style="59" bestFit="1" customWidth="1"/>
    <col min="7945" max="7945" width="10.33203125" style="59" bestFit="1" customWidth="1"/>
    <col min="7946" max="8190" width="9.109375" style="59"/>
    <col min="8191" max="8191" width="3.44140625" style="59" customWidth="1"/>
    <col min="8192" max="8192" width="7.6640625" style="59" customWidth="1"/>
    <col min="8193" max="8193" width="52.33203125" style="59" customWidth="1"/>
    <col min="8194" max="8194" width="14.33203125" style="59" customWidth="1"/>
    <col min="8195" max="8195" width="12.44140625" style="59" customWidth="1"/>
    <col min="8196" max="8196" width="16.44140625" style="59" customWidth="1"/>
    <col min="8197" max="8197" width="13.44140625" style="59" customWidth="1"/>
    <col min="8198" max="8198" width="14.88671875" style="59" customWidth="1"/>
    <col min="8199" max="8199" width="11.109375" style="59" customWidth="1"/>
    <col min="8200" max="8200" width="13.44140625" style="59" bestFit="1" customWidth="1"/>
    <col min="8201" max="8201" width="10.33203125" style="59" bestFit="1" customWidth="1"/>
    <col min="8202" max="8446" width="9.109375" style="59"/>
    <col min="8447" max="8447" width="3.44140625" style="59" customWidth="1"/>
    <col min="8448" max="8448" width="7.6640625" style="59" customWidth="1"/>
    <col min="8449" max="8449" width="52.33203125" style="59" customWidth="1"/>
    <col min="8450" max="8450" width="14.33203125" style="59" customWidth="1"/>
    <col min="8451" max="8451" width="12.44140625" style="59" customWidth="1"/>
    <col min="8452" max="8452" width="16.44140625" style="59" customWidth="1"/>
    <col min="8453" max="8453" width="13.44140625" style="59" customWidth="1"/>
    <col min="8454" max="8454" width="14.88671875" style="59" customWidth="1"/>
    <col min="8455" max="8455" width="11.109375" style="59" customWidth="1"/>
    <col min="8456" max="8456" width="13.44140625" style="59" bestFit="1" customWidth="1"/>
    <col min="8457" max="8457" width="10.33203125" style="59" bestFit="1" customWidth="1"/>
    <col min="8458" max="8702" width="9.109375" style="59"/>
    <col min="8703" max="8703" width="3.44140625" style="59" customWidth="1"/>
    <col min="8704" max="8704" width="7.6640625" style="59" customWidth="1"/>
    <col min="8705" max="8705" width="52.33203125" style="59" customWidth="1"/>
    <col min="8706" max="8706" width="14.33203125" style="59" customWidth="1"/>
    <col min="8707" max="8707" width="12.44140625" style="59" customWidth="1"/>
    <col min="8708" max="8708" width="16.44140625" style="59" customWidth="1"/>
    <col min="8709" max="8709" width="13.44140625" style="59" customWidth="1"/>
    <col min="8710" max="8710" width="14.88671875" style="59" customWidth="1"/>
    <col min="8711" max="8711" width="11.109375" style="59" customWidth="1"/>
    <col min="8712" max="8712" width="13.44140625" style="59" bestFit="1" customWidth="1"/>
    <col min="8713" max="8713" width="10.33203125" style="59" bestFit="1" customWidth="1"/>
    <col min="8714" max="8958" width="9.109375" style="59"/>
    <col min="8959" max="8959" width="3.44140625" style="59" customWidth="1"/>
    <col min="8960" max="8960" width="7.6640625" style="59" customWidth="1"/>
    <col min="8961" max="8961" width="52.33203125" style="59" customWidth="1"/>
    <col min="8962" max="8962" width="14.33203125" style="59" customWidth="1"/>
    <col min="8963" max="8963" width="12.44140625" style="59" customWidth="1"/>
    <col min="8964" max="8964" width="16.44140625" style="59" customWidth="1"/>
    <col min="8965" max="8965" width="13.44140625" style="59" customWidth="1"/>
    <col min="8966" max="8966" width="14.88671875" style="59" customWidth="1"/>
    <col min="8967" max="8967" width="11.109375" style="59" customWidth="1"/>
    <col min="8968" max="8968" width="13.44140625" style="59" bestFit="1" customWidth="1"/>
    <col min="8969" max="8969" width="10.33203125" style="59" bestFit="1" customWidth="1"/>
    <col min="8970" max="9214" width="9.109375" style="59"/>
    <col min="9215" max="9215" width="3.44140625" style="59" customWidth="1"/>
    <col min="9216" max="9216" width="7.6640625" style="59" customWidth="1"/>
    <col min="9217" max="9217" width="52.33203125" style="59" customWidth="1"/>
    <col min="9218" max="9218" width="14.33203125" style="59" customWidth="1"/>
    <col min="9219" max="9219" width="12.44140625" style="59" customWidth="1"/>
    <col min="9220" max="9220" width="16.44140625" style="59" customWidth="1"/>
    <col min="9221" max="9221" width="13.44140625" style="59" customWidth="1"/>
    <col min="9222" max="9222" width="14.88671875" style="59" customWidth="1"/>
    <col min="9223" max="9223" width="11.109375" style="59" customWidth="1"/>
    <col min="9224" max="9224" width="13.44140625" style="59" bestFit="1" customWidth="1"/>
    <col min="9225" max="9225" width="10.33203125" style="59" bestFit="1" customWidth="1"/>
    <col min="9226" max="9470" width="9.109375" style="59"/>
    <col min="9471" max="9471" width="3.44140625" style="59" customWidth="1"/>
    <col min="9472" max="9472" width="7.6640625" style="59" customWidth="1"/>
    <col min="9473" max="9473" width="52.33203125" style="59" customWidth="1"/>
    <col min="9474" max="9474" width="14.33203125" style="59" customWidth="1"/>
    <col min="9475" max="9475" width="12.44140625" style="59" customWidth="1"/>
    <col min="9476" max="9476" width="16.44140625" style="59" customWidth="1"/>
    <col min="9477" max="9477" width="13.44140625" style="59" customWidth="1"/>
    <col min="9478" max="9478" width="14.88671875" style="59" customWidth="1"/>
    <col min="9479" max="9479" width="11.109375" style="59" customWidth="1"/>
    <col min="9480" max="9480" width="13.44140625" style="59" bestFit="1" customWidth="1"/>
    <col min="9481" max="9481" width="10.33203125" style="59" bestFit="1" customWidth="1"/>
    <col min="9482" max="9726" width="9.109375" style="59"/>
    <col min="9727" max="9727" width="3.44140625" style="59" customWidth="1"/>
    <col min="9728" max="9728" width="7.6640625" style="59" customWidth="1"/>
    <col min="9729" max="9729" width="52.33203125" style="59" customWidth="1"/>
    <col min="9730" max="9730" width="14.33203125" style="59" customWidth="1"/>
    <col min="9731" max="9731" width="12.44140625" style="59" customWidth="1"/>
    <col min="9732" max="9732" width="16.44140625" style="59" customWidth="1"/>
    <col min="9733" max="9733" width="13.44140625" style="59" customWidth="1"/>
    <col min="9734" max="9734" width="14.88671875" style="59" customWidth="1"/>
    <col min="9735" max="9735" width="11.109375" style="59" customWidth="1"/>
    <col min="9736" max="9736" width="13.44140625" style="59" bestFit="1" customWidth="1"/>
    <col min="9737" max="9737" width="10.33203125" style="59" bestFit="1" customWidth="1"/>
    <col min="9738" max="9982" width="9.109375" style="59"/>
    <col min="9983" max="9983" width="3.44140625" style="59" customWidth="1"/>
    <col min="9984" max="9984" width="7.6640625" style="59" customWidth="1"/>
    <col min="9985" max="9985" width="52.33203125" style="59" customWidth="1"/>
    <col min="9986" max="9986" width="14.33203125" style="59" customWidth="1"/>
    <col min="9987" max="9987" width="12.44140625" style="59" customWidth="1"/>
    <col min="9988" max="9988" width="16.44140625" style="59" customWidth="1"/>
    <col min="9989" max="9989" width="13.44140625" style="59" customWidth="1"/>
    <col min="9990" max="9990" width="14.88671875" style="59" customWidth="1"/>
    <col min="9991" max="9991" width="11.109375" style="59" customWidth="1"/>
    <col min="9992" max="9992" width="13.44140625" style="59" bestFit="1" customWidth="1"/>
    <col min="9993" max="9993" width="10.33203125" style="59" bestFit="1" customWidth="1"/>
    <col min="9994" max="10238" width="9.109375" style="59"/>
    <col min="10239" max="10239" width="3.44140625" style="59" customWidth="1"/>
    <col min="10240" max="10240" width="7.6640625" style="59" customWidth="1"/>
    <col min="10241" max="10241" width="52.33203125" style="59" customWidth="1"/>
    <col min="10242" max="10242" width="14.33203125" style="59" customWidth="1"/>
    <col min="10243" max="10243" width="12.44140625" style="59" customWidth="1"/>
    <col min="10244" max="10244" width="16.44140625" style="59" customWidth="1"/>
    <col min="10245" max="10245" width="13.44140625" style="59" customWidth="1"/>
    <col min="10246" max="10246" width="14.88671875" style="59" customWidth="1"/>
    <col min="10247" max="10247" width="11.109375" style="59" customWidth="1"/>
    <col min="10248" max="10248" width="13.44140625" style="59" bestFit="1" customWidth="1"/>
    <col min="10249" max="10249" width="10.33203125" style="59" bestFit="1" customWidth="1"/>
    <col min="10250" max="10494" width="9.109375" style="59"/>
    <col min="10495" max="10495" width="3.44140625" style="59" customWidth="1"/>
    <col min="10496" max="10496" width="7.6640625" style="59" customWidth="1"/>
    <col min="10497" max="10497" width="52.33203125" style="59" customWidth="1"/>
    <col min="10498" max="10498" width="14.33203125" style="59" customWidth="1"/>
    <col min="10499" max="10499" width="12.44140625" style="59" customWidth="1"/>
    <col min="10500" max="10500" width="16.44140625" style="59" customWidth="1"/>
    <col min="10501" max="10501" width="13.44140625" style="59" customWidth="1"/>
    <col min="10502" max="10502" width="14.88671875" style="59" customWidth="1"/>
    <col min="10503" max="10503" width="11.109375" style="59" customWidth="1"/>
    <col min="10504" max="10504" width="13.44140625" style="59" bestFit="1" customWidth="1"/>
    <col min="10505" max="10505" width="10.33203125" style="59" bestFit="1" customWidth="1"/>
    <col min="10506" max="10750" width="9.109375" style="59"/>
    <col min="10751" max="10751" width="3.44140625" style="59" customWidth="1"/>
    <col min="10752" max="10752" width="7.6640625" style="59" customWidth="1"/>
    <col min="10753" max="10753" width="52.33203125" style="59" customWidth="1"/>
    <col min="10754" max="10754" width="14.33203125" style="59" customWidth="1"/>
    <col min="10755" max="10755" width="12.44140625" style="59" customWidth="1"/>
    <col min="10756" max="10756" width="16.44140625" style="59" customWidth="1"/>
    <col min="10757" max="10757" width="13.44140625" style="59" customWidth="1"/>
    <col min="10758" max="10758" width="14.88671875" style="59" customWidth="1"/>
    <col min="10759" max="10759" width="11.109375" style="59" customWidth="1"/>
    <col min="10760" max="10760" width="13.44140625" style="59" bestFit="1" customWidth="1"/>
    <col min="10761" max="10761" width="10.33203125" style="59" bestFit="1" customWidth="1"/>
    <col min="10762" max="11006" width="9.109375" style="59"/>
    <col min="11007" max="11007" width="3.44140625" style="59" customWidth="1"/>
    <col min="11008" max="11008" width="7.6640625" style="59" customWidth="1"/>
    <col min="11009" max="11009" width="52.33203125" style="59" customWidth="1"/>
    <col min="11010" max="11010" width="14.33203125" style="59" customWidth="1"/>
    <col min="11011" max="11011" width="12.44140625" style="59" customWidth="1"/>
    <col min="11012" max="11012" width="16.44140625" style="59" customWidth="1"/>
    <col min="11013" max="11013" width="13.44140625" style="59" customWidth="1"/>
    <col min="11014" max="11014" width="14.88671875" style="59" customWidth="1"/>
    <col min="11015" max="11015" width="11.109375" style="59" customWidth="1"/>
    <col min="11016" max="11016" width="13.44140625" style="59" bestFit="1" customWidth="1"/>
    <col min="11017" max="11017" width="10.33203125" style="59" bestFit="1" customWidth="1"/>
    <col min="11018" max="11262" width="9.109375" style="59"/>
    <col min="11263" max="11263" width="3.44140625" style="59" customWidth="1"/>
    <col min="11264" max="11264" width="7.6640625" style="59" customWidth="1"/>
    <col min="11265" max="11265" width="52.33203125" style="59" customWidth="1"/>
    <col min="11266" max="11266" width="14.33203125" style="59" customWidth="1"/>
    <col min="11267" max="11267" width="12.44140625" style="59" customWidth="1"/>
    <col min="11268" max="11268" width="16.44140625" style="59" customWidth="1"/>
    <col min="11269" max="11269" width="13.44140625" style="59" customWidth="1"/>
    <col min="11270" max="11270" width="14.88671875" style="59" customWidth="1"/>
    <col min="11271" max="11271" width="11.109375" style="59" customWidth="1"/>
    <col min="11272" max="11272" width="13.44140625" style="59" bestFit="1" customWidth="1"/>
    <col min="11273" max="11273" width="10.33203125" style="59" bestFit="1" customWidth="1"/>
    <col min="11274" max="11518" width="9.109375" style="59"/>
    <col min="11519" max="11519" width="3.44140625" style="59" customWidth="1"/>
    <col min="11520" max="11520" width="7.6640625" style="59" customWidth="1"/>
    <col min="11521" max="11521" width="52.33203125" style="59" customWidth="1"/>
    <col min="11522" max="11522" width="14.33203125" style="59" customWidth="1"/>
    <col min="11523" max="11523" width="12.44140625" style="59" customWidth="1"/>
    <col min="11524" max="11524" width="16.44140625" style="59" customWidth="1"/>
    <col min="11525" max="11525" width="13.44140625" style="59" customWidth="1"/>
    <col min="11526" max="11526" width="14.88671875" style="59" customWidth="1"/>
    <col min="11527" max="11527" width="11.109375" style="59" customWidth="1"/>
    <col min="11528" max="11528" width="13.44140625" style="59" bestFit="1" customWidth="1"/>
    <col min="11529" max="11529" width="10.33203125" style="59" bestFit="1" customWidth="1"/>
    <col min="11530" max="11774" width="9.109375" style="59"/>
    <col min="11775" max="11775" width="3.44140625" style="59" customWidth="1"/>
    <col min="11776" max="11776" width="7.6640625" style="59" customWidth="1"/>
    <col min="11777" max="11777" width="52.33203125" style="59" customWidth="1"/>
    <col min="11778" max="11778" width="14.33203125" style="59" customWidth="1"/>
    <col min="11779" max="11779" width="12.44140625" style="59" customWidth="1"/>
    <col min="11780" max="11780" width="16.44140625" style="59" customWidth="1"/>
    <col min="11781" max="11781" width="13.44140625" style="59" customWidth="1"/>
    <col min="11782" max="11782" width="14.88671875" style="59" customWidth="1"/>
    <col min="11783" max="11783" width="11.109375" style="59" customWidth="1"/>
    <col min="11784" max="11784" width="13.44140625" style="59" bestFit="1" customWidth="1"/>
    <col min="11785" max="11785" width="10.33203125" style="59" bestFit="1" customWidth="1"/>
    <col min="11786" max="12030" width="9.109375" style="59"/>
    <col min="12031" max="12031" width="3.44140625" style="59" customWidth="1"/>
    <col min="12032" max="12032" width="7.6640625" style="59" customWidth="1"/>
    <col min="12033" max="12033" width="52.33203125" style="59" customWidth="1"/>
    <col min="12034" max="12034" width="14.33203125" style="59" customWidth="1"/>
    <col min="12035" max="12035" width="12.44140625" style="59" customWidth="1"/>
    <col min="12036" max="12036" width="16.44140625" style="59" customWidth="1"/>
    <col min="12037" max="12037" width="13.44140625" style="59" customWidth="1"/>
    <col min="12038" max="12038" width="14.88671875" style="59" customWidth="1"/>
    <col min="12039" max="12039" width="11.109375" style="59" customWidth="1"/>
    <col min="12040" max="12040" width="13.44140625" style="59" bestFit="1" customWidth="1"/>
    <col min="12041" max="12041" width="10.33203125" style="59" bestFit="1" customWidth="1"/>
    <col min="12042" max="12286" width="9.109375" style="59"/>
    <col min="12287" max="12287" width="3.44140625" style="59" customWidth="1"/>
    <col min="12288" max="12288" width="7.6640625" style="59" customWidth="1"/>
    <col min="12289" max="12289" width="52.33203125" style="59" customWidth="1"/>
    <col min="12290" max="12290" width="14.33203125" style="59" customWidth="1"/>
    <col min="12291" max="12291" width="12.44140625" style="59" customWidth="1"/>
    <col min="12292" max="12292" width="16.44140625" style="59" customWidth="1"/>
    <col min="12293" max="12293" width="13.44140625" style="59" customWidth="1"/>
    <col min="12294" max="12294" width="14.88671875" style="59" customWidth="1"/>
    <col min="12295" max="12295" width="11.109375" style="59" customWidth="1"/>
    <col min="12296" max="12296" width="13.44140625" style="59" bestFit="1" customWidth="1"/>
    <col min="12297" max="12297" width="10.33203125" style="59" bestFit="1" customWidth="1"/>
    <col min="12298" max="12542" width="9.109375" style="59"/>
    <col min="12543" max="12543" width="3.44140625" style="59" customWidth="1"/>
    <col min="12544" max="12544" width="7.6640625" style="59" customWidth="1"/>
    <col min="12545" max="12545" width="52.33203125" style="59" customWidth="1"/>
    <col min="12546" max="12546" width="14.33203125" style="59" customWidth="1"/>
    <col min="12547" max="12547" width="12.44140625" style="59" customWidth="1"/>
    <col min="12548" max="12548" width="16.44140625" style="59" customWidth="1"/>
    <col min="12549" max="12549" width="13.44140625" style="59" customWidth="1"/>
    <col min="12550" max="12550" width="14.88671875" style="59" customWidth="1"/>
    <col min="12551" max="12551" width="11.109375" style="59" customWidth="1"/>
    <col min="12552" max="12552" width="13.44140625" style="59" bestFit="1" customWidth="1"/>
    <col min="12553" max="12553" width="10.33203125" style="59" bestFit="1" customWidth="1"/>
    <col min="12554" max="12798" width="9.109375" style="59"/>
    <col min="12799" max="12799" width="3.44140625" style="59" customWidth="1"/>
    <col min="12800" max="12800" width="7.6640625" style="59" customWidth="1"/>
    <col min="12801" max="12801" width="52.33203125" style="59" customWidth="1"/>
    <col min="12802" max="12802" width="14.33203125" style="59" customWidth="1"/>
    <col min="12803" max="12803" width="12.44140625" style="59" customWidth="1"/>
    <col min="12804" max="12804" width="16.44140625" style="59" customWidth="1"/>
    <col min="12805" max="12805" width="13.44140625" style="59" customWidth="1"/>
    <col min="12806" max="12806" width="14.88671875" style="59" customWidth="1"/>
    <col min="12807" max="12807" width="11.109375" style="59" customWidth="1"/>
    <col min="12808" max="12808" width="13.44140625" style="59" bestFit="1" customWidth="1"/>
    <col min="12809" max="12809" width="10.33203125" style="59" bestFit="1" customWidth="1"/>
    <col min="12810" max="13054" width="9.109375" style="59"/>
    <col min="13055" max="13055" width="3.44140625" style="59" customWidth="1"/>
    <col min="13056" max="13056" width="7.6640625" style="59" customWidth="1"/>
    <col min="13057" max="13057" width="52.33203125" style="59" customWidth="1"/>
    <col min="13058" max="13058" width="14.33203125" style="59" customWidth="1"/>
    <col min="13059" max="13059" width="12.44140625" style="59" customWidth="1"/>
    <col min="13060" max="13060" width="16.44140625" style="59" customWidth="1"/>
    <col min="13061" max="13061" width="13.44140625" style="59" customWidth="1"/>
    <col min="13062" max="13062" width="14.88671875" style="59" customWidth="1"/>
    <col min="13063" max="13063" width="11.109375" style="59" customWidth="1"/>
    <col min="13064" max="13064" width="13.44140625" style="59" bestFit="1" customWidth="1"/>
    <col min="13065" max="13065" width="10.33203125" style="59" bestFit="1" customWidth="1"/>
    <col min="13066" max="13310" width="9.109375" style="59"/>
    <col min="13311" max="13311" width="3.44140625" style="59" customWidth="1"/>
    <col min="13312" max="13312" width="7.6640625" style="59" customWidth="1"/>
    <col min="13313" max="13313" width="52.33203125" style="59" customWidth="1"/>
    <col min="13314" max="13314" width="14.33203125" style="59" customWidth="1"/>
    <col min="13315" max="13315" width="12.44140625" style="59" customWidth="1"/>
    <col min="13316" max="13316" width="16.44140625" style="59" customWidth="1"/>
    <col min="13317" max="13317" width="13.44140625" style="59" customWidth="1"/>
    <col min="13318" max="13318" width="14.88671875" style="59" customWidth="1"/>
    <col min="13319" max="13319" width="11.109375" style="59" customWidth="1"/>
    <col min="13320" max="13320" width="13.44140625" style="59" bestFit="1" customWidth="1"/>
    <col min="13321" max="13321" width="10.33203125" style="59" bestFit="1" customWidth="1"/>
    <col min="13322" max="13566" width="9.109375" style="59"/>
    <col min="13567" max="13567" width="3.44140625" style="59" customWidth="1"/>
    <col min="13568" max="13568" width="7.6640625" style="59" customWidth="1"/>
    <col min="13569" max="13569" width="52.33203125" style="59" customWidth="1"/>
    <col min="13570" max="13570" width="14.33203125" style="59" customWidth="1"/>
    <col min="13571" max="13571" width="12.44140625" style="59" customWidth="1"/>
    <col min="13572" max="13572" width="16.44140625" style="59" customWidth="1"/>
    <col min="13573" max="13573" width="13.44140625" style="59" customWidth="1"/>
    <col min="13574" max="13574" width="14.88671875" style="59" customWidth="1"/>
    <col min="13575" max="13575" width="11.109375" style="59" customWidth="1"/>
    <col min="13576" max="13576" width="13.44140625" style="59" bestFit="1" customWidth="1"/>
    <col min="13577" max="13577" width="10.33203125" style="59" bestFit="1" customWidth="1"/>
    <col min="13578" max="13822" width="9.109375" style="59"/>
    <col min="13823" max="13823" width="3.44140625" style="59" customWidth="1"/>
    <col min="13824" max="13824" width="7.6640625" style="59" customWidth="1"/>
    <col min="13825" max="13825" width="52.33203125" style="59" customWidth="1"/>
    <col min="13826" max="13826" width="14.33203125" style="59" customWidth="1"/>
    <col min="13827" max="13827" width="12.44140625" style="59" customWidth="1"/>
    <col min="13828" max="13828" width="16.44140625" style="59" customWidth="1"/>
    <col min="13829" max="13829" width="13.44140625" style="59" customWidth="1"/>
    <col min="13830" max="13830" width="14.88671875" style="59" customWidth="1"/>
    <col min="13831" max="13831" width="11.109375" style="59" customWidth="1"/>
    <col min="13832" max="13832" width="13.44140625" style="59" bestFit="1" customWidth="1"/>
    <col min="13833" max="13833" width="10.33203125" style="59" bestFit="1" customWidth="1"/>
    <col min="13834" max="14078" width="9.109375" style="59"/>
    <col min="14079" max="14079" width="3.44140625" style="59" customWidth="1"/>
    <col min="14080" max="14080" width="7.6640625" style="59" customWidth="1"/>
    <col min="14081" max="14081" width="52.33203125" style="59" customWidth="1"/>
    <col min="14082" max="14082" width="14.33203125" style="59" customWidth="1"/>
    <col min="14083" max="14083" width="12.44140625" style="59" customWidth="1"/>
    <col min="14084" max="14084" width="16.44140625" style="59" customWidth="1"/>
    <col min="14085" max="14085" width="13.44140625" style="59" customWidth="1"/>
    <col min="14086" max="14086" width="14.88671875" style="59" customWidth="1"/>
    <col min="14087" max="14087" width="11.109375" style="59" customWidth="1"/>
    <col min="14088" max="14088" width="13.44140625" style="59" bestFit="1" customWidth="1"/>
    <col min="14089" max="14089" width="10.33203125" style="59" bestFit="1" customWidth="1"/>
    <col min="14090" max="14334" width="9.109375" style="59"/>
    <col min="14335" max="14335" width="3.44140625" style="59" customWidth="1"/>
    <col min="14336" max="14336" width="7.6640625" style="59" customWidth="1"/>
    <col min="14337" max="14337" width="52.33203125" style="59" customWidth="1"/>
    <col min="14338" max="14338" width="14.33203125" style="59" customWidth="1"/>
    <col min="14339" max="14339" width="12.44140625" style="59" customWidth="1"/>
    <col min="14340" max="14340" width="16.44140625" style="59" customWidth="1"/>
    <col min="14341" max="14341" width="13.44140625" style="59" customWidth="1"/>
    <col min="14342" max="14342" width="14.88671875" style="59" customWidth="1"/>
    <col min="14343" max="14343" width="11.109375" style="59" customWidth="1"/>
    <col min="14344" max="14344" width="13.44140625" style="59" bestFit="1" customWidth="1"/>
    <col min="14345" max="14345" width="10.33203125" style="59" bestFit="1" customWidth="1"/>
    <col min="14346" max="14590" width="9.109375" style="59"/>
    <col min="14591" max="14591" width="3.44140625" style="59" customWidth="1"/>
    <col min="14592" max="14592" width="7.6640625" style="59" customWidth="1"/>
    <col min="14593" max="14593" width="52.33203125" style="59" customWidth="1"/>
    <col min="14594" max="14594" width="14.33203125" style="59" customWidth="1"/>
    <col min="14595" max="14595" width="12.44140625" style="59" customWidth="1"/>
    <col min="14596" max="14596" width="16.44140625" style="59" customWidth="1"/>
    <col min="14597" max="14597" width="13.44140625" style="59" customWidth="1"/>
    <col min="14598" max="14598" width="14.88671875" style="59" customWidth="1"/>
    <col min="14599" max="14599" width="11.109375" style="59" customWidth="1"/>
    <col min="14600" max="14600" width="13.44140625" style="59" bestFit="1" customWidth="1"/>
    <col min="14601" max="14601" width="10.33203125" style="59" bestFit="1" customWidth="1"/>
    <col min="14602" max="14846" width="9.109375" style="59"/>
    <col min="14847" max="14847" width="3.44140625" style="59" customWidth="1"/>
    <col min="14848" max="14848" width="7.6640625" style="59" customWidth="1"/>
    <col min="14849" max="14849" width="52.33203125" style="59" customWidth="1"/>
    <col min="14850" max="14850" width="14.33203125" style="59" customWidth="1"/>
    <col min="14851" max="14851" width="12.44140625" style="59" customWidth="1"/>
    <col min="14852" max="14852" width="16.44140625" style="59" customWidth="1"/>
    <col min="14853" max="14853" width="13.44140625" style="59" customWidth="1"/>
    <col min="14854" max="14854" width="14.88671875" style="59" customWidth="1"/>
    <col min="14855" max="14855" width="11.109375" style="59" customWidth="1"/>
    <col min="14856" max="14856" width="13.44140625" style="59" bestFit="1" customWidth="1"/>
    <col min="14857" max="14857" width="10.33203125" style="59" bestFit="1" customWidth="1"/>
    <col min="14858" max="15102" width="9.109375" style="59"/>
    <col min="15103" max="15103" width="3.44140625" style="59" customWidth="1"/>
    <col min="15104" max="15104" width="7.6640625" style="59" customWidth="1"/>
    <col min="15105" max="15105" width="52.33203125" style="59" customWidth="1"/>
    <col min="15106" max="15106" width="14.33203125" style="59" customWidth="1"/>
    <col min="15107" max="15107" width="12.44140625" style="59" customWidth="1"/>
    <col min="15108" max="15108" width="16.44140625" style="59" customWidth="1"/>
    <col min="15109" max="15109" width="13.44140625" style="59" customWidth="1"/>
    <col min="15110" max="15110" width="14.88671875" style="59" customWidth="1"/>
    <col min="15111" max="15111" width="11.109375" style="59" customWidth="1"/>
    <col min="15112" max="15112" width="13.44140625" style="59" bestFit="1" customWidth="1"/>
    <col min="15113" max="15113" width="10.33203125" style="59" bestFit="1" customWidth="1"/>
    <col min="15114" max="15358" width="9.109375" style="59"/>
    <col min="15359" max="15359" width="3.44140625" style="59" customWidth="1"/>
    <col min="15360" max="15360" width="7.6640625" style="59" customWidth="1"/>
    <col min="15361" max="15361" width="52.33203125" style="59" customWidth="1"/>
    <col min="15362" max="15362" width="14.33203125" style="59" customWidth="1"/>
    <col min="15363" max="15363" width="12.44140625" style="59" customWidth="1"/>
    <col min="15364" max="15364" width="16.44140625" style="59" customWidth="1"/>
    <col min="15365" max="15365" width="13.44140625" style="59" customWidth="1"/>
    <col min="15366" max="15366" width="14.88671875" style="59" customWidth="1"/>
    <col min="15367" max="15367" width="11.109375" style="59" customWidth="1"/>
    <col min="15368" max="15368" width="13.44140625" style="59" bestFit="1" customWidth="1"/>
    <col min="15369" max="15369" width="10.33203125" style="59" bestFit="1" customWidth="1"/>
    <col min="15370" max="15614" width="9.109375" style="59"/>
    <col min="15615" max="15615" width="3.44140625" style="59" customWidth="1"/>
    <col min="15616" max="15616" width="7.6640625" style="59" customWidth="1"/>
    <col min="15617" max="15617" width="52.33203125" style="59" customWidth="1"/>
    <col min="15618" max="15618" width="14.33203125" style="59" customWidth="1"/>
    <col min="15619" max="15619" width="12.44140625" style="59" customWidth="1"/>
    <col min="15620" max="15620" width="16.44140625" style="59" customWidth="1"/>
    <col min="15621" max="15621" width="13.44140625" style="59" customWidth="1"/>
    <col min="15622" max="15622" width="14.88671875" style="59" customWidth="1"/>
    <col min="15623" max="15623" width="11.109375" style="59" customWidth="1"/>
    <col min="15624" max="15624" width="13.44140625" style="59" bestFit="1" customWidth="1"/>
    <col min="15625" max="15625" width="10.33203125" style="59" bestFit="1" customWidth="1"/>
    <col min="15626" max="15870" width="9.109375" style="59"/>
    <col min="15871" max="15871" width="3.44140625" style="59" customWidth="1"/>
    <col min="15872" max="15872" width="7.6640625" style="59" customWidth="1"/>
    <col min="15873" max="15873" width="52.33203125" style="59" customWidth="1"/>
    <col min="15874" max="15874" width="14.33203125" style="59" customWidth="1"/>
    <col min="15875" max="15875" width="12.44140625" style="59" customWidth="1"/>
    <col min="15876" max="15876" width="16.44140625" style="59" customWidth="1"/>
    <col min="15877" max="15877" width="13.44140625" style="59" customWidth="1"/>
    <col min="15878" max="15878" width="14.88671875" style="59" customWidth="1"/>
    <col min="15879" max="15879" width="11.109375" style="59" customWidth="1"/>
    <col min="15880" max="15880" width="13.44140625" style="59" bestFit="1" customWidth="1"/>
    <col min="15881" max="15881" width="10.33203125" style="59" bestFit="1" customWidth="1"/>
    <col min="15882" max="16126" width="9.109375" style="59"/>
    <col min="16127" max="16127" width="3.44140625" style="59" customWidth="1"/>
    <col min="16128" max="16128" width="7.6640625" style="59" customWidth="1"/>
    <col min="16129" max="16129" width="52.33203125" style="59" customWidth="1"/>
    <col min="16130" max="16130" width="14.33203125" style="59" customWidth="1"/>
    <col min="16131" max="16131" width="12.44140625" style="59" customWidth="1"/>
    <col min="16132" max="16132" width="16.44140625" style="59" customWidth="1"/>
    <col min="16133" max="16133" width="13.44140625" style="59" customWidth="1"/>
    <col min="16134" max="16134" width="14.88671875" style="59" customWidth="1"/>
    <col min="16135" max="16135" width="11.109375" style="59" customWidth="1"/>
    <col min="16136" max="16136" width="13.44140625" style="59" bestFit="1" customWidth="1"/>
    <col min="16137" max="16137" width="10.33203125" style="59" bestFit="1" customWidth="1"/>
    <col min="16138" max="16384" width="9.109375" style="59"/>
  </cols>
  <sheetData>
    <row r="1" spans="1:12">
      <c r="A1" s="656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56"/>
      <c r="C1" s="656"/>
      <c r="D1" s="656"/>
      <c r="E1" s="656"/>
      <c r="F1" s="656"/>
      <c r="G1" s="656"/>
      <c r="H1" s="656"/>
      <c r="I1" s="656"/>
    </row>
    <row r="2" spans="1:12">
      <c r="A2" s="58"/>
      <c r="B2" s="657" t="s">
        <v>375</v>
      </c>
      <c r="C2" s="657"/>
      <c r="D2" s="30" t="str">
        <f>B!B16</f>
        <v>B-6</v>
      </c>
      <c r="E2" s="30"/>
      <c r="F2" s="30"/>
      <c r="G2" s="30"/>
      <c r="H2" s="30"/>
      <c r="I2" s="30"/>
    </row>
    <row r="3" spans="1:12" ht="15.75" customHeight="1">
      <c r="A3" s="725" t="str">
        <f>B!C16</f>
        <v>საქლორატოროს შენობა</v>
      </c>
      <c r="B3" s="725"/>
      <c r="C3" s="725"/>
      <c r="D3" s="725"/>
      <c r="E3" s="725"/>
      <c r="F3" s="725"/>
      <c r="G3" s="725"/>
      <c r="H3" s="725"/>
      <c r="I3" s="725"/>
    </row>
    <row r="4" spans="1:12">
      <c r="A4" s="58"/>
      <c r="B4" s="659"/>
      <c r="C4" s="659"/>
      <c r="D4" s="659"/>
      <c r="E4" s="659"/>
      <c r="F4" s="659"/>
      <c r="G4" s="33"/>
      <c r="H4" s="33"/>
      <c r="I4" s="33"/>
    </row>
    <row r="5" spans="1:12" ht="15.75" customHeight="1">
      <c r="A5" s="60"/>
      <c r="B5" s="60"/>
      <c r="C5" s="60"/>
      <c r="D5" s="60"/>
      <c r="E5" s="60"/>
      <c r="F5" s="60"/>
      <c r="G5" s="60"/>
      <c r="H5" s="660"/>
      <c r="I5" s="660"/>
    </row>
    <row r="6" spans="1:12">
      <c r="A6" s="650" t="s">
        <v>82</v>
      </c>
      <c r="B6" s="651"/>
      <c r="C6" s="662" t="s">
        <v>73</v>
      </c>
      <c r="D6" s="661" t="s">
        <v>74</v>
      </c>
      <c r="E6" s="661"/>
      <c r="F6" s="661"/>
      <c r="G6" s="661"/>
      <c r="H6" s="661"/>
      <c r="I6" s="662" t="s">
        <v>75</v>
      </c>
    </row>
    <row r="7" spans="1:12">
      <c r="A7" s="652"/>
      <c r="B7" s="653"/>
      <c r="C7" s="662"/>
      <c r="D7" s="662" t="s">
        <v>76</v>
      </c>
      <c r="E7" s="662" t="s">
        <v>77</v>
      </c>
      <c r="F7" s="662" t="s">
        <v>78</v>
      </c>
      <c r="G7" s="662" t="s">
        <v>79</v>
      </c>
      <c r="H7" s="661" t="s">
        <v>80</v>
      </c>
      <c r="I7" s="662"/>
    </row>
    <row r="8" spans="1:12">
      <c r="A8" s="654"/>
      <c r="B8" s="655"/>
      <c r="C8" s="662"/>
      <c r="D8" s="662"/>
      <c r="E8" s="662"/>
      <c r="F8" s="662"/>
      <c r="G8" s="662"/>
      <c r="H8" s="661"/>
      <c r="I8" s="662"/>
    </row>
    <row r="9" spans="1:12">
      <c r="A9" s="648">
        <v>1</v>
      </c>
      <c r="B9" s="649"/>
      <c r="C9" s="182">
        <v>2</v>
      </c>
      <c r="D9" s="183">
        <v>3</v>
      </c>
      <c r="E9" s="182">
        <v>4</v>
      </c>
      <c r="F9" s="183">
        <v>5</v>
      </c>
      <c r="G9" s="182">
        <v>6</v>
      </c>
      <c r="H9" s="183">
        <v>7</v>
      </c>
      <c r="I9" s="182">
        <v>8</v>
      </c>
    </row>
    <row r="10" spans="1:12" s="62" customFormat="1">
      <c r="A10" s="61">
        <v>1</v>
      </c>
      <c r="B10" s="34" t="s">
        <v>710</v>
      </c>
      <c r="C10" s="269" t="s">
        <v>377</v>
      </c>
      <c r="D10" s="864">
        <f>'B-6.1'!M226</f>
        <v>0</v>
      </c>
      <c r="E10" s="865"/>
      <c r="F10" s="865"/>
      <c r="G10" s="866"/>
      <c r="H10" s="865">
        <f t="shared" ref="H10:H12" si="0">D10</f>
        <v>0</v>
      </c>
      <c r="I10" s="743"/>
    </row>
    <row r="11" spans="1:12" s="62" customFormat="1">
      <c r="A11" s="61">
        <v>2</v>
      </c>
      <c r="B11" s="34" t="s">
        <v>711</v>
      </c>
      <c r="C11" s="269" t="s">
        <v>379</v>
      </c>
      <c r="D11" s="864">
        <f>'B-6.2'!M99</f>
        <v>0</v>
      </c>
      <c r="E11" s="865"/>
      <c r="F11" s="865"/>
      <c r="G11" s="866"/>
      <c r="H11" s="865">
        <f t="shared" si="0"/>
        <v>0</v>
      </c>
      <c r="I11" s="743"/>
    </row>
    <row r="12" spans="1:12" s="62" customFormat="1">
      <c r="A12" s="61">
        <v>3</v>
      </c>
      <c r="B12" s="34" t="s">
        <v>712</v>
      </c>
      <c r="C12" s="269" t="s">
        <v>380</v>
      </c>
      <c r="D12" s="867">
        <f>'B-6.3'!M66</f>
        <v>0</v>
      </c>
      <c r="E12" s="865"/>
      <c r="F12" s="865"/>
      <c r="G12" s="866"/>
      <c r="H12" s="865">
        <f t="shared" si="0"/>
        <v>0</v>
      </c>
      <c r="I12" s="743"/>
    </row>
    <row r="13" spans="1:12" s="62" customFormat="1">
      <c r="A13" s="61"/>
      <c r="B13" s="270"/>
      <c r="C13" s="269" t="s">
        <v>381</v>
      </c>
      <c r="D13" s="865">
        <f>SUM(D10:D12)</f>
        <v>0</v>
      </c>
      <c r="E13" s="865"/>
      <c r="F13" s="865"/>
      <c r="G13" s="866"/>
      <c r="H13" s="865">
        <f>SUM(H10:H12)</f>
        <v>0</v>
      </c>
      <c r="I13" s="743"/>
      <c r="L13" s="271"/>
    </row>
    <row r="14" spans="1:12">
      <c r="C14" s="63"/>
      <c r="D14" s="752"/>
      <c r="E14" s="752"/>
      <c r="F14" s="753"/>
      <c r="G14" s="754"/>
      <c r="H14" s="755"/>
      <c r="I14" s="756"/>
    </row>
    <row r="15" spans="1:12" s="64" customFormat="1" ht="15">
      <c r="B15" s="758"/>
      <c r="C15" s="861"/>
      <c r="D15" s="862"/>
      <c r="E15" s="862"/>
      <c r="F15" s="757"/>
      <c r="G15" s="757"/>
      <c r="H15" s="757"/>
      <c r="I15" s="757"/>
      <c r="J15" s="65"/>
      <c r="K15" s="66"/>
    </row>
    <row r="16" spans="1:12" s="64" customFormat="1" ht="15">
      <c r="B16" s="757"/>
      <c r="C16" s="861"/>
      <c r="D16" s="861"/>
      <c r="E16" s="861"/>
      <c r="F16" s="757"/>
      <c r="G16" s="757"/>
      <c r="H16" s="757"/>
      <c r="I16" s="757"/>
    </row>
    <row r="17" spans="2:9" s="64" customFormat="1" ht="15">
      <c r="B17" s="757"/>
      <c r="C17" s="861"/>
      <c r="D17" s="863"/>
      <c r="E17" s="863"/>
      <c r="F17" s="757"/>
      <c r="G17" s="757"/>
      <c r="H17" s="757"/>
      <c r="I17" s="757"/>
    </row>
    <row r="18" spans="2:9" s="65" customFormat="1" ht="15">
      <c r="C18" s="67"/>
      <c r="I18" s="68"/>
    </row>
    <row r="19" spans="2:9">
      <c r="D19" s="69"/>
      <c r="E19" s="59"/>
      <c r="F19" s="59"/>
      <c r="G19" s="59"/>
    </row>
    <row r="20" spans="2:9">
      <c r="D20" s="69"/>
      <c r="E20" s="59"/>
      <c r="F20" s="59"/>
      <c r="G20" s="59"/>
    </row>
    <row r="33" spans="2:8">
      <c r="D33" s="18"/>
      <c r="E33" s="19"/>
      <c r="F33" s="20"/>
      <c r="G33" s="21"/>
      <c r="H33" s="22"/>
    </row>
    <row r="34" spans="2:8">
      <c r="D34" s="23"/>
      <c r="E34" s="19"/>
      <c r="F34" s="24"/>
      <c r="G34" s="25"/>
      <c r="H34" s="26"/>
    </row>
    <row r="35" spans="2:8">
      <c r="B35" s="70"/>
      <c r="D35" s="23"/>
      <c r="E35" s="19"/>
      <c r="F35" s="24"/>
      <c r="G35" s="25"/>
      <c r="H35" s="26"/>
    </row>
    <row r="36" spans="2:8">
      <c r="D36" s="23"/>
      <c r="E36" s="19"/>
      <c r="F36" s="24"/>
      <c r="G36" s="25"/>
      <c r="H36" s="26"/>
    </row>
    <row r="37" spans="2:8">
      <c r="B37" s="70"/>
      <c r="D37" s="23"/>
      <c r="E37" s="19"/>
      <c r="F37" s="24"/>
      <c r="G37" s="25"/>
      <c r="H37" s="26"/>
    </row>
    <row r="38" spans="2:8">
      <c r="D38" s="23"/>
      <c r="E38" s="19"/>
      <c r="F38" s="24"/>
      <c r="G38" s="25"/>
      <c r="H38" s="26"/>
    </row>
    <row r="39" spans="2:8">
      <c r="D39" s="23"/>
      <c r="E39" s="19"/>
      <c r="F39" s="24"/>
      <c r="G39" s="25"/>
      <c r="H39" s="26"/>
    </row>
    <row r="40" spans="2:8">
      <c r="D40" s="23"/>
      <c r="E40" s="19"/>
      <c r="F40" s="24"/>
      <c r="G40" s="25"/>
      <c r="H40" s="26"/>
    </row>
    <row r="41" spans="2:8">
      <c r="D41" s="23"/>
      <c r="E41" s="19"/>
      <c r="F41" s="24"/>
      <c r="G41" s="25"/>
      <c r="H41" s="26"/>
    </row>
    <row r="42" spans="2:8">
      <c r="B42" s="70"/>
      <c r="D42" s="23"/>
      <c r="E42" s="19"/>
      <c r="F42" s="24"/>
      <c r="G42" s="25"/>
      <c r="H42" s="26"/>
    </row>
    <row r="43" spans="2:8">
      <c r="B43" s="70"/>
      <c r="D43" s="23"/>
      <c r="E43" s="19"/>
      <c r="F43" s="24"/>
      <c r="G43" s="25"/>
      <c r="H43" s="26"/>
    </row>
    <row r="44" spans="2:8">
      <c r="B44" s="70"/>
      <c r="D44" s="23"/>
      <c r="E44" s="19"/>
      <c r="F44" s="24"/>
      <c r="G44" s="25"/>
      <c r="H44" s="26"/>
    </row>
    <row r="45" spans="2:8">
      <c r="D45" s="23"/>
      <c r="E45" s="19"/>
      <c r="F45" s="24"/>
      <c r="G45" s="25"/>
      <c r="H45" s="26"/>
    </row>
    <row r="46" spans="2:8">
      <c r="D46" s="23"/>
      <c r="E46" s="19"/>
      <c r="F46" s="24"/>
      <c r="G46" s="25"/>
      <c r="H46" s="26"/>
    </row>
    <row r="47" spans="2:8">
      <c r="D47" s="23"/>
      <c r="E47" s="19"/>
      <c r="F47" s="24"/>
      <c r="G47" s="25"/>
      <c r="H47" s="26"/>
    </row>
    <row r="48" spans="2:8">
      <c r="B48" s="70"/>
      <c r="D48" s="23"/>
      <c r="E48" s="19"/>
      <c r="F48" s="24"/>
      <c r="G48" s="25"/>
      <c r="H48" s="26"/>
    </row>
    <row r="49" spans="2:8">
      <c r="D49" s="23"/>
      <c r="E49" s="19"/>
      <c r="F49" s="24"/>
      <c r="G49" s="25"/>
      <c r="H49" s="26"/>
    </row>
    <row r="50" spans="2:8">
      <c r="D50" s="23"/>
      <c r="E50" s="19"/>
      <c r="F50" s="24"/>
      <c r="G50" s="25"/>
      <c r="H50" s="26"/>
    </row>
    <row r="51" spans="2:8">
      <c r="D51" s="23"/>
      <c r="E51" s="19"/>
      <c r="F51" s="24"/>
      <c r="G51" s="25"/>
      <c r="H51" s="26"/>
    </row>
    <row r="52" spans="2:8">
      <c r="D52" s="23"/>
      <c r="E52" s="19"/>
      <c r="F52" s="24"/>
      <c r="G52" s="25"/>
      <c r="H52" s="26"/>
    </row>
    <row r="53" spans="2:8">
      <c r="D53" s="23"/>
      <c r="E53" s="19"/>
      <c r="F53" s="24"/>
      <c r="G53" s="25"/>
      <c r="H53" s="26"/>
    </row>
    <row r="54" spans="2:8">
      <c r="D54" s="23"/>
      <c r="E54" s="19"/>
      <c r="F54" s="24"/>
      <c r="G54" s="25"/>
      <c r="H54" s="26"/>
    </row>
    <row r="55" spans="2:8">
      <c r="B55" s="71"/>
      <c r="D55" s="23"/>
      <c r="E55" s="19"/>
      <c r="F55" s="24"/>
      <c r="G55" s="25"/>
      <c r="H55" s="26"/>
    </row>
    <row r="56" spans="2:8">
      <c r="D56" s="23"/>
      <c r="E56" s="19"/>
      <c r="F56" s="24"/>
      <c r="G56" s="25"/>
      <c r="H56" s="26"/>
    </row>
    <row r="57" spans="2:8">
      <c r="D57" s="23"/>
      <c r="E57" s="19"/>
      <c r="F57" s="24"/>
      <c r="G57" s="25"/>
      <c r="H57" s="26"/>
    </row>
    <row r="58" spans="2:8">
      <c r="D58" s="23"/>
      <c r="E58" s="19"/>
      <c r="F58" s="24"/>
      <c r="G58" s="25"/>
      <c r="H58" s="26"/>
    </row>
    <row r="59" spans="2:8">
      <c r="D59" s="23"/>
      <c r="E59" s="19"/>
      <c r="F59" s="24"/>
      <c r="G59" s="25"/>
      <c r="H59" s="26"/>
    </row>
    <row r="60" spans="2:8">
      <c r="D60" s="23"/>
      <c r="E60" s="19"/>
      <c r="F60" s="24"/>
      <c r="G60" s="25"/>
      <c r="H60" s="26"/>
    </row>
    <row r="61" spans="2:8">
      <c r="D61" s="23"/>
      <c r="E61" s="19"/>
      <c r="F61" s="24"/>
      <c r="G61" s="25"/>
      <c r="H61" s="26"/>
    </row>
  </sheetData>
  <sheetProtection algorithmName="SHA-512" hashValue="adQRZSLHmKOzIh6lMVVCXnvk8YJdLCQ1exPJOn+zcI2gTQ4F2LtnKjyVFCDJrTYfQtf6ujBGCc74gIkvucDryQ==" saltValue="tMopXktZfIdy4VdhkQbx7Q==" spinCount="100000" sheet="1" objects="1" scenarios="1"/>
  <mergeCells count="16">
    <mergeCell ref="D15:E15"/>
    <mergeCell ref="A1:I1"/>
    <mergeCell ref="B2:C2"/>
    <mergeCell ref="A3:I3"/>
    <mergeCell ref="B4:F4"/>
    <mergeCell ref="H5:I5"/>
    <mergeCell ref="A6:B8"/>
    <mergeCell ref="C6:C8"/>
    <mergeCell ref="D6:H6"/>
    <mergeCell ref="I6:I8"/>
    <mergeCell ref="D7:D8"/>
    <mergeCell ref="E7:E8"/>
    <mergeCell ref="F7:F8"/>
    <mergeCell ref="G7:G8"/>
    <mergeCell ref="H7:H8"/>
    <mergeCell ref="A9:B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horizontalDpi="1200" verticalDpi="1200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P230"/>
  <sheetViews>
    <sheetView view="pageBreakPreview" topLeftCell="A211" zoomScale="85" zoomScaleNormal="100" zoomScaleSheetLayoutView="85" workbookViewId="0">
      <selection activeCell="M228" sqref="G11:M228"/>
    </sheetView>
  </sheetViews>
  <sheetFormatPr defaultColWidth="7" defaultRowHeight="15"/>
  <cols>
    <col min="1" max="1" width="3.88671875" style="464" customWidth="1"/>
    <col min="2" max="2" width="11.88671875" style="465" customWidth="1"/>
    <col min="3" max="3" width="74" style="465" customWidth="1"/>
    <col min="4" max="7" width="10.88671875" style="466" customWidth="1"/>
    <col min="8" max="8" width="10.88671875" style="467" customWidth="1"/>
    <col min="9" max="9" width="10.88671875" style="466" customWidth="1"/>
    <col min="10" max="10" width="10.88671875" style="467" customWidth="1"/>
    <col min="11" max="11" width="10.88671875" style="466" customWidth="1"/>
    <col min="12" max="13" width="10.88671875" style="467" customWidth="1"/>
    <col min="14" max="123" width="9.109375" style="313" customWidth="1"/>
    <col min="124" max="124" width="2.5546875" style="313" customWidth="1"/>
    <col min="125" max="125" width="9.109375" style="313" customWidth="1"/>
    <col min="126" max="126" width="47.88671875" style="313" customWidth="1"/>
    <col min="127" max="127" width="6.6640625" style="313" customWidth="1"/>
    <col min="128" max="128" width="7.44140625" style="313" customWidth="1"/>
    <col min="129" max="129" width="7" style="313"/>
    <col min="130" max="130" width="8.5546875" style="313" customWidth="1"/>
    <col min="131" max="131" width="12" style="313" customWidth="1"/>
    <col min="132" max="132" width="4.6640625" style="313" customWidth="1"/>
    <col min="133" max="133" width="9.109375" style="313" customWidth="1"/>
    <col min="134" max="134" width="11.6640625" style="313" customWidth="1"/>
    <col min="135" max="246" width="7" style="313"/>
    <col min="247" max="247" width="3.88671875" style="313" customWidth="1"/>
    <col min="248" max="248" width="12" style="313" customWidth="1"/>
    <col min="249" max="249" width="64.109375" style="313" customWidth="1"/>
    <col min="250" max="250" width="9.44140625" style="313" customWidth="1"/>
    <col min="251" max="251" width="9.109375" style="313" customWidth="1"/>
    <col min="252" max="252" width="11.109375" style="313" bestFit="1" customWidth="1"/>
    <col min="253" max="253" width="9.109375" style="313" customWidth="1"/>
    <col min="254" max="254" width="10.44140625" style="313" customWidth="1"/>
    <col min="255" max="255" width="9.109375" style="313" customWidth="1"/>
    <col min="256" max="256" width="10.6640625" style="313" customWidth="1"/>
    <col min="257" max="257" width="9.109375" style="313" customWidth="1"/>
    <col min="258" max="258" width="10.109375" style="313" customWidth="1"/>
    <col min="259" max="259" width="11.109375" style="313" customWidth="1"/>
    <col min="260" max="379" width="9.109375" style="313" customWidth="1"/>
    <col min="380" max="380" width="2.5546875" style="313" customWidth="1"/>
    <col min="381" max="381" width="9.109375" style="313" customWidth="1"/>
    <col min="382" max="382" width="47.88671875" style="313" customWidth="1"/>
    <col min="383" max="383" width="6.6640625" style="313" customWidth="1"/>
    <col min="384" max="384" width="7.44140625" style="313" customWidth="1"/>
    <col min="385" max="385" width="7" style="313"/>
    <col min="386" max="386" width="8.5546875" style="313" customWidth="1"/>
    <col min="387" max="387" width="12" style="313" customWidth="1"/>
    <col min="388" max="388" width="4.6640625" style="313" customWidth="1"/>
    <col min="389" max="389" width="9.109375" style="313" customWidth="1"/>
    <col min="390" max="390" width="11.6640625" style="313" customWidth="1"/>
    <col min="391" max="502" width="7" style="313"/>
    <col min="503" max="503" width="3.88671875" style="313" customWidth="1"/>
    <col min="504" max="504" width="12" style="313" customWidth="1"/>
    <col min="505" max="505" width="64.109375" style="313" customWidth="1"/>
    <col min="506" max="506" width="9.44140625" style="313" customWidth="1"/>
    <col min="507" max="507" width="9.109375" style="313" customWidth="1"/>
    <col min="508" max="508" width="11.109375" style="313" bestFit="1" customWidth="1"/>
    <col min="509" max="509" width="9.109375" style="313" customWidth="1"/>
    <col min="510" max="510" width="10.44140625" style="313" customWidth="1"/>
    <col min="511" max="511" width="9.109375" style="313" customWidth="1"/>
    <col min="512" max="512" width="10.6640625" style="313" customWidth="1"/>
    <col min="513" max="513" width="9.109375" style="313" customWidth="1"/>
    <col min="514" max="514" width="10.109375" style="313" customWidth="1"/>
    <col min="515" max="515" width="11.109375" style="313" customWidth="1"/>
    <col min="516" max="635" width="9.109375" style="313" customWidth="1"/>
    <col min="636" max="636" width="2.5546875" style="313" customWidth="1"/>
    <col min="637" max="637" width="9.109375" style="313" customWidth="1"/>
    <col min="638" max="638" width="47.88671875" style="313" customWidth="1"/>
    <col min="639" max="639" width="6.6640625" style="313" customWidth="1"/>
    <col min="640" max="640" width="7.44140625" style="313" customWidth="1"/>
    <col min="641" max="641" width="7" style="313"/>
    <col min="642" max="642" width="8.5546875" style="313" customWidth="1"/>
    <col min="643" max="643" width="12" style="313" customWidth="1"/>
    <col min="644" max="644" width="4.6640625" style="313" customWidth="1"/>
    <col min="645" max="645" width="9.109375" style="313" customWidth="1"/>
    <col min="646" max="646" width="11.6640625" style="313" customWidth="1"/>
    <col min="647" max="758" width="7" style="313"/>
    <col min="759" max="759" width="3.88671875" style="313" customWidth="1"/>
    <col min="760" max="760" width="12" style="313" customWidth="1"/>
    <col min="761" max="761" width="64.109375" style="313" customWidth="1"/>
    <col min="762" max="762" width="9.44140625" style="313" customWidth="1"/>
    <col min="763" max="763" width="9.109375" style="313" customWidth="1"/>
    <col min="764" max="764" width="11.109375" style="313" bestFit="1" customWidth="1"/>
    <col min="765" max="765" width="9.109375" style="313" customWidth="1"/>
    <col min="766" max="766" width="10.44140625" style="313" customWidth="1"/>
    <col min="767" max="767" width="9.109375" style="313" customWidth="1"/>
    <col min="768" max="768" width="10.6640625" style="313" customWidth="1"/>
    <col min="769" max="769" width="9.109375" style="313" customWidth="1"/>
    <col min="770" max="770" width="10.109375" style="313" customWidth="1"/>
    <col min="771" max="771" width="11.109375" style="313" customWidth="1"/>
    <col min="772" max="891" width="9.109375" style="313" customWidth="1"/>
    <col min="892" max="892" width="2.5546875" style="313" customWidth="1"/>
    <col min="893" max="893" width="9.109375" style="313" customWidth="1"/>
    <col min="894" max="894" width="47.88671875" style="313" customWidth="1"/>
    <col min="895" max="895" width="6.6640625" style="313" customWidth="1"/>
    <col min="896" max="896" width="7.44140625" style="313" customWidth="1"/>
    <col min="897" max="897" width="7" style="313"/>
    <col min="898" max="898" width="8.5546875" style="313" customWidth="1"/>
    <col min="899" max="899" width="12" style="313" customWidth="1"/>
    <col min="900" max="900" width="4.6640625" style="313" customWidth="1"/>
    <col min="901" max="901" width="9.109375" style="313" customWidth="1"/>
    <col min="902" max="902" width="11.6640625" style="313" customWidth="1"/>
    <col min="903" max="1014" width="7" style="313"/>
    <col min="1015" max="1015" width="3.88671875" style="313" customWidth="1"/>
    <col min="1016" max="1016" width="12" style="313" customWidth="1"/>
    <col min="1017" max="1017" width="64.109375" style="313" customWidth="1"/>
    <col min="1018" max="1018" width="9.44140625" style="313" customWidth="1"/>
    <col min="1019" max="1019" width="9.109375" style="313" customWidth="1"/>
    <col min="1020" max="1020" width="11.109375" style="313" bestFit="1" customWidth="1"/>
    <col min="1021" max="1021" width="9.109375" style="313" customWidth="1"/>
    <col min="1022" max="1022" width="10.44140625" style="313" customWidth="1"/>
    <col min="1023" max="1023" width="9.109375" style="313" customWidth="1"/>
    <col min="1024" max="1024" width="10.6640625" style="313" customWidth="1"/>
    <col min="1025" max="1025" width="9.109375" style="313" customWidth="1"/>
    <col min="1026" max="1026" width="10.109375" style="313" customWidth="1"/>
    <col min="1027" max="1027" width="11.109375" style="313" customWidth="1"/>
    <col min="1028" max="1147" width="9.109375" style="313" customWidth="1"/>
    <col min="1148" max="1148" width="2.5546875" style="313" customWidth="1"/>
    <col min="1149" max="1149" width="9.109375" style="313" customWidth="1"/>
    <col min="1150" max="1150" width="47.88671875" style="313" customWidth="1"/>
    <col min="1151" max="1151" width="6.6640625" style="313" customWidth="1"/>
    <col min="1152" max="1152" width="7.44140625" style="313" customWidth="1"/>
    <col min="1153" max="1153" width="7" style="313"/>
    <col min="1154" max="1154" width="8.5546875" style="313" customWidth="1"/>
    <col min="1155" max="1155" width="12" style="313" customWidth="1"/>
    <col min="1156" max="1156" width="4.6640625" style="313" customWidth="1"/>
    <col min="1157" max="1157" width="9.109375" style="313" customWidth="1"/>
    <col min="1158" max="1158" width="11.6640625" style="313" customWidth="1"/>
    <col min="1159" max="1270" width="7" style="313"/>
    <col min="1271" max="1271" width="3.88671875" style="313" customWidth="1"/>
    <col min="1272" max="1272" width="12" style="313" customWidth="1"/>
    <col min="1273" max="1273" width="64.109375" style="313" customWidth="1"/>
    <col min="1274" max="1274" width="9.44140625" style="313" customWidth="1"/>
    <col min="1275" max="1275" width="9.109375" style="313" customWidth="1"/>
    <col min="1276" max="1276" width="11.109375" style="313" bestFit="1" customWidth="1"/>
    <col min="1277" max="1277" width="9.109375" style="313" customWidth="1"/>
    <col min="1278" max="1278" width="10.44140625" style="313" customWidth="1"/>
    <col min="1279" max="1279" width="9.109375" style="313" customWidth="1"/>
    <col min="1280" max="1280" width="10.6640625" style="313" customWidth="1"/>
    <col min="1281" max="1281" width="9.109375" style="313" customWidth="1"/>
    <col min="1282" max="1282" width="10.109375" style="313" customWidth="1"/>
    <col min="1283" max="1283" width="11.109375" style="313" customWidth="1"/>
    <col min="1284" max="1403" width="9.109375" style="313" customWidth="1"/>
    <col min="1404" max="1404" width="2.5546875" style="313" customWidth="1"/>
    <col min="1405" max="1405" width="9.109375" style="313" customWidth="1"/>
    <col min="1406" max="1406" width="47.88671875" style="313" customWidth="1"/>
    <col min="1407" max="1407" width="6.6640625" style="313" customWidth="1"/>
    <col min="1408" max="1408" width="7.44140625" style="313" customWidth="1"/>
    <col min="1409" max="1409" width="7" style="313"/>
    <col min="1410" max="1410" width="8.5546875" style="313" customWidth="1"/>
    <col min="1411" max="1411" width="12" style="313" customWidth="1"/>
    <col min="1412" max="1412" width="4.6640625" style="313" customWidth="1"/>
    <col min="1413" max="1413" width="9.109375" style="313" customWidth="1"/>
    <col min="1414" max="1414" width="11.6640625" style="313" customWidth="1"/>
    <col min="1415" max="1526" width="7" style="313"/>
    <col min="1527" max="1527" width="3.88671875" style="313" customWidth="1"/>
    <col min="1528" max="1528" width="12" style="313" customWidth="1"/>
    <col min="1529" max="1529" width="64.109375" style="313" customWidth="1"/>
    <col min="1530" max="1530" width="9.44140625" style="313" customWidth="1"/>
    <col min="1531" max="1531" width="9.109375" style="313" customWidth="1"/>
    <col min="1532" max="1532" width="11.109375" style="313" bestFit="1" customWidth="1"/>
    <col min="1533" max="1533" width="9.109375" style="313" customWidth="1"/>
    <col min="1534" max="1534" width="10.44140625" style="313" customWidth="1"/>
    <col min="1535" max="1535" width="9.109375" style="313" customWidth="1"/>
    <col min="1536" max="1536" width="10.6640625" style="313" customWidth="1"/>
    <col min="1537" max="1537" width="9.109375" style="313" customWidth="1"/>
    <col min="1538" max="1538" width="10.109375" style="313" customWidth="1"/>
    <col min="1539" max="1539" width="11.109375" style="313" customWidth="1"/>
    <col min="1540" max="1659" width="9.109375" style="313" customWidth="1"/>
    <col min="1660" max="1660" width="2.5546875" style="313" customWidth="1"/>
    <col min="1661" max="1661" width="9.109375" style="313" customWidth="1"/>
    <col min="1662" max="1662" width="47.88671875" style="313" customWidth="1"/>
    <col min="1663" max="1663" width="6.6640625" style="313" customWidth="1"/>
    <col min="1664" max="1664" width="7.44140625" style="313" customWidth="1"/>
    <col min="1665" max="1665" width="7" style="313"/>
    <col min="1666" max="1666" width="8.5546875" style="313" customWidth="1"/>
    <col min="1667" max="1667" width="12" style="313" customWidth="1"/>
    <col min="1668" max="1668" width="4.6640625" style="313" customWidth="1"/>
    <col min="1669" max="1669" width="9.109375" style="313" customWidth="1"/>
    <col min="1670" max="1670" width="11.6640625" style="313" customWidth="1"/>
    <col min="1671" max="1782" width="7" style="313"/>
    <col min="1783" max="1783" width="3.88671875" style="313" customWidth="1"/>
    <col min="1784" max="1784" width="12" style="313" customWidth="1"/>
    <col min="1785" max="1785" width="64.109375" style="313" customWidth="1"/>
    <col min="1786" max="1786" width="9.44140625" style="313" customWidth="1"/>
    <col min="1787" max="1787" width="9.109375" style="313" customWidth="1"/>
    <col min="1788" max="1788" width="11.109375" style="313" bestFit="1" customWidth="1"/>
    <col min="1789" max="1789" width="9.109375" style="313" customWidth="1"/>
    <col min="1790" max="1790" width="10.44140625" style="313" customWidth="1"/>
    <col min="1791" max="1791" width="9.109375" style="313" customWidth="1"/>
    <col min="1792" max="1792" width="10.6640625" style="313" customWidth="1"/>
    <col min="1793" max="1793" width="9.109375" style="313" customWidth="1"/>
    <col min="1794" max="1794" width="10.109375" style="313" customWidth="1"/>
    <col min="1795" max="1795" width="11.109375" style="313" customWidth="1"/>
    <col min="1796" max="1915" width="9.109375" style="313" customWidth="1"/>
    <col min="1916" max="1916" width="2.5546875" style="313" customWidth="1"/>
    <col min="1917" max="1917" width="9.109375" style="313" customWidth="1"/>
    <col min="1918" max="1918" width="47.88671875" style="313" customWidth="1"/>
    <col min="1919" max="1919" width="6.6640625" style="313" customWidth="1"/>
    <col min="1920" max="1920" width="7.44140625" style="313" customWidth="1"/>
    <col min="1921" max="1921" width="7" style="313"/>
    <col min="1922" max="1922" width="8.5546875" style="313" customWidth="1"/>
    <col min="1923" max="1923" width="12" style="313" customWidth="1"/>
    <col min="1924" max="1924" width="4.6640625" style="313" customWidth="1"/>
    <col min="1925" max="1925" width="9.109375" style="313" customWidth="1"/>
    <col min="1926" max="1926" width="11.6640625" style="313" customWidth="1"/>
    <col min="1927" max="2038" width="7" style="313"/>
    <col min="2039" max="2039" width="3.88671875" style="313" customWidth="1"/>
    <col min="2040" max="2040" width="12" style="313" customWidth="1"/>
    <col min="2041" max="2041" width="64.109375" style="313" customWidth="1"/>
    <col min="2042" max="2042" width="9.44140625" style="313" customWidth="1"/>
    <col min="2043" max="2043" width="9.109375" style="313" customWidth="1"/>
    <col min="2044" max="2044" width="11.109375" style="313" bestFit="1" customWidth="1"/>
    <col min="2045" max="2045" width="9.109375" style="313" customWidth="1"/>
    <col min="2046" max="2046" width="10.44140625" style="313" customWidth="1"/>
    <col min="2047" max="2047" width="9.109375" style="313" customWidth="1"/>
    <col min="2048" max="2048" width="10.6640625" style="313" customWidth="1"/>
    <col min="2049" max="2049" width="9.109375" style="313" customWidth="1"/>
    <col min="2050" max="2050" width="10.109375" style="313" customWidth="1"/>
    <col min="2051" max="2051" width="11.109375" style="313" customWidth="1"/>
    <col min="2052" max="2171" width="9.109375" style="313" customWidth="1"/>
    <col min="2172" max="2172" width="2.5546875" style="313" customWidth="1"/>
    <col min="2173" max="2173" width="9.109375" style="313" customWidth="1"/>
    <col min="2174" max="2174" width="47.88671875" style="313" customWidth="1"/>
    <col min="2175" max="2175" width="6.6640625" style="313" customWidth="1"/>
    <col min="2176" max="2176" width="7.44140625" style="313" customWidth="1"/>
    <col min="2177" max="2177" width="7" style="313"/>
    <col min="2178" max="2178" width="8.5546875" style="313" customWidth="1"/>
    <col min="2179" max="2179" width="12" style="313" customWidth="1"/>
    <col min="2180" max="2180" width="4.6640625" style="313" customWidth="1"/>
    <col min="2181" max="2181" width="9.109375" style="313" customWidth="1"/>
    <col min="2182" max="2182" width="11.6640625" style="313" customWidth="1"/>
    <col min="2183" max="2294" width="7" style="313"/>
    <col min="2295" max="2295" width="3.88671875" style="313" customWidth="1"/>
    <col min="2296" max="2296" width="12" style="313" customWidth="1"/>
    <col min="2297" max="2297" width="64.109375" style="313" customWidth="1"/>
    <col min="2298" max="2298" width="9.44140625" style="313" customWidth="1"/>
    <col min="2299" max="2299" width="9.109375" style="313" customWidth="1"/>
    <col min="2300" max="2300" width="11.109375" style="313" bestFit="1" customWidth="1"/>
    <col min="2301" max="2301" width="9.109375" style="313" customWidth="1"/>
    <col min="2302" max="2302" width="10.44140625" style="313" customWidth="1"/>
    <col min="2303" max="2303" width="9.109375" style="313" customWidth="1"/>
    <col min="2304" max="2304" width="10.6640625" style="313" customWidth="1"/>
    <col min="2305" max="2305" width="9.109375" style="313" customWidth="1"/>
    <col min="2306" max="2306" width="10.109375" style="313" customWidth="1"/>
    <col min="2307" max="2307" width="11.109375" style="313" customWidth="1"/>
    <col min="2308" max="2427" width="9.109375" style="313" customWidth="1"/>
    <col min="2428" max="2428" width="2.5546875" style="313" customWidth="1"/>
    <col min="2429" max="2429" width="9.109375" style="313" customWidth="1"/>
    <col min="2430" max="2430" width="47.88671875" style="313" customWidth="1"/>
    <col min="2431" max="2431" width="6.6640625" style="313" customWidth="1"/>
    <col min="2432" max="2432" width="7.44140625" style="313" customWidth="1"/>
    <col min="2433" max="2433" width="7" style="313"/>
    <col min="2434" max="2434" width="8.5546875" style="313" customWidth="1"/>
    <col min="2435" max="2435" width="12" style="313" customWidth="1"/>
    <col min="2436" max="2436" width="4.6640625" style="313" customWidth="1"/>
    <col min="2437" max="2437" width="9.109375" style="313" customWidth="1"/>
    <col min="2438" max="2438" width="11.6640625" style="313" customWidth="1"/>
    <col min="2439" max="2550" width="7" style="313"/>
    <col min="2551" max="2551" width="3.88671875" style="313" customWidth="1"/>
    <col min="2552" max="2552" width="12" style="313" customWidth="1"/>
    <col min="2553" max="2553" width="64.109375" style="313" customWidth="1"/>
    <col min="2554" max="2554" width="9.44140625" style="313" customWidth="1"/>
    <col min="2555" max="2555" width="9.109375" style="313" customWidth="1"/>
    <col min="2556" max="2556" width="11.109375" style="313" bestFit="1" customWidth="1"/>
    <col min="2557" max="2557" width="9.109375" style="313" customWidth="1"/>
    <col min="2558" max="2558" width="10.44140625" style="313" customWidth="1"/>
    <col min="2559" max="2559" width="9.109375" style="313" customWidth="1"/>
    <col min="2560" max="2560" width="10.6640625" style="313" customWidth="1"/>
    <col min="2561" max="2561" width="9.109375" style="313" customWidth="1"/>
    <col min="2562" max="2562" width="10.109375" style="313" customWidth="1"/>
    <col min="2563" max="2563" width="11.109375" style="313" customWidth="1"/>
    <col min="2564" max="2683" width="9.109375" style="313" customWidth="1"/>
    <col min="2684" max="2684" width="2.5546875" style="313" customWidth="1"/>
    <col min="2685" max="2685" width="9.109375" style="313" customWidth="1"/>
    <col min="2686" max="2686" width="47.88671875" style="313" customWidth="1"/>
    <col min="2687" max="2687" width="6.6640625" style="313" customWidth="1"/>
    <col min="2688" max="2688" width="7.44140625" style="313" customWidth="1"/>
    <col min="2689" max="2689" width="7" style="313"/>
    <col min="2690" max="2690" width="8.5546875" style="313" customWidth="1"/>
    <col min="2691" max="2691" width="12" style="313" customWidth="1"/>
    <col min="2692" max="2692" width="4.6640625" style="313" customWidth="1"/>
    <col min="2693" max="2693" width="9.109375" style="313" customWidth="1"/>
    <col min="2694" max="2694" width="11.6640625" style="313" customWidth="1"/>
    <col min="2695" max="2806" width="7" style="313"/>
    <col min="2807" max="2807" width="3.88671875" style="313" customWidth="1"/>
    <col min="2808" max="2808" width="12" style="313" customWidth="1"/>
    <col min="2809" max="2809" width="64.109375" style="313" customWidth="1"/>
    <col min="2810" max="2810" width="9.44140625" style="313" customWidth="1"/>
    <col min="2811" max="2811" width="9.109375" style="313" customWidth="1"/>
    <col min="2812" max="2812" width="11.109375" style="313" bestFit="1" customWidth="1"/>
    <col min="2813" max="2813" width="9.109375" style="313" customWidth="1"/>
    <col min="2814" max="2814" width="10.44140625" style="313" customWidth="1"/>
    <col min="2815" max="2815" width="9.109375" style="313" customWidth="1"/>
    <col min="2816" max="2816" width="10.6640625" style="313" customWidth="1"/>
    <col min="2817" max="2817" width="9.109375" style="313" customWidth="1"/>
    <col min="2818" max="2818" width="10.109375" style="313" customWidth="1"/>
    <col min="2819" max="2819" width="11.109375" style="313" customWidth="1"/>
    <col min="2820" max="2939" width="9.109375" style="313" customWidth="1"/>
    <col min="2940" max="2940" width="2.5546875" style="313" customWidth="1"/>
    <col min="2941" max="2941" width="9.109375" style="313" customWidth="1"/>
    <col min="2942" max="2942" width="47.88671875" style="313" customWidth="1"/>
    <col min="2943" max="2943" width="6.6640625" style="313" customWidth="1"/>
    <col min="2944" max="2944" width="7.44140625" style="313" customWidth="1"/>
    <col min="2945" max="2945" width="7" style="313"/>
    <col min="2946" max="2946" width="8.5546875" style="313" customWidth="1"/>
    <col min="2947" max="2947" width="12" style="313" customWidth="1"/>
    <col min="2948" max="2948" width="4.6640625" style="313" customWidth="1"/>
    <col min="2949" max="2949" width="9.109375" style="313" customWidth="1"/>
    <col min="2950" max="2950" width="11.6640625" style="313" customWidth="1"/>
    <col min="2951" max="3062" width="7" style="313"/>
    <col min="3063" max="3063" width="3.88671875" style="313" customWidth="1"/>
    <col min="3064" max="3064" width="12" style="313" customWidth="1"/>
    <col min="3065" max="3065" width="64.109375" style="313" customWidth="1"/>
    <col min="3066" max="3066" width="9.44140625" style="313" customWidth="1"/>
    <col min="3067" max="3067" width="9.109375" style="313" customWidth="1"/>
    <col min="3068" max="3068" width="11.109375" style="313" bestFit="1" customWidth="1"/>
    <col min="3069" max="3069" width="9.109375" style="313" customWidth="1"/>
    <col min="3070" max="3070" width="10.44140625" style="313" customWidth="1"/>
    <col min="3071" max="3071" width="9.109375" style="313" customWidth="1"/>
    <col min="3072" max="3072" width="10.6640625" style="313" customWidth="1"/>
    <col min="3073" max="3073" width="9.109375" style="313" customWidth="1"/>
    <col min="3074" max="3074" width="10.109375" style="313" customWidth="1"/>
    <col min="3075" max="3075" width="11.109375" style="313" customWidth="1"/>
    <col min="3076" max="3195" width="9.109375" style="313" customWidth="1"/>
    <col min="3196" max="3196" width="2.5546875" style="313" customWidth="1"/>
    <col min="3197" max="3197" width="9.109375" style="313" customWidth="1"/>
    <col min="3198" max="3198" width="47.88671875" style="313" customWidth="1"/>
    <col min="3199" max="3199" width="6.6640625" style="313" customWidth="1"/>
    <col min="3200" max="3200" width="7.44140625" style="313" customWidth="1"/>
    <col min="3201" max="3201" width="7" style="313"/>
    <col min="3202" max="3202" width="8.5546875" style="313" customWidth="1"/>
    <col min="3203" max="3203" width="12" style="313" customWidth="1"/>
    <col min="3204" max="3204" width="4.6640625" style="313" customWidth="1"/>
    <col min="3205" max="3205" width="9.109375" style="313" customWidth="1"/>
    <col min="3206" max="3206" width="11.6640625" style="313" customWidth="1"/>
    <col min="3207" max="3318" width="7" style="313"/>
    <col min="3319" max="3319" width="3.88671875" style="313" customWidth="1"/>
    <col min="3320" max="3320" width="12" style="313" customWidth="1"/>
    <col min="3321" max="3321" width="64.109375" style="313" customWidth="1"/>
    <col min="3322" max="3322" width="9.44140625" style="313" customWidth="1"/>
    <col min="3323" max="3323" width="9.109375" style="313" customWidth="1"/>
    <col min="3324" max="3324" width="11.109375" style="313" bestFit="1" customWidth="1"/>
    <col min="3325" max="3325" width="9.109375" style="313" customWidth="1"/>
    <col min="3326" max="3326" width="10.44140625" style="313" customWidth="1"/>
    <col min="3327" max="3327" width="9.109375" style="313" customWidth="1"/>
    <col min="3328" max="3328" width="10.6640625" style="313" customWidth="1"/>
    <col min="3329" max="3329" width="9.109375" style="313" customWidth="1"/>
    <col min="3330" max="3330" width="10.109375" style="313" customWidth="1"/>
    <col min="3331" max="3331" width="11.109375" style="313" customWidth="1"/>
    <col min="3332" max="3451" width="9.109375" style="313" customWidth="1"/>
    <col min="3452" max="3452" width="2.5546875" style="313" customWidth="1"/>
    <col min="3453" max="3453" width="9.109375" style="313" customWidth="1"/>
    <col min="3454" max="3454" width="47.88671875" style="313" customWidth="1"/>
    <col min="3455" max="3455" width="6.6640625" style="313" customWidth="1"/>
    <col min="3456" max="3456" width="7.44140625" style="313" customWidth="1"/>
    <col min="3457" max="3457" width="7" style="313"/>
    <col min="3458" max="3458" width="8.5546875" style="313" customWidth="1"/>
    <col min="3459" max="3459" width="12" style="313" customWidth="1"/>
    <col min="3460" max="3460" width="4.6640625" style="313" customWidth="1"/>
    <col min="3461" max="3461" width="9.109375" style="313" customWidth="1"/>
    <col min="3462" max="3462" width="11.6640625" style="313" customWidth="1"/>
    <col min="3463" max="3574" width="7" style="313"/>
    <col min="3575" max="3575" width="3.88671875" style="313" customWidth="1"/>
    <col min="3576" max="3576" width="12" style="313" customWidth="1"/>
    <col min="3577" max="3577" width="64.109375" style="313" customWidth="1"/>
    <col min="3578" max="3578" width="9.44140625" style="313" customWidth="1"/>
    <col min="3579" max="3579" width="9.109375" style="313" customWidth="1"/>
    <col min="3580" max="3580" width="11.109375" style="313" bestFit="1" customWidth="1"/>
    <col min="3581" max="3581" width="9.109375" style="313" customWidth="1"/>
    <col min="3582" max="3582" width="10.44140625" style="313" customWidth="1"/>
    <col min="3583" max="3583" width="9.109375" style="313" customWidth="1"/>
    <col min="3584" max="3584" width="10.6640625" style="313" customWidth="1"/>
    <col min="3585" max="3585" width="9.109375" style="313" customWidth="1"/>
    <col min="3586" max="3586" width="10.109375" style="313" customWidth="1"/>
    <col min="3587" max="3587" width="11.109375" style="313" customWidth="1"/>
    <col min="3588" max="3707" width="9.109375" style="313" customWidth="1"/>
    <col min="3708" max="3708" width="2.5546875" style="313" customWidth="1"/>
    <col min="3709" max="3709" width="9.109375" style="313" customWidth="1"/>
    <col min="3710" max="3710" width="47.88671875" style="313" customWidth="1"/>
    <col min="3711" max="3711" width="6.6640625" style="313" customWidth="1"/>
    <col min="3712" max="3712" width="7.44140625" style="313" customWidth="1"/>
    <col min="3713" max="3713" width="7" style="313"/>
    <col min="3714" max="3714" width="8.5546875" style="313" customWidth="1"/>
    <col min="3715" max="3715" width="12" style="313" customWidth="1"/>
    <col min="3716" max="3716" width="4.6640625" style="313" customWidth="1"/>
    <col min="3717" max="3717" width="9.109375" style="313" customWidth="1"/>
    <col min="3718" max="3718" width="11.6640625" style="313" customWidth="1"/>
    <col min="3719" max="3830" width="7" style="313"/>
    <col min="3831" max="3831" width="3.88671875" style="313" customWidth="1"/>
    <col min="3832" max="3832" width="12" style="313" customWidth="1"/>
    <col min="3833" max="3833" width="64.109375" style="313" customWidth="1"/>
    <col min="3834" max="3834" width="9.44140625" style="313" customWidth="1"/>
    <col min="3835" max="3835" width="9.109375" style="313" customWidth="1"/>
    <col min="3836" max="3836" width="11.109375" style="313" bestFit="1" customWidth="1"/>
    <col min="3837" max="3837" width="9.109375" style="313" customWidth="1"/>
    <col min="3838" max="3838" width="10.44140625" style="313" customWidth="1"/>
    <col min="3839" max="3839" width="9.109375" style="313" customWidth="1"/>
    <col min="3840" max="3840" width="10.6640625" style="313" customWidth="1"/>
    <col min="3841" max="3841" width="9.109375" style="313" customWidth="1"/>
    <col min="3842" max="3842" width="10.109375" style="313" customWidth="1"/>
    <col min="3843" max="3843" width="11.109375" style="313" customWidth="1"/>
    <col min="3844" max="3963" width="9.109375" style="313" customWidth="1"/>
    <col min="3964" max="3964" width="2.5546875" style="313" customWidth="1"/>
    <col min="3965" max="3965" width="9.109375" style="313" customWidth="1"/>
    <col min="3966" max="3966" width="47.88671875" style="313" customWidth="1"/>
    <col min="3967" max="3967" width="6.6640625" style="313" customWidth="1"/>
    <col min="3968" max="3968" width="7.44140625" style="313" customWidth="1"/>
    <col min="3969" max="3969" width="7" style="313"/>
    <col min="3970" max="3970" width="8.5546875" style="313" customWidth="1"/>
    <col min="3971" max="3971" width="12" style="313" customWidth="1"/>
    <col min="3972" max="3972" width="4.6640625" style="313" customWidth="1"/>
    <col min="3973" max="3973" width="9.109375" style="313" customWidth="1"/>
    <col min="3974" max="3974" width="11.6640625" style="313" customWidth="1"/>
    <col min="3975" max="4086" width="7" style="313"/>
    <col min="4087" max="4087" width="3.88671875" style="313" customWidth="1"/>
    <col min="4088" max="4088" width="12" style="313" customWidth="1"/>
    <col min="4089" max="4089" width="64.109375" style="313" customWidth="1"/>
    <col min="4090" max="4090" width="9.44140625" style="313" customWidth="1"/>
    <col min="4091" max="4091" width="9.109375" style="313" customWidth="1"/>
    <col min="4092" max="4092" width="11.109375" style="313" bestFit="1" customWidth="1"/>
    <col min="4093" max="4093" width="9.109375" style="313" customWidth="1"/>
    <col min="4094" max="4094" width="10.44140625" style="313" customWidth="1"/>
    <col min="4095" max="4095" width="9.109375" style="313" customWidth="1"/>
    <col min="4096" max="4096" width="10.6640625" style="313" customWidth="1"/>
    <col min="4097" max="4097" width="9.109375" style="313" customWidth="1"/>
    <col min="4098" max="4098" width="10.109375" style="313" customWidth="1"/>
    <col min="4099" max="4099" width="11.109375" style="313" customWidth="1"/>
    <col min="4100" max="4219" width="9.109375" style="313" customWidth="1"/>
    <col min="4220" max="4220" width="2.5546875" style="313" customWidth="1"/>
    <col min="4221" max="4221" width="9.109375" style="313" customWidth="1"/>
    <col min="4222" max="4222" width="47.88671875" style="313" customWidth="1"/>
    <col min="4223" max="4223" width="6.6640625" style="313" customWidth="1"/>
    <col min="4224" max="4224" width="7.44140625" style="313" customWidth="1"/>
    <col min="4225" max="4225" width="7" style="313"/>
    <col min="4226" max="4226" width="8.5546875" style="313" customWidth="1"/>
    <col min="4227" max="4227" width="12" style="313" customWidth="1"/>
    <col min="4228" max="4228" width="4.6640625" style="313" customWidth="1"/>
    <col min="4229" max="4229" width="9.109375" style="313" customWidth="1"/>
    <col min="4230" max="4230" width="11.6640625" style="313" customWidth="1"/>
    <col min="4231" max="4342" width="7" style="313"/>
    <col min="4343" max="4343" width="3.88671875" style="313" customWidth="1"/>
    <col min="4344" max="4344" width="12" style="313" customWidth="1"/>
    <col min="4345" max="4345" width="64.109375" style="313" customWidth="1"/>
    <col min="4346" max="4346" width="9.44140625" style="313" customWidth="1"/>
    <col min="4347" max="4347" width="9.109375" style="313" customWidth="1"/>
    <col min="4348" max="4348" width="11.109375" style="313" bestFit="1" customWidth="1"/>
    <col min="4349" max="4349" width="9.109375" style="313" customWidth="1"/>
    <col min="4350" max="4350" width="10.44140625" style="313" customWidth="1"/>
    <col min="4351" max="4351" width="9.109375" style="313" customWidth="1"/>
    <col min="4352" max="4352" width="10.6640625" style="313" customWidth="1"/>
    <col min="4353" max="4353" width="9.109375" style="313" customWidth="1"/>
    <col min="4354" max="4354" width="10.109375" style="313" customWidth="1"/>
    <col min="4355" max="4355" width="11.109375" style="313" customWidth="1"/>
    <col min="4356" max="4475" width="9.109375" style="313" customWidth="1"/>
    <col min="4476" max="4476" width="2.5546875" style="313" customWidth="1"/>
    <col min="4477" max="4477" width="9.109375" style="313" customWidth="1"/>
    <col min="4478" max="4478" width="47.88671875" style="313" customWidth="1"/>
    <col min="4479" max="4479" width="6.6640625" style="313" customWidth="1"/>
    <col min="4480" max="4480" width="7.44140625" style="313" customWidth="1"/>
    <col min="4481" max="4481" width="7" style="313"/>
    <col min="4482" max="4482" width="8.5546875" style="313" customWidth="1"/>
    <col min="4483" max="4483" width="12" style="313" customWidth="1"/>
    <col min="4484" max="4484" width="4.6640625" style="313" customWidth="1"/>
    <col min="4485" max="4485" width="9.109375" style="313" customWidth="1"/>
    <col min="4486" max="4486" width="11.6640625" style="313" customWidth="1"/>
    <col min="4487" max="4598" width="7" style="313"/>
    <col min="4599" max="4599" width="3.88671875" style="313" customWidth="1"/>
    <col min="4600" max="4600" width="12" style="313" customWidth="1"/>
    <col min="4601" max="4601" width="64.109375" style="313" customWidth="1"/>
    <col min="4602" max="4602" width="9.44140625" style="313" customWidth="1"/>
    <col min="4603" max="4603" width="9.109375" style="313" customWidth="1"/>
    <col min="4604" max="4604" width="11.109375" style="313" bestFit="1" customWidth="1"/>
    <col min="4605" max="4605" width="9.109375" style="313" customWidth="1"/>
    <col min="4606" max="4606" width="10.44140625" style="313" customWidth="1"/>
    <col min="4607" max="4607" width="9.109375" style="313" customWidth="1"/>
    <col min="4608" max="4608" width="10.6640625" style="313" customWidth="1"/>
    <col min="4609" max="4609" width="9.109375" style="313" customWidth="1"/>
    <col min="4610" max="4610" width="10.109375" style="313" customWidth="1"/>
    <col min="4611" max="4611" width="11.109375" style="313" customWidth="1"/>
    <col min="4612" max="4731" width="9.109375" style="313" customWidth="1"/>
    <col min="4732" max="4732" width="2.5546875" style="313" customWidth="1"/>
    <col min="4733" max="4733" width="9.109375" style="313" customWidth="1"/>
    <col min="4734" max="4734" width="47.88671875" style="313" customWidth="1"/>
    <col min="4735" max="4735" width="6.6640625" style="313" customWidth="1"/>
    <col min="4736" max="4736" width="7.44140625" style="313" customWidth="1"/>
    <col min="4737" max="4737" width="7" style="313"/>
    <col min="4738" max="4738" width="8.5546875" style="313" customWidth="1"/>
    <col min="4739" max="4739" width="12" style="313" customWidth="1"/>
    <col min="4740" max="4740" width="4.6640625" style="313" customWidth="1"/>
    <col min="4741" max="4741" width="9.109375" style="313" customWidth="1"/>
    <col min="4742" max="4742" width="11.6640625" style="313" customWidth="1"/>
    <col min="4743" max="4854" width="7" style="313"/>
    <col min="4855" max="4855" width="3.88671875" style="313" customWidth="1"/>
    <col min="4856" max="4856" width="12" style="313" customWidth="1"/>
    <col min="4857" max="4857" width="64.109375" style="313" customWidth="1"/>
    <col min="4858" max="4858" width="9.44140625" style="313" customWidth="1"/>
    <col min="4859" max="4859" width="9.109375" style="313" customWidth="1"/>
    <col min="4860" max="4860" width="11.109375" style="313" bestFit="1" customWidth="1"/>
    <col min="4861" max="4861" width="9.109375" style="313" customWidth="1"/>
    <col min="4862" max="4862" width="10.44140625" style="313" customWidth="1"/>
    <col min="4863" max="4863" width="9.109375" style="313" customWidth="1"/>
    <col min="4864" max="4864" width="10.6640625" style="313" customWidth="1"/>
    <col min="4865" max="4865" width="9.109375" style="313" customWidth="1"/>
    <col min="4866" max="4866" width="10.109375" style="313" customWidth="1"/>
    <col min="4867" max="4867" width="11.109375" style="313" customWidth="1"/>
    <col min="4868" max="4987" width="9.109375" style="313" customWidth="1"/>
    <col min="4988" max="4988" width="2.5546875" style="313" customWidth="1"/>
    <col min="4989" max="4989" width="9.109375" style="313" customWidth="1"/>
    <col min="4990" max="4990" width="47.88671875" style="313" customWidth="1"/>
    <col min="4991" max="4991" width="6.6640625" style="313" customWidth="1"/>
    <col min="4992" max="4992" width="7.44140625" style="313" customWidth="1"/>
    <col min="4993" max="4993" width="7" style="313"/>
    <col min="4994" max="4994" width="8.5546875" style="313" customWidth="1"/>
    <col min="4995" max="4995" width="12" style="313" customWidth="1"/>
    <col min="4996" max="4996" width="4.6640625" style="313" customWidth="1"/>
    <col min="4997" max="4997" width="9.109375" style="313" customWidth="1"/>
    <col min="4998" max="4998" width="11.6640625" style="313" customWidth="1"/>
    <col min="4999" max="5110" width="7" style="313"/>
    <col min="5111" max="5111" width="3.88671875" style="313" customWidth="1"/>
    <col min="5112" max="5112" width="12" style="313" customWidth="1"/>
    <col min="5113" max="5113" width="64.109375" style="313" customWidth="1"/>
    <col min="5114" max="5114" width="9.44140625" style="313" customWidth="1"/>
    <col min="5115" max="5115" width="9.109375" style="313" customWidth="1"/>
    <col min="5116" max="5116" width="11.109375" style="313" bestFit="1" customWidth="1"/>
    <col min="5117" max="5117" width="9.109375" style="313" customWidth="1"/>
    <col min="5118" max="5118" width="10.44140625" style="313" customWidth="1"/>
    <col min="5119" max="5119" width="9.109375" style="313" customWidth="1"/>
    <col min="5120" max="5120" width="10.6640625" style="313" customWidth="1"/>
    <col min="5121" max="5121" width="9.109375" style="313" customWidth="1"/>
    <col min="5122" max="5122" width="10.109375" style="313" customWidth="1"/>
    <col min="5123" max="5123" width="11.109375" style="313" customWidth="1"/>
    <col min="5124" max="5243" width="9.109375" style="313" customWidth="1"/>
    <col min="5244" max="5244" width="2.5546875" style="313" customWidth="1"/>
    <col min="5245" max="5245" width="9.109375" style="313" customWidth="1"/>
    <col min="5246" max="5246" width="47.88671875" style="313" customWidth="1"/>
    <col min="5247" max="5247" width="6.6640625" style="313" customWidth="1"/>
    <col min="5248" max="5248" width="7.44140625" style="313" customWidth="1"/>
    <col min="5249" max="5249" width="7" style="313"/>
    <col min="5250" max="5250" width="8.5546875" style="313" customWidth="1"/>
    <col min="5251" max="5251" width="12" style="313" customWidth="1"/>
    <col min="5252" max="5252" width="4.6640625" style="313" customWidth="1"/>
    <col min="5253" max="5253" width="9.109375" style="313" customWidth="1"/>
    <col min="5254" max="5254" width="11.6640625" style="313" customWidth="1"/>
    <col min="5255" max="5366" width="7" style="313"/>
    <col min="5367" max="5367" width="3.88671875" style="313" customWidth="1"/>
    <col min="5368" max="5368" width="12" style="313" customWidth="1"/>
    <col min="5369" max="5369" width="64.109375" style="313" customWidth="1"/>
    <col min="5370" max="5370" width="9.44140625" style="313" customWidth="1"/>
    <col min="5371" max="5371" width="9.109375" style="313" customWidth="1"/>
    <col min="5372" max="5372" width="11.109375" style="313" bestFit="1" customWidth="1"/>
    <col min="5373" max="5373" width="9.109375" style="313" customWidth="1"/>
    <col min="5374" max="5374" width="10.44140625" style="313" customWidth="1"/>
    <col min="5375" max="5375" width="9.109375" style="313" customWidth="1"/>
    <col min="5376" max="5376" width="10.6640625" style="313" customWidth="1"/>
    <col min="5377" max="5377" width="9.109375" style="313" customWidth="1"/>
    <col min="5378" max="5378" width="10.109375" style="313" customWidth="1"/>
    <col min="5379" max="5379" width="11.109375" style="313" customWidth="1"/>
    <col min="5380" max="5499" width="9.109375" style="313" customWidth="1"/>
    <col min="5500" max="5500" width="2.5546875" style="313" customWidth="1"/>
    <col min="5501" max="5501" width="9.109375" style="313" customWidth="1"/>
    <col min="5502" max="5502" width="47.88671875" style="313" customWidth="1"/>
    <col min="5503" max="5503" width="6.6640625" style="313" customWidth="1"/>
    <col min="5504" max="5504" width="7.44140625" style="313" customWidth="1"/>
    <col min="5505" max="5505" width="7" style="313"/>
    <col min="5506" max="5506" width="8.5546875" style="313" customWidth="1"/>
    <col min="5507" max="5507" width="12" style="313" customWidth="1"/>
    <col min="5508" max="5508" width="4.6640625" style="313" customWidth="1"/>
    <col min="5509" max="5509" width="9.109375" style="313" customWidth="1"/>
    <col min="5510" max="5510" width="11.6640625" style="313" customWidth="1"/>
    <col min="5511" max="5622" width="7" style="313"/>
    <col min="5623" max="5623" width="3.88671875" style="313" customWidth="1"/>
    <col min="5624" max="5624" width="12" style="313" customWidth="1"/>
    <col min="5625" max="5625" width="64.109375" style="313" customWidth="1"/>
    <col min="5626" max="5626" width="9.44140625" style="313" customWidth="1"/>
    <col min="5627" max="5627" width="9.109375" style="313" customWidth="1"/>
    <col min="5628" max="5628" width="11.109375" style="313" bestFit="1" customWidth="1"/>
    <col min="5629" max="5629" width="9.109375" style="313" customWidth="1"/>
    <col min="5630" max="5630" width="10.44140625" style="313" customWidth="1"/>
    <col min="5631" max="5631" width="9.109375" style="313" customWidth="1"/>
    <col min="5632" max="5632" width="10.6640625" style="313" customWidth="1"/>
    <col min="5633" max="5633" width="9.109375" style="313" customWidth="1"/>
    <col min="5634" max="5634" width="10.109375" style="313" customWidth="1"/>
    <col min="5635" max="5635" width="11.109375" style="313" customWidth="1"/>
    <col min="5636" max="5755" width="9.109375" style="313" customWidth="1"/>
    <col min="5756" max="5756" width="2.5546875" style="313" customWidth="1"/>
    <col min="5757" max="5757" width="9.109375" style="313" customWidth="1"/>
    <col min="5758" max="5758" width="47.88671875" style="313" customWidth="1"/>
    <col min="5759" max="5759" width="6.6640625" style="313" customWidth="1"/>
    <col min="5760" max="5760" width="7.44140625" style="313" customWidth="1"/>
    <col min="5761" max="5761" width="7" style="313"/>
    <col min="5762" max="5762" width="8.5546875" style="313" customWidth="1"/>
    <col min="5763" max="5763" width="12" style="313" customWidth="1"/>
    <col min="5764" max="5764" width="4.6640625" style="313" customWidth="1"/>
    <col min="5765" max="5765" width="9.109375" style="313" customWidth="1"/>
    <col min="5766" max="5766" width="11.6640625" style="313" customWidth="1"/>
    <col min="5767" max="5878" width="7" style="313"/>
    <col min="5879" max="5879" width="3.88671875" style="313" customWidth="1"/>
    <col min="5880" max="5880" width="12" style="313" customWidth="1"/>
    <col min="5881" max="5881" width="64.109375" style="313" customWidth="1"/>
    <col min="5882" max="5882" width="9.44140625" style="313" customWidth="1"/>
    <col min="5883" max="5883" width="9.109375" style="313" customWidth="1"/>
    <col min="5884" max="5884" width="11.109375" style="313" bestFit="1" customWidth="1"/>
    <col min="5885" max="5885" width="9.109375" style="313" customWidth="1"/>
    <col min="5886" max="5886" width="10.44140625" style="313" customWidth="1"/>
    <col min="5887" max="5887" width="9.109375" style="313" customWidth="1"/>
    <col min="5888" max="5888" width="10.6640625" style="313" customWidth="1"/>
    <col min="5889" max="5889" width="9.109375" style="313" customWidth="1"/>
    <col min="5890" max="5890" width="10.109375" style="313" customWidth="1"/>
    <col min="5891" max="5891" width="11.109375" style="313" customWidth="1"/>
    <col min="5892" max="6011" width="9.109375" style="313" customWidth="1"/>
    <col min="6012" max="6012" width="2.5546875" style="313" customWidth="1"/>
    <col min="6013" max="6013" width="9.109375" style="313" customWidth="1"/>
    <col min="6014" max="6014" width="47.88671875" style="313" customWidth="1"/>
    <col min="6015" max="6015" width="6.6640625" style="313" customWidth="1"/>
    <col min="6016" max="6016" width="7.44140625" style="313" customWidth="1"/>
    <col min="6017" max="6017" width="7" style="313"/>
    <col min="6018" max="6018" width="8.5546875" style="313" customWidth="1"/>
    <col min="6019" max="6019" width="12" style="313" customWidth="1"/>
    <col min="6020" max="6020" width="4.6640625" style="313" customWidth="1"/>
    <col min="6021" max="6021" width="9.109375" style="313" customWidth="1"/>
    <col min="6022" max="6022" width="11.6640625" style="313" customWidth="1"/>
    <col min="6023" max="6134" width="7" style="313"/>
    <col min="6135" max="6135" width="3.88671875" style="313" customWidth="1"/>
    <col min="6136" max="6136" width="12" style="313" customWidth="1"/>
    <col min="6137" max="6137" width="64.109375" style="313" customWidth="1"/>
    <col min="6138" max="6138" width="9.44140625" style="313" customWidth="1"/>
    <col min="6139" max="6139" width="9.109375" style="313" customWidth="1"/>
    <col min="6140" max="6140" width="11.109375" style="313" bestFit="1" customWidth="1"/>
    <col min="6141" max="6141" width="9.109375" style="313" customWidth="1"/>
    <col min="6142" max="6142" width="10.44140625" style="313" customWidth="1"/>
    <col min="6143" max="6143" width="9.109375" style="313" customWidth="1"/>
    <col min="6144" max="6144" width="10.6640625" style="313" customWidth="1"/>
    <col min="6145" max="6145" width="9.109375" style="313" customWidth="1"/>
    <col min="6146" max="6146" width="10.109375" style="313" customWidth="1"/>
    <col min="6147" max="6147" width="11.109375" style="313" customWidth="1"/>
    <col min="6148" max="6267" width="9.109375" style="313" customWidth="1"/>
    <col min="6268" max="6268" width="2.5546875" style="313" customWidth="1"/>
    <col min="6269" max="6269" width="9.109375" style="313" customWidth="1"/>
    <col min="6270" max="6270" width="47.88671875" style="313" customWidth="1"/>
    <col min="6271" max="6271" width="6.6640625" style="313" customWidth="1"/>
    <col min="6272" max="6272" width="7.44140625" style="313" customWidth="1"/>
    <col min="6273" max="6273" width="7" style="313"/>
    <col min="6274" max="6274" width="8.5546875" style="313" customWidth="1"/>
    <col min="6275" max="6275" width="12" style="313" customWidth="1"/>
    <col min="6276" max="6276" width="4.6640625" style="313" customWidth="1"/>
    <col min="6277" max="6277" width="9.109375" style="313" customWidth="1"/>
    <col min="6278" max="6278" width="11.6640625" style="313" customWidth="1"/>
    <col min="6279" max="6390" width="7" style="313"/>
    <col min="6391" max="6391" width="3.88671875" style="313" customWidth="1"/>
    <col min="6392" max="6392" width="12" style="313" customWidth="1"/>
    <col min="6393" max="6393" width="64.109375" style="313" customWidth="1"/>
    <col min="6394" max="6394" width="9.44140625" style="313" customWidth="1"/>
    <col min="6395" max="6395" width="9.109375" style="313" customWidth="1"/>
    <col min="6396" max="6396" width="11.109375" style="313" bestFit="1" customWidth="1"/>
    <col min="6397" max="6397" width="9.109375" style="313" customWidth="1"/>
    <col min="6398" max="6398" width="10.44140625" style="313" customWidth="1"/>
    <col min="6399" max="6399" width="9.109375" style="313" customWidth="1"/>
    <col min="6400" max="6400" width="10.6640625" style="313" customWidth="1"/>
    <col min="6401" max="6401" width="9.109375" style="313" customWidth="1"/>
    <col min="6402" max="6402" width="10.109375" style="313" customWidth="1"/>
    <col min="6403" max="6403" width="11.109375" style="313" customWidth="1"/>
    <col min="6404" max="6523" width="9.109375" style="313" customWidth="1"/>
    <col min="6524" max="6524" width="2.5546875" style="313" customWidth="1"/>
    <col min="6525" max="6525" width="9.109375" style="313" customWidth="1"/>
    <col min="6526" max="6526" width="47.88671875" style="313" customWidth="1"/>
    <col min="6527" max="6527" width="6.6640625" style="313" customWidth="1"/>
    <col min="6528" max="6528" width="7.44140625" style="313" customWidth="1"/>
    <col min="6529" max="6529" width="7" style="313"/>
    <col min="6530" max="6530" width="8.5546875" style="313" customWidth="1"/>
    <col min="6531" max="6531" width="12" style="313" customWidth="1"/>
    <col min="6532" max="6532" width="4.6640625" style="313" customWidth="1"/>
    <col min="6533" max="6533" width="9.109375" style="313" customWidth="1"/>
    <col min="6534" max="6534" width="11.6640625" style="313" customWidth="1"/>
    <col min="6535" max="6646" width="7" style="313"/>
    <col min="6647" max="6647" width="3.88671875" style="313" customWidth="1"/>
    <col min="6648" max="6648" width="12" style="313" customWidth="1"/>
    <col min="6649" max="6649" width="64.109375" style="313" customWidth="1"/>
    <col min="6650" max="6650" width="9.44140625" style="313" customWidth="1"/>
    <col min="6651" max="6651" width="9.109375" style="313" customWidth="1"/>
    <col min="6652" max="6652" width="11.109375" style="313" bestFit="1" customWidth="1"/>
    <col min="6653" max="6653" width="9.109375" style="313" customWidth="1"/>
    <col min="6654" max="6654" width="10.44140625" style="313" customWidth="1"/>
    <col min="6655" max="6655" width="9.109375" style="313" customWidth="1"/>
    <col min="6656" max="6656" width="10.6640625" style="313" customWidth="1"/>
    <col min="6657" max="6657" width="9.109375" style="313" customWidth="1"/>
    <col min="6658" max="6658" width="10.109375" style="313" customWidth="1"/>
    <col min="6659" max="6659" width="11.109375" style="313" customWidth="1"/>
    <col min="6660" max="6779" width="9.109375" style="313" customWidth="1"/>
    <col min="6780" max="6780" width="2.5546875" style="313" customWidth="1"/>
    <col min="6781" max="6781" width="9.109375" style="313" customWidth="1"/>
    <col min="6782" max="6782" width="47.88671875" style="313" customWidth="1"/>
    <col min="6783" max="6783" width="6.6640625" style="313" customWidth="1"/>
    <col min="6784" max="6784" width="7.44140625" style="313" customWidth="1"/>
    <col min="6785" max="6785" width="7" style="313"/>
    <col min="6786" max="6786" width="8.5546875" style="313" customWidth="1"/>
    <col min="6787" max="6787" width="12" style="313" customWidth="1"/>
    <col min="6788" max="6788" width="4.6640625" style="313" customWidth="1"/>
    <col min="6789" max="6789" width="9.109375" style="313" customWidth="1"/>
    <col min="6790" max="6790" width="11.6640625" style="313" customWidth="1"/>
    <col min="6791" max="6902" width="7" style="313"/>
    <col min="6903" max="6903" width="3.88671875" style="313" customWidth="1"/>
    <col min="6904" max="6904" width="12" style="313" customWidth="1"/>
    <col min="6905" max="6905" width="64.109375" style="313" customWidth="1"/>
    <col min="6906" max="6906" width="9.44140625" style="313" customWidth="1"/>
    <col min="6907" max="6907" width="9.109375" style="313" customWidth="1"/>
    <col min="6908" max="6908" width="11.109375" style="313" bestFit="1" customWidth="1"/>
    <col min="6909" max="6909" width="9.109375" style="313" customWidth="1"/>
    <col min="6910" max="6910" width="10.44140625" style="313" customWidth="1"/>
    <col min="6911" max="6911" width="9.109375" style="313" customWidth="1"/>
    <col min="6912" max="6912" width="10.6640625" style="313" customWidth="1"/>
    <col min="6913" max="6913" width="9.109375" style="313" customWidth="1"/>
    <col min="6914" max="6914" width="10.109375" style="313" customWidth="1"/>
    <col min="6915" max="6915" width="11.109375" style="313" customWidth="1"/>
    <col min="6916" max="7035" width="9.109375" style="313" customWidth="1"/>
    <col min="7036" max="7036" width="2.5546875" style="313" customWidth="1"/>
    <col min="7037" max="7037" width="9.109375" style="313" customWidth="1"/>
    <col min="7038" max="7038" width="47.88671875" style="313" customWidth="1"/>
    <col min="7039" max="7039" width="6.6640625" style="313" customWidth="1"/>
    <col min="7040" max="7040" width="7.44140625" style="313" customWidth="1"/>
    <col min="7041" max="7041" width="7" style="313"/>
    <col min="7042" max="7042" width="8.5546875" style="313" customWidth="1"/>
    <col min="7043" max="7043" width="12" style="313" customWidth="1"/>
    <col min="7044" max="7044" width="4.6640625" style="313" customWidth="1"/>
    <col min="7045" max="7045" width="9.109375" style="313" customWidth="1"/>
    <col min="7046" max="7046" width="11.6640625" style="313" customWidth="1"/>
    <col min="7047" max="7158" width="7" style="313"/>
    <col min="7159" max="7159" width="3.88671875" style="313" customWidth="1"/>
    <col min="7160" max="7160" width="12" style="313" customWidth="1"/>
    <col min="7161" max="7161" width="64.109375" style="313" customWidth="1"/>
    <col min="7162" max="7162" width="9.44140625" style="313" customWidth="1"/>
    <col min="7163" max="7163" width="9.109375" style="313" customWidth="1"/>
    <col min="7164" max="7164" width="11.109375" style="313" bestFit="1" customWidth="1"/>
    <col min="7165" max="7165" width="9.109375" style="313" customWidth="1"/>
    <col min="7166" max="7166" width="10.44140625" style="313" customWidth="1"/>
    <col min="7167" max="7167" width="9.109375" style="313" customWidth="1"/>
    <col min="7168" max="7168" width="10.6640625" style="313" customWidth="1"/>
    <col min="7169" max="7169" width="9.109375" style="313" customWidth="1"/>
    <col min="7170" max="7170" width="10.109375" style="313" customWidth="1"/>
    <col min="7171" max="7171" width="11.109375" style="313" customWidth="1"/>
    <col min="7172" max="7291" width="9.109375" style="313" customWidth="1"/>
    <col min="7292" max="7292" width="2.5546875" style="313" customWidth="1"/>
    <col min="7293" max="7293" width="9.109375" style="313" customWidth="1"/>
    <col min="7294" max="7294" width="47.88671875" style="313" customWidth="1"/>
    <col min="7295" max="7295" width="6.6640625" style="313" customWidth="1"/>
    <col min="7296" max="7296" width="7.44140625" style="313" customWidth="1"/>
    <col min="7297" max="7297" width="7" style="313"/>
    <col min="7298" max="7298" width="8.5546875" style="313" customWidth="1"/>
    <col min="7299" max="7299" width="12" style="313" customWidth="1"/>
    <col min="7300" max="7300" width="4.6640625" style="313" customWidth="1"/>
    <col min="7301" max="7301" width="9.109375" style="313" customWidth="1"/>
    <col min="7302" max="7302" width="11.6640625" style="313" customWidth="1"/>
    <col min="7303" max="7414" width="7" style="313"/>
    <col min="7415" max="7415" width="3.88671875" style="313" customWidth="1"/>
    <col min="7416" max="7416" width="12" style="313" customWidth="1"/>
    <col min="7417" max="7417" width="64.109375" style="313" customWidth="1"/>
    <col min="7418" max="7418" width="9.44140625" style="313" customWidth="1"/>
    <col min="7419" max="7419" width="9.109375" style="313" customWidth="1"/>
    <col min="7420" max="7420" width="11.109375" style="313" bestFit="1" customWidth="1"/>
    <col min="7421" max="7421" width="9.109375" style="313" customWidth="1"/>
    <col min="7422" max="7422" width="10.44140625" style="313" customWidth="1"/>
    <col min="7423" max="7423" width="9.109375" style="313" customWidth="1"/>
    <col min="7424" max="7424" width="10.6640625" style="313" customWidth="1"/>
    <col min="7425" max="7425" width="9.109375" style="313" customWidth="1"/>
    <col min="7426" max="7426" width="10.109375" style="313" customWidth="1"/>
    <col min="7427" max="7427" width="11.109375" style="313" customWidth="1"/>
    <col min="7428" max="7547" width="9.109375" style="313" customWidth="1"/>
    <col min="7548" max="7548" width="2.5546875" style="313" customWidth="1"/>
    <col min="7549" max="7549" width="9.109375" style="313" customWidth="1"/>
    <col min="7550" max="7550" width="47.88671875" style="313" customWidth="1"/>
    <col min="7551" max="7551" width="6.6640625" style="313" customWidth="1"/>
    <col min="7552" max="7552" width="7.44140625" style="313" customWidth="1"/>
    <col min="7553" max="7553" width="7" style="313"/>
    <col min="7554" max="7554" width="8.5546875" style="313" customWidth="1"/>
    <col min="7555" max="7555" width="12" style="313" customWidth="1"/>
    <col min="7556" max="7556" width="4.6640625" style="313" customWidth="1"/>
    <col min="7557" max="7557" width="9.109375" style="313" customWidth="1"/>
    <col min="7558" max="7558" width="11.6640625" style="313" customWidth="1"/>
    <col min="7559" max="7670" width="7" style="313"/>
    <col min="7671" max="7671" width="3.88671875" style="313" customWidth="1"/>
    <col min="7672" max="7672" width="12" style="313" customWidth="1"/>
    <col min="7673" max="7673" width="64.109375" style="313" customWidth="1"/>
    <col min="7674" max="7674" width="9.44140625" style="313" customWidth="1"/>
    <col min="7675" max="7675" width="9.109375" style="313" customWidth="1"/>
    <col min="7676" max="7676" width="11.109375" style="313" bestFit="1" customWidth="1"/>
    <col min="7677" max="7677" width="9.109375" style="313" customWidth="1"/>
    <col min="7678" max="7678" width="10.44140625" style="313" customWidth="1"/>
    <col min="7679" max="7679" width="9.109375" style="313" customWidth="1"/>
    <col min="7680" max="7680" width="10.6640625" style="313" customWidth="1"/>
    <col min="7681" max="7681" width="9.109375" style="313" customWidth="1"/>
    <col min="7682" max="7682" width="10.109375" style="313" customWidth="1"/>
    <col min="7683" max="7683" width="11.109375" style="313" customWidth="1"/>
    <col min="7684" max="7803" width="9.109375" style="313" customWidth="1"/>
    <col min="7804" max="7804" width="2.5546875" style="313" customWidth="1"/>
    <col min="7805" max="7805" width="9.109375" style="313" customWidth="1"/>
    <col min="7806" max="7806" width="47.88671875" style="313" customWidth="1"/>
    <col min="7807" max="7807" width="6.6640625" style="313" customWidth="1"/>
    <col min="7808" max="7808" width="7.44140625" style="313" customWidth="1"/>
    <col min="7809" max="7809" width="7" style="313"/>
    <col min="7810" max="7810" width="8.5546875" style="313" customWidth="1"/>
    <col min="7811" max="7811" width="12" style="313" customWidth="1"/>
    <col min="7812" max="7812" width="4.6640625" style="313" customWidth="1"/>
    <col min="7813" max="7813" width="9.109375" style="313" customWidth="1"/>
    <col min="7814" max="7814" width="11.6640625" style="313" customWidth="1"/>
    <col min="7815" max="7926" width="7" style="313"/>
    <col min="7927" max="7927" width="3.88671875" style="313" customWidth="1"/>
    <col min="7928" max="7928" width="12" style="313" customWidth="1"/>
    <col min="7929" max="7929" width="64.109375" style="313" customWidth="1"/>
    <col min="7930" max="7930" width="9.44140625" style="313" customWidth="1"/>
    <col min="7931" max="7931" width="9.109375" style="313" customWidth="1"/>
    <col min="7932" max="7932" width="11.109375" style="313" bestFit="1" customWidth="1"/>
    <col min="7933" max="7933" width="9.109375" style="313" customWidth="1"/>
    <col min="7934" max="7934" width="10.44140625" style="313" customWidth="1"/>
    <col min="7935" max="7935" width="9.109375" style="313" customWidth="1"/>
    <col min="7936" max="7936" width="10.6640625" style="313" customWidth="1"/>
    <col min="7937" max="7937" width="9.109375" style="313" customWidth="1"/>
    <col min="7938" max="7938" width="10.109375" style="313" customWidth="1"/>
    <col min="7939" max="7939" width="11.109375" style="313" customWidth="1"/>
    <col min="7940" max="8059" width="9.109375" style="313" customWidth="1"/>
    <col min="8060" max="8060" width="2.5546875" style="313" customWidth="1"/>
    <col min="8061" max="8061" width="9.109375" style="313" customWidth="1"/>
    <col min="8062" max="8062" width="47.88671875" style="313" customWidth="1"/>
    <col min="8063" max="8063" width="6.6640625" style="313" customWidth="1"/>
    <col min="8064" max="8064" width="7.44140625" style="313" customWidth="1"/>
    <col min="8065" max="8065" width="7" style="313"/>
    <col min="8066" max="8066" width="8.5546875" style="313" customWidth="1"/>
    <col min="8067" max="8067" width="12" style="313" customWidth="1"/>
    <col min="8068" max="8068" width="4.6640625" style="313" customWidth="1"/>
    <col min="8069" max="8069" width="9.109375" style="313" customWidth="1"/>
    <col min="8070" max="8070" width="11.6640625" style="313" customWidth="1"/>
    <col min="8071" max="8182" width="7" style="313"/>
    <col min="8183" max="8183" width="3.88671875" style="313" customWidth="1"/>
    <col min="8184" max="8184" width="12" style="313" customWidth="1"/>
    <col min="8185" max="8185" width="64.109375" style="313" customWidth="1"/>
    <col min="8186" max="8186" width="9.44140625" style="313" customWidth="1"/>
    <col min="8187" max="8187" width="9.109375" style="313" customWidth="1"/>
    <col min="8188" max="8188" width="11.109375" style="313" bestFit="1" customWidth="1"/>
    <col min="8189" max="8189" width="9.109375" style="313" customWidth="1"/>
    <col min="8190" max="8190" width="10.44140625" style="313" customWidth="1"/>
    <col min="8191" max="8191" width="9.109375" style="313" customWidth="1"/>
    <col min="8192" max="8192" width="10.6640625" style="313" customWidth="1"/>
    <col min="8193" max="8193" width="9.109375" style="313" customWidth="1"/>
    <col min="8194" max="8194" width="10.109375" style="313" customWidth="1"/>
    <col min="8195" max="8195" width="11.109375" style="313" customWidth="1"/>
    <col min="8196" max="8315" width="9.109375" style="313" customWidth="1"/>
    <col min="8316" max="8316" width="2.5546875" style="313" customWidth="1"/>
    <col min="8317" max="8317" width="9.109375" style="313" customWidth="1"/>
    <col min="8318" max="8318" width="47.88671875" style="313" customWidth="1"/>
    <col min="8319" max="8319" width="6.6640625" style="313" customWidth="1"/>
    <col min="8320" max="8320" width="7.44140625" style="313" customWidth="1"/>
    <col min="8321" max="8321" width="7" style="313"/>
    <col min="8322" max="8322" width="8.5546875" style="313" customWidth="1"/>
    <col min="8323" max="8323" width="12" style="313" customWidth="1"/>
    <col min="8324" max="8324" width="4.6640625" style="313" customWidth="1"/>
    <col min="8325" max="8325" width="9.109375" style="313" customWidth="1"/>
    <col min="8326" max="8326" width="11.6640625" style="313" customWidth="1"/>
    <col min="8327" max="8438" width="7" style="313"/>
    <col min="8439" max="8439" width="3.88671875" style="313" customWidth="1"/>
    <col min="8440" max="8440" width="12" style="313" customWidth="1"/>
    <col min="8441" max="8441" width="64.109375" style="313" customWidth="1"/>
    <col min="8442" max="8442" width="9.44140625" style="313" customWidth="1"/>
    <col min="8443" max="8443" width="9.109375" style="313" customWidth="1"/>
    <col min="8444" max="8444" width="11.109375" style="313" bestFit="1" customWidth="1"/>
    <col min="8445" max="8445" width="9.109375" style="313" customWidth="1"/>
    <col min="8446" max="8446" width="10.44140625" style="313" customWidth="1"/>
    <col min="8447" max="8447" width="9.109375" style="313" customWidth="1"/>
    <col min="8448" max="8448" width="10.6640625" style="313" customWidth="1"/>
    <col min="8449" max="8449" width="9.109375" style="313" customWidth="1"/>
    <col min="8450" max="8450" width="10.109375" style="313" customWidth="1"/>
    <col min="8451" max="8451" width="11.109375" style="313" customWidth="1"/>
    <col min="8452" max="8571" width="9.109375" style="313" customWidth="1"/>
    <col min="8572" max="8572" width="2.5546875" style="313" customWidth="1"/>
    <col min="8573" max="8573" width="9.109375" style="313" customWidth="1"/>
    <col min="8574" max="8574" width="47.88671875" style="313" customWidth="1"/>
    <col min="8575" max="8575" width="6.6640625" style="313" customWidth="1"/>
    <col min="8576" max="8576" width="7.44140625" style="313" customWidth="1"/>
    <col min="8577" max="8577" width="7" style="313"/>
    <col min="8578" max="8578" width="8.5546875" style="313" customWidth="1"/>
    <col min="8579" max="8579" width="12" style="313" customWidth="1"/>
    <col min="8580" max="8580" width="4.6640625" style="313" customWidth="1"/>
    <col min="8581" max="8581" width="9.109375" style="313" customWidth="1"/>
    <col min="8582" max="8582" width="11.6640625" style="313" customWidth="1"/>
    <col min="8583" max="8694" width="7" style="313"/>
    <col min="8695" max="8695" width="3.88671875" style="313" customWidth="1"/>
    <col min="8696" max="8696" width="12" style="313" customWidth="1"/>
    <col min="8697" max="8697" width="64.109375" style="313" customWidth="1"/>
    <col min="8698" max="8698" width="9.44140625" style="313" customWidth="1"/>
    <col min="8699" max="8699" width="9.109375" style="313" customWidth="1"/>
    <col min="8700" max="8700" width="11.109375" style="313" bestFit="1" customWidth="1"/>
    <col min="8701" max="8701" width="9.109375" style="313" customWidth="1"/>
    <col min="8702" max="8702" width="10.44140625" style="313" customWidth="1"/>
    <col min="8703" max="8703" width="9.109375" style="313" customWidth="1"/>
    <col min="8704" max="8704" width="10.6640625" style="313" customWidth="1"/>
    <col min="8705" max="8705" width="9.109375" style="313" customWidth="1"/>
    <col min="8706" max="8706" width="10.109375" style="313" customWidth="1"/>
    <col min="8707" max="8707" width="11.109375" style="313" customWidth="1"/>
    <col min="8708" max="8827" width="9.109375" style="313" customWidth="1"/>
    <col min="8828" max="8828" width="2.5546875" style="313" customWidth="1"/>
    <col min="8829" max="8829" width="9.109375" style="313" customWidth="1"/>
    <col min="8830" max="8830" width="47.88671875" style="313" customWidth="1"/>
    <col min="8831" max="8831" width="6.6640625" style="313" customWidth="1"/>
    <col min="8832" max="8832" width="7.44140625" style="313" customWidth="1"/>
    <col min="8833" max="8833" width="7" style="313"/>
    <col min="8834" max="8834" width="8.5546875" style="313" customWidth="1"/>
    <col min="8835" max="8835" width="12" style="313" customWidth="1"/>
    <col min="8836" max="8836" width="4.6640625" style="313" customWidth="1"/>
    <col min="8837" max="8837" width="9.109375" style="313" customWidth="1"/>
    <col min="8838" max="8838" width="11.6640625" style="313" customWidth="1"/>
    <col min="8839" max="8950" width="7" style="313"/>
    <col min="8951" max="8951" width="3.88671875" style="313" customWidth="1"/>
    <col min="8952" max="8952" width="12" style="313" customWidth="1"/>
    <col min="8953" max="8953" width="64.109375" style="313" customWidth="1"/>
    <col min="8954" max="8954" width="9.44140625" style="313" customWidth="1"/>
    <col min="8955" max="8955" width="9.109375" style="313" customWidth="1"/>
    <col min="8956" max="8956" width="11.109375" style="313" bestFit="1" customWidth="1"/>
    <col min="8957" max="8957" width="9.109375" style="313" customWidth="1"/>
    <col min="8958" max="8958" width="10.44140625" style="313" customWidth="1"/>
    <col min="8959" max="8959" width="9.109375" style="313" customWidth="1"/>
    <col min="8960" max="8960" width="10.6640625" style="313" customWidth="1"/>
    <col min="8961" max="8961" width="9.109375" style="313" customWidth="1"/>
    <col min="8962" max="8962" width="10.109375" style="313" customWidth="1"/>
    <col min="8963" max="8963" width="11.109375" style="313" customWidth="1"/>
    <col min="8964" max="9083" width="9.109375" style="313" customWidth="1"/>
    <col min="9084" max="9084" width="2.5546875" style="313" customWidth="1"/>
    <col min="9085" max="9085" width="9.109375" style="313" customWidth="1"/>
    <col min="9086" max="9086" width="47.88671875" style="313" customWidth="1"/>
    <col min="9087" max="9087" width="6.6640625" style="313" customWidth="1"/>
    <col min="9088" max="9088" width="7.44140625" style="313" customWidth="1"/>
    <col min="9089" max="9089" width="7" style="313"/>
    <col min="9090" max="9090" width="8.5546875" style="313" customWidth="1"/>
    <col min="9091" max="9091" width="12" style="313" customWidth="1"/>
    <col min="9092" max="9092" width="4.6640625" style="313" customWidth="1"/>
    <col min="9093" max="9093" width="9.109375" style="313" customWidth="1"/>
    <col min="9094" max="9094" width="11.6640625" style="313" customWidth="1"/>
    <col min="9095" max="9206" width="7" style="313"/>
    <col min="9207" max="9207" width="3.88671875" style="313" customWidth="1"/>
    <col min="9208" max="9208" width="12" style="313" customWidth="1"/>
    <col min="9209" max="9209" width="64.109375" style="313" customWidth="1"/>
    <col min="9210" max="9210" width="9.44140625" style="313" customWidth="1"/>
    <col min="9211" max="9211" width="9.109375" style="313" customWidth="1"/>
    <col min="9212" max="9212" width="11.109375" style="313" bestFit="1" customWidth="1"/>
    <col min="9213" max="9213" width="9.109375" style="313" customWidth="1"/>
    <col min="9214" max="9214" width="10.44140625" style="313" customWidth="1"/>
    <col min="9215" max="9215" width="9.109375" style="313" customWidth="1"/>
    <col min="9216" max="9216" width="10.6640625" style="313" customWidth="1"/>
    <col min="9217" max="9217" width="9.109375" style="313" customWidth="1"/>
    <col min="9218" max="9218" width="10.109375" style="313" customWidth="1"/>
    <col min="9219" max="9219" width="11.109375" style="313" customWidth="1"/>
    <col min="9220" max="9339" width="9.109375" style="313" customWidth="1"/>
    <col min="9340" max="9340" width="2.5546875" style="313" customWidth="1"/>
    <col min="9341" max="9341" width="9.109375" style="313" customWidth="1"/>
    <col min="9342" max="9342" width="47.88671875" style="313" customWidth="1"/>
    <col min="9343" max="9343" width="6.6640625" style="313" customWidth="1"/>
    <col min="9344" max="9344" width="7.44140625" style="313" customWidth="1"/>
    <col min="9345" max="9345" width="7" style="313"/>
    <col min="9346" max="9346" width="8.5546875" style="313" customWidth="1"/>
    <col min="9347" max="9347" width="12" style="313" customWidth="1"/>
    <col min="9348" max="9348" width="4.6640625" style="313" customWidth="1"/>
    <col min="9349" max="9349" width="9.109375" style="313" customWidth="1"/>
    <col min="9350" max="9350" width="11.6640625" style="313" customWidth="1"/>
    <col min="9351" max="9462" width="7" style="313"/>
    <col min="9463" max="9463" width="3.88671875" style="313" customWidth="1"/>
    <col min="9464" max="9464" width="12" style="313" customWidth="1"/>
    <col min="9465" max="9465" width="64.109375" style="313" customWidth="1"/>
    <col min="9466" max="9466" width="9.44140625" style="313" customWidth="1"/>
    <col min="9467" max="9467" width="9.109375" style="313" customWidth="1"/>
    <col min="9468" max="9468" width="11.109375" style="313" bestFit="1" customWidth="1"/>
    <col min="9469" max="9469" width="9.109375" style="313" customWidth="1"/>
    <col min="9470" max="9470" width="10.44140625" style="313" customWidth="1"/>
    <col min="9471" max="9471" width="9.109375" style="313" customWidth="1"/>
    <col min="9472" max="9472" width="10.6640625" style="313" customWidth="1"/>
    <col min="9473" max="9473" width="9.109375" style="313" customWidth="1"/>
    <col min="9474" max="9474" width="10.109375" style="313" customWidth="1"/>
    <col min="9475" max="9475" width="11.109375" style="313" customWidth="1"/>
    <col min="9476" max="9595" width="9.109375" style="313" customWidth="1"/>
    <col min="9596" max="9596" width="2.5546875" style="313" customWidth="1"/>
    <col min="9597" max="9597" width="9.109375" style="313" customWidth="1"/>
    <col min="9598" max="9598" width="47.88671875" style="313" customWidth="1"/>
    <col min="9599" max="9599" width="6.6640625" style="313" customWidth="1"/>
    <col min="9600" max="9600" width="7.44140625" style="313" customWidth="1"/>
    <col min="9601" max="9601" width="7" style="313"/>
    <col min="9602" max="9602" width="8.5546875" style="313" customWidth="1"/>
    <col min="9603" max="9603" width="12" style="313" customWidth="1"/>
    <col min="9604" max="9604" width="4.6640625" style="313" customWidth="1"/>
    <col min="9605" max="9605" width="9.109375" style="313" customWidth="1"/>
    <col min="9606" max="9606" width="11.6640625" style="313" customWidth="1"/>
    <col min="9607" max="9718" width="7" style="313"/>
    <col min="9719" max="9719" width="3.88671875" style="313" customWidth="1"/>
    <col min="9720" max="9720" width="12" style="313" customWidth="1"/>
    <col min="9721" max="9721" width="64.109375" style="313" customWidth="1"/>
    <col min="9722" max="9722" width="9.44140625" style="313" customWidth="1"/>
    <col min="9723" max="9723" width="9.109375" style="313" customWidth="1"/>
    <col min="9724" max="9724" width="11.109375" style="313" bestFit="1" customWidth="1"/>
    <col min="9725" max="9725" width="9.109375" style="313" customWidth="1"/>
    <col min="9726" max="9726" width="10.44140625" style="313" customWidth="1"/>
    <col min="9727" max="9727" width="9.109375" style="313" customWidth="1"/>
    <col min="9728" max="9728" width="10.6640625" style="313" customWidth="1"/>
    <col min="9729" max="9729" width="9.109375" style="313" customWidth="1"/>
    <col min="9730" max="9730" width="10.109375" style="313" customWidth="1"/>
    <col min="9731" max="9731" width="11.109375" style="313" customWidth="1"/>
    <col min="9732" max="9851" width="9.109375" style="313" customWidth="1"/>
    <col min="9852" max="9852" width="2.5546875" style="313" customWidth="1"/>
    <col min="9853" max="9853" width="9.109375" style="313" customWidth="1"/>
    <col min="9854" max="9854" width="47.88671875" style="313" customWidth="1"/>
    <col min="9855" max="9855" width="6.6640625" style="313" customWidth="1"/>
    <col min="9856" max="9856" width="7.44140625" style="313" customWidth="1"/>
    <col min="9857" max="9857" width="7" style="313"/>
    <col min="9858" max="9858" width="8.5546875" style="313" customWidth="1"/>
    <col min="9859" max="9859" width="12" style="313" customWidth="1"/>
    <col min="9860" max="9860" width="4.6640625" style="313" customWidth="1"/>
    <col min="9861" max="9861" width="9.109375" style="313" customWidth="1"/>
    <col min="9862" max="9862" width="11.6640625" style="313" customWidth="1"/>
    <col min="9863" max="9974" width="7" style="313"/>
    <col min="9975" max="9975" width="3.88671875" style="313" customWidth="1"/>
    <col min="9976" max="9976" width="12" style="313" customWidth="1"/>
    <col min="9977" max="9977" width="64.109375" style="313" customWidth="1"/>
    <col min="9978" max="9978" width="9.44140625" style="313" customWidth="1"/>
    <col min="9979" max="9979" width="9.109375" style="313" customWidth="1"/>
    <col min="9980" max="9980" width="11.109375" style="313" bestFit="1" customWidth="1"/>
    <col min="9981" max="9981" width="9.109375" style="313" customWidth="1"/>
    <col min="9982" max="9982" width="10.44140625" style="313" customWidth="1"/>
    <col min="9983" max="9983" width="9.109375" style="313" customWidth="1"/>
    <col min="9984" max="9984" width="10.6640625" style="313" customWidth="1"/>
    <col min="9985" max="9985" width="9.109375" style="313" customWidth="1"/>
    <col min="9986" max="9986" width="10.109375" style="313" customWidth="1"/>
    <col min="9987" max="9987" width="11.109375" style="313" customWidth="1"/>
    <col min="9988" max="10107" width="9.109375" style="313" customWidth="1"/>
    <col min="10108" max="10108" width="2.5546875" style="313" customWidth="1"/>
    <col min="10109" max="10109" width="9.109375" style="313" customWidth="1"/>
    <col min="10110" max="10110" width="47.88671875" style="313" customWidth="1"/>
    <col min="10111" max="10111" width="6.6640625" style="313" customWidth="1"/>
    <col min="10112" max="10112" width="7.44140625" style="313" customWidth="1"/>
    <col min="10113" max="10113" width="7" style="313"/>
    <col min="10114" max="10114" width="8.5546875" style="313" customWidth="1"/>
    <col min="10115" max="10115" width="12" style="313" customWidth="1"/>
    <col min="10116" max="10116" width="4.6640625" style="313" customWidth="1"/>
    <col min="10117" max="10117" width="9.109375" style="313" customWidth="1"/>
    <col min="10118" max="10118" width="11.6640625" style="313" customWidth="1"/>
    <col min="10119" max="10230" width="7" style="313"/>
    <col min="10231" max="10231" width="3.88671875" style="313" customWidth="1"/>
    <col min="10232" max="10232" width="12" style="313" customWidth="1"/>
    <col min="10233" max="10233" width="64.109375" style="313" customWidth="1"/>
    <col min="10234" max="10234" width="9.44140625" style="313" customWidth="1"/>
    <col min="10235" max="10235" width="9.109375" style="313" customWidth="1"/>
    <col min="10236" max="10236" width="11.109375" style="313" bestFit="1" customWidth="1"/>
    <col min="10237" max="10237" width="9.109375" style="313" customWidth="1"/>
    <col min="10238" max="10238" width="10.44140625" style="313" customWidth="1"/>
    <col min="10239" max="10239" width="9.109375" style="313" customWidth="1"/>
    <col min="10240" max="10240" width="10.6640625" style="313" customWidth="1"/>
    <col min="10241" max="10241" width="9.109375" style="313" customWidth="1"/>
    <col min="10242" max="10242" width="10.109375" style="313" customWidth="1"/>
    <col min="10243" max="10243" width="11.109375" style="313" customWidth="1"/>
    <col min="10244" max="10363" width="9.109375" style="313" customWidth="1"/>
    <col min="10364" max="10364" width="2.5546875" style="313" customWidth="1"/>
    <col min="10365" max="10365" width="9.109375" style="313" customWidth="1"/>
    <col min="10366" max="10366" width="47.88671875" style="313" customWidth="1"/>
    <col min="10367" max="10367" width="6.6640625" style="313" customWidth="1"/>
    <col min="10368" max="10368" width="7.44140625" style="313" customWidth="1"/>
    <col min="10369" max="10369" width="7" style="313"/>
    <col min="10370" max="10370" width="8.5546875" style="313" customWidth="1"/>
    <col min="10371" max="10371" width="12" style="313" customWidth="1"/>
    <col min="10372" max="10372" width="4.6640625" style="313" customWidth="1"/>
    <col min="10373" max="10373" width="9.109375" style="313" customWidth="1"/>
    <col min="10374" max="10374" width="11.6640625" style="313" customWidth="1"/>
    <col min="10375" max="10486" width="7" style="313"/>
    <col min="10487" max="10487" width="3.88671875" style="313" customWidth="1"/>
    <col min="10488" max="10488" width="12" style="313" customWidth="1"/>
    <col min="10489" max="10489" width="64.109375" style="313" customWidth="1"/>
    <col min="10490" max="10490" width="9.44140625" style="313" customWidth="1"/>
    <col min="10491" max="10491" width="9.109375" style="313" customWidth="1"/>
    <col min="10492" max="10492" width="11.109375" style="313" bestFit="1" customWidth="1"/>
    <col min="10493" max="10493" width="9.109375" style="313" customWidth="1"/>
    <col min="10494" max="10494" width="10.44140625" style="313" customWidth="1"/>
    <col min="10495" max="10495" width="9.109375" style="313" customWidth="1"/>
    <col min="10496" max="10496" width="10.6640625" style="313" customWidth="1"/>
    <col min="10497" max="10497" width="9.109375" style="313" customWidth="1"/>
    <col min="10498" max="10498" width="10.109375" style="313" customWidth="1"/>
    <col min="10499" max="10499" width="11.109375" style="313" customWidth="1"/>
    <col min="10500" max="10619" width="9.109375" style="313" customWidth="1"/>
    <col min="10620" max="10620" width="2.5546875" style="313" customWidth="1"/>
    <col min="10621" max="10621" width="9.109375" style="313" customWidth="1"/>
    <col min="10622" max="10622" width="47.88671875" style="313" customWidth="1"/>
    <col min="10623" max="10623" width="6.6640625" style="313" customWidth="1"/>
    <col min="10624" max="10624" width="7.44140625" style="313" customWidth="1"/>
    <col min="10625" max="10625" width="7" style="313"/>
    <col min="10626" max="10626" width="8.5546875" style="313" customWidth="1"/>
    <col min="10627" max="10627" width="12" style="313" customWidth="1"/>
    <col min="10628" max="10628" width="4.6640625" style="313" customWidth="1"/>
    <col min="10629" max="10629" width="9.109375" style="313" customWidth="1"/>
    <col min="10630" max="10630" width="11.6640625" style="313" customWidth="1"/>
    <col min="10631" max="10742" width="7" style="313"/>
    <col min="10743" max="10743" width="3.88671875" style="313" customWidth="1"/>
    <col min="10744" max="10744" width="12" style="313" customWidth="1"/>
    <col min="10745" max="10745" width="64.109375" style="313" customWidth="1"/>
    <col min="10746" max="10746" width="9.44140625" style="313" customWidth="1"/>
    <col min="10747" max="10747" width="9.109375" style="313" customWidth="1"/>
    <col min="10748" max="10748" width="11.109375" style="313" bestFit="1" customWidth="1"/>
    <col min="10749" max="10749" width="9.109375" style="313" customWidth="1"/>
    <col min="10750" max="10750" width="10.44140625" style="313" customWidth="1"/>
    <col min="10751" max="10751" width="9.109375" style="313" customWidth="1"/>
    <col min="10752" max="10752" width="10.6640625" style="313" customWidth="1"/>
    <col min="10753" max="10753" width="9.109375" style="313" customWidth="1"/>
    <col min="10754" max="10754" width="10.109375" style="313" customWidth="1"/>
    <col min="10755" max="10755" width="11.109375" style="313" customWidth="1"/>
    <col min="10756" max="10875" width="9.109375" style="313" customWidth="1"/>
    <col min="10876" max="10876" width="2.5546875" style="313" customWidth="1"/>
    <col min="10877" max="10877" width="9.109375" style="313" customWidth="1"/>
    <col min="10878" max="10878" width="47.88671875" style="313" customWidth="1"/>
    <col min="10879" max="10879" width="6.6640625" style="313" customWidth="1"/>
    <col min="10880" max="10880" width="7.44140625" style="313" customWidth="1"/>
    <col min="10881" max="10881" width="7" style="313"/>
    <col min="10882" max="10882" width="8.5546875" style="313" customWidth="1"/>
    <col min="10883" max="10883" width="12" style="313" customWidth="1"/>
    <col min="10884" max="10884" width="4.6640625" style="313" customWidth="1"/>
    <col min="10885" max="10885" width="9.109375" style="313" customWidth="1"/>
    <col min="10886" max="10886" width="11.6640625" style="313" customWidth="1"/>
    <col min="10887" max="10998" width="7" style="313"/>
    <col min="10999" max="10999" width="3.88671875" style="313" customWidth="1"/>
    <col min="11000" max="11000" width="12" style="313" customWidth="1"/>
    <col min="11001" max="11001" width="64.109375" style="313" customWidth="1"/>
    <col min="11002" max="11002" width="9.44140625" style="313" customWidth="1"/>
    <col min="11003" max="11003" width="9.109375" style="313" customWidth="1"/>
    <col min="11004" max="11004" width="11.109375" style="313" bestFit="1" customWidth="1"/>
    <col min="11005" max="11005" width="9.109375" style="313" customWidth="1"/>
    <col min="11006" max="11006" width="10.44140625" style="313" customWidth="1"/>
    <col min="11007" max="11007" width="9.109375" style="313" customWidth="1"/>
    <col min="11008" max="11008" width="10.6640625" style="313" customWidth="1"/>
    <col min="11009" max="11009" width="9.109375" style="313" customWidth="1"/>
    <col min="11010" max="11010" width="10.109375" style="313" customWidth="1"/>
    <col min="11011" max="11011" width="11.109375" style="313" customWidth="1"/>
    <col min="11012" max="11131" width="9.109375" style="313" customWidth="1"/>
    <col min="11132" max="11132" width="2.5546875" style="313" customWidth="1"/>
    <col min="11133" max="11133" width="9.109375" style="313" customWidth="1"/>
    <col min="11134" max="11134" width="47.88671875" style="313" customWidth="1"/>
    <col min="11135" max="11135" width="6.6640625" style="313" customWidth="1"/>
    <col min="11136" max="11136" width="7.44140625" style="313" customWidth="1"/>
    <col min="11137" max="11137" width="7" style="313"/>
    <col min="11138" max="11138" width="8.5546875" style="313" customWidth="1"/>
    <col min="11139" max="11139" width="12" style="313" customWidth="1"/>
    <col min="11140" max="11140" width="4.6640625" style="313" customWidth="1"/>
    <col min="11141" max="11141" width="9.109375" style="313" customWidth="1"/>
    <col min="11142" max="11142" width="11.6640625" style="313" customWidth="1"/>
    <col min="11143" max="11254" width="7" style="313"/>
    <col min="11255" max="11255" width="3.88671875" style="313" customWidth="1"/>
    <col min="11256" max="11256" width="12" style="313" customWidth="1"/>
    <col min="11257" max="11257" width="64.109375" style="313" customWidth="1"/>
    <col min="11258" max="11258" width="9.44140625" style="313" customWidth="1"/>
    <col min="11259" max="11259" width="9.109375" style="313" customWidth="1"/>
    <col min="11260" max="11260" width="11.109375" style="313" bestFit="1" customWidth="1"/>
    <col min="11261" max="11261" width="9.109375" style="313" customWidth="1"/>
    <col min="11262" max="11262" width="10.44140625" style="313" customWidth="1"/>
    <col min="11263" max="11263" width="9.109375" style="313" customWidth="1"/>
    <col min="11264" max="11264" width="10.6640625" style="313" customWidth="1"/>
    <col min="11265" max="11265" width="9.109375" style="313" customWidth="1"/>
    <col min="11266" max="11266" width="10.109375" style="313" customWidth="1"/>
    <col min="11267" max="11267" width="11.109375" style="313" customWidth="1"/>
    <col min="11268" max="11387" width="9.109375" style="313" customWidth="1"/>
    <col min="11388" max="11388" width="2.5546875" style="313" customWidth="1"/>
    <col min="11389" max="11389" width="9.109375" style="313" customWidth="1"/>
    <col min="11390" max="11390" width="47.88671875" style="313" customWidth="1"/>
    <col min="11391" max="11391" width="6.6640625" style="313" customWidth="1"/>
    <col min="11392" max="11392" width="7.44140625" style="313" customWidth="1"/>
    <col min="11393" max="11393" width="7" style="313"/>
    <col min="11394" max="11394" width="8.5546875" style="313" customWidth="1"/>
    <col min="11395" max="11395" width="12" style="313" customWidth="1"/>
    <col min="11396" max="11396" width="4.6640625" style="313" customWidth="1"/>
    <col min="11397" max="11397" width="9.109375" style="313" customWidth="1"/>
    <col min="11398" max="11398" width="11.6640625" style="313" customWidth="1"/>
    <col min="11399" max="11510" width="7" style="313"/>
    <col min="11511" max="11511" width="3.88671875" style="313" customWidth="1"/>
    <col min="11512" max="11512" width="12" style="313" customWidth="1"/>
    <col min="11513" max="11513" width="64.109375" style="313" customWidth="1"/>
    <col min="11514" max="11514" width="9.44140625" style="313" customWidth="1"/>
    <col min="11515" max="11515" width="9.109375" style="313" customWidth="1"/>
    <col min="11516" max="11516" width="11.109375" style="313" bestFit="1" customWidth="1"/>
    <col min="11517" max="11517" width="9.109375" style="313" customWidth="1"/>
    <col min="11518" max="11518" width="10.44140625" style="313" customWidth="1"/>
    <col min="11519" max="11519" width="9.109375" style="313" customWidth="1"/>
    <col min="11520" max="11520" width="10.6640625" style="313" customWidth="1"/>
    <col min="11521" max="11521" width="9.109375" style="313" customWidth="1"/>
    <col min="11522" max="11522" width="10.109375" style="313" customWidth="1"/>
    <col min="11523" max="11523" width="11.109375" style="313" customWidth="1"/>
    <col min="11524" max="11643" width="9.109375" style="313" customWidth="1"/>
    <col min="11644" max="11644" width="2.5546875" style="313" customWidth="1"/>
    <col min="11645" max="11645" width="9.109375" style="313" customWidth="1"/>
    <col min="11646" max="11646" width="47.88671875" style="313" customWidth="1"/>
    <col min="11647" max="11647" width="6.6640625" style="313" customWidth="1"/>
    <col min="11648" max="11648" width="7.44140625" style="313" customWidth="1"/>
    <col min="11649" max="11649" width="7" style="313"/>
    <col min="11650" max="11650" width="8.5546875" style="313" customWidth="1"/>
    <col min="11651" max="11651" width="12" style="313" customWidth="1"/>
    <col min="11652" max="11652" width="4.6640625" style="313" customWidth="1"/>
    <col min="11653" max="11653" width="9.109375" style="313" customWidth="1"/>
    <col min="11654" max="11654" width="11.6640625" style="313" customWidth="1"/>
    <col min="11655" max="11766" width="7" style="313"/>
    <col min="11767" max="11767" width="3.88671875" style="313" customWidth="1"/>
    <col min="11768" max="11768" width="12" style="313" customWidth="1"/>
    <col min="11769" max="11769" width="64.109375" style="313" customWidth="1"/>
    <col min="11770" max="11770" width="9.44140625" style="313" customWidth="1"/>
    <col min="11771" max="11771" width="9.109375" style="313" customWidth="1"/>
    <col min="11772" max="11772" width="11.109375" style="313" bestFit="1" customWidth="1"/>
    <col min="11773" max="11773" width="9.109375" style="313" customWidth="1"/>
    <col min="11774" max="11774" width="10.44140625" style="313" customWidth="1"/>
    <col min="11775" max="11775" width="9.109375" style="313" customWidth="1"/>
    <col min="11776" max="11776" width="10.6640625" style="313" customWidth="1"/>
    <col min="11777" max="11777" width="9.109375" style="313" customWidth="1"/>
    <col min="11778" max="11778" width="10.109375" style="313" customWidth="1"/>
    <col min="11779" max="11779" width="11.109375" style="313" customWidth="1"/>
    <col min="11780" max="11899" width="9.109375" style="313" customWidth="1"/>
    <col min="11900" max="11900" width="2.5546875" style="313" customWidth="1"/>
    <col min="11901" max="11901" width="9.109375" style="313" customWidth="1"/>
    <col min="11902" max="11902" width="47.88671875" style="313" customWidth="1"/>
    <col min="11903" max="11903" width="6.6640625" style="313" customWidth="1"/>
    <col min="11904" max="11904" width="7.44140625" style="313" customWidth="1"/>
    <col min="11905" max="11905" width="7" style="313"/>
    <col min="11906" max="11906" width="8.5546875" style="313" customWidth="1"/>
    <col min="11907" max="11907" width="12" style="313" customWidth="1"/>
    <col min="11908" max="11908" width="4.6640625" style="313" customWidth="1"/>
    <col min="11909" max="11909" width="9.109375" style="313" customWidth="1"/>
    <col min="11910" max="11910" width="11.6640625" style="313" customWidth="1"/>
    <col min="11911" max="12022" width="7" style="313"/>
    <col min="12023" max="12023" width="3.88671875" style="313" customWidth="1"/>
    <col min="12024" max="12024" width="12" style="313" customWidth="1"/>
    <col min="12025" max="12025" width="64.109375" style="313" customWidth="1"/>
    <col min="12026" max="12026" width="9.44140625" style="313" customWidth="1"/>
    <col min="12027" max="12027" width="9.109375" style="313" customWidth="1"/>
    <col min="12028" max="12028" width="11.109375" style="313" bestFit="1" customWidth="1"/>
    <col min="12029" max="12029" width="9.109375" style="313" customWidth="1"/>
    <col min="12030" max="12030" width="10.44140625" style="313" customWidth="1"/>
    <col min="12031" max="12031" width="9.109375" style="313" customWidth="1"/>
    <col min="12032" max="12032" width="10.6640625" style="313" customWidth="1"/>
    <col min="12033" max="12033" width="9.109375" style="313" customWidth="1"/>
    <col min="12034" max="12034" width="10.109375" style="313" customWidth="1"/>
    <col min="12035" max="12035" width="11.109375" style="313" customWidth="1"/>
    <col min="12036" max="12155" width="9.109375" style="313" customWidth="1"/>
    <col min="12156" max="12156" width="2.5546875" style="313" customWidth="1"/>
    <col min="12157" max="12157" width="9.109375" style="313" customWidth="1"/>
    <col min="12158" max="12158" width="47.88671875" style="313" customWidth="1"/>
    <col min="12159" max="12159" width="6.6640625" style="313" customWidth="1"/>
    <col min="12160" max="12160" width="7.44140625" style="313" customWidth="1"/>
    <col min="12161" max="12161" width="7" style="313"/>
    <col min="12162" max="12162" width="8.5546875" style="313" customWidth="1"/>
    <col min="12163" max="12163" width="12" style="313" customWidth="1"/>
    <col min="12164" max="12164" width="4.6640625" style="313" customWidth="1"/>
    <col min="12165" max="12165" width="9.109375" style="313" customWidth="1"/>
    <col min="12166" max="12166" width="11.6640625" style="313" customWidth="1"/>
    <col min="12167" max="12278" width="7" style="313"/>
    <col min="12279" max="12279" width="3.88671875" style="313" customWidth="1"/>
    <col min="12280" max="12280" width="12" style="313" customWidth="1"/>
    <col min="12281" max="12281" width="64.109375" style="313" customWidth="1"/>
    <col min="12282" max="12282" width="9.44140625" style="313" customWidth="1"/>
    <col min="12283" max="12283" width="9.109375" style="313" customWidth="1"/>
    <col min="12284" max="12284" width="11.109375" style="313" bestFit="1" customWidth="1"/>
    <col min="12285" max="12285" width="9.109375" style="313" customWidth="1"/>
    <col min="12286" max="12286" width="10.44140625" style="313" customWidth="1"/>
    <col min="12287" max="12287" width="9.109375" style="313" customWidth="1"/>
    <col min="12288" max="12288" width="10.6640625" style="313" customWidth="1"/>
    <col min="12289" max="12289" width="9.109375" style="313" customWidth="1"/>
    <col min="12290" max="12290" width="10.109375" style="313" customWidth="1"/>
    <col min="12291" max="12291" width="11.109375" style="313" customWidth="1"/>
    <col min="12292" max="12411" width="9.109375" style="313" customWidth="1"/>
    <col min="12412" max="12412" width="2.5546875" style="313" customWidth="1"/>
    <col min="12413" max="12413" width="9.109375" style="313" customWidth="1"/>
    <col min="12414" max="12414" width="47.88671875" style="313" customWidth="1"/>
    <col min="12415" max="12415" width="6.6640625" style="313" customWidth="1"/>
    <col min="12416" max="12416" width="7.44140625" style="313" customWidth="1"/>
    <col min="12417" max="12417" width="7" style="313"/>
    <col min="12418" max="12418" width="8.5546875" style="313" customWidth="1"/>
    <col min="12419" max="12419" width="12" style="313" customWidth="1"/>
    <col min="12420" max="12420" width="4.6640625" style="313" customWidth="1"/>
    <col min="12421" max="12421" width="9.109375" style="313" customWidth="1"/>
    <col min="12422" max="12422" width="11.6640625" style="313" customWidth="1"/>
    <col min="12423" max="12534" width="7" style="313"/>
    <col min="12535" max="12535" width="3.88671875" style="313" customWidth="1"/>
    <col min="12536" max="12536" width="12" style="313" customWidth="1"/>
    <col min="12537" max="12537" width="64.109375" style="313" customWidth="1"/>
    <col min="12538" max="12538" width="9.44140625" style="313" customWidth="1"/>
    <col min="12539" max="12539" width="9.109375" style="313" customWidth="1"/>
    <col min="12540" max="12540" width="11.109375" style="313" bestFit="1" customWidth="1"/>
    <col min="12541" max="12541" width="9.109375" style="313" customWidth="1"/>
    <col min="12542" max="12542" width="10.44140625" style="313" customWidth="1"/>
    <col min="12543" max="12543" width="9.109375" style="313" customWidth="1"/>
    <col min="12544" max="12544" width="10.6640625" style="313" customWidth="1"/>
    <col min="12545" max="12545" width="9.109375" style="313" customWidth="1"/>
    <col min="12546" max="12546" width="10.109375" style="313" customWidth="1"/>
    <col min="12547" max="12547" width="11.109375" style="313" customWidth="1"/>
    <col min="12548" max="12667" width="9.109375" style="313" customWidth="1"/>
    <col min="12668" max="12668" width="2.5546875" style="313" customWidth="1"/>
    <col min="12669" max="12669" width="9.109375" style="313" customWidth="1"/>
    <col min="12670" max="12670" width="47.88671875" style="313" customWidth="1"/>
    <col min="12671" max="12671" width="6.6640625" style="313" customWidth="1"/>
    <col min="12672" max="12672" width="7.44140625" style="313" customWidth="1"/>
    <col min="12673" max="12673" width="7" style="313"/>
    <col min="12674" max="12674" width="8.5546875" style="313" customWidth="1"/>
    <col min="12675" max="12675" width="12" style="313" customWidth="1"/>
    <col min="12676" max="12676" width="4.6640625" style="313" customWidth="1"/>
    <col min="12677" max="12677" width="9.109375" style="313" customWidth="1"/>
    <col min="12678" max="12678" width="11.6640625" style="313" customWidth="1"/>
    <col min="12679" max="12790" width="7" style="313"/>
    <col min="12791" max="12791" width="3.88671875" style="313" customWidth="1"/>
    <col min="12792" max="12792" width="12" style="313" customWidth="1"/>
    <col min="12793" max="12793" width="64.109375" style="313" customWidth="1"/>
    <col min="12794" max="12794" width="9.44140625" style="313" customWidth="1"/>
    <col min="12795" max="12795" width="9.109375" style="313" customWidth="1"/>
    <col min="12796" max="12796" width="11.109375" style="313" bestFit="1" customWidth="1"/>
    <col min="12797" max="12797" width="9.109375" style="313" customWidth="1"/>
    <col min="12798" max="12798" width="10.44140625" style="313" customWidth="1"/>
    <col min="12799" max="12799" width="9.109375" style="313" customWidth="1"/>
    <col min="12800" max="12800" width="10.6640625" style="313" customWidth="1"/>
    <col min="12801" max="12801" width="9.109375" style="313" customWidth="1"/>
    <col min="12802" max="12802" width="10.109375" style="313" customWidth="1"/>
    <col min="12803" max="12803" width="11.109375" style="313" customWidth="1"/>
    <col min="12804" max="12923" width="9.109375" style="313" customWidth="1"/>
    <col min="12924" max="12924" width="2.5546875" style="313" customWidth="1"/>
    <col min="12925" max="12925" width="9.109375" style="313" customWidth="1"/>
    <col min="12926" max="12926" width="47.88671875" style="313" customWidth="1"/>
    <col min="12927" max="12927" width="6.6640625" style="313" customWidth="1"/>
    <col min="12928" max="12928" width="7.44140625" style="313" customWidth="1"/>
    <col min="12929" max="12929" width="7" style="313"/>
    <col min="12930" max="12930" width="8.5546875" style="313" customWidth="1"/>
    <col min="12931" max="12931" width="12" style="313" customWidth="1"/>
    <col min="12932" max="12932" width="4.6640625" style="313" customWidth="1"/>
    <col min="12933" max="12933" width="9.109375" style="313" customWidth="1"/>
    <col min="12934" max="12934" width="11.6640625" style="313" customWidth="1"/>
    <col min="12935" max="13046" width="7" style="313"/>
    <col min="13047" max="13047" width="3.88671875" style="313" customWidth="1"/>
    <col min="13048" max="13048" width="12" style="313" customWidth="1"/>
    <col min="13049" max="13049" width="64.109375" style="313" customWidth="1"/>
    <col min="13050" max="13050" width="9.44140625" style="313" customWidth="1"/>
    <col min="13051" max="13051" width="9.109375" style="313" customWidth="1"/>
    <col min="13052" max="13052" width="11.109375" style="313" bestFit="1" customWidth="1"/>
    <col min="13053" max="13053" width="9.109375" style="313" customWidth="1"/>
    <col min="13054" max="13054" width="10.44140625" style="313" customWidth="1"/>
    <col min="13055" max="13055" width="9.109375" style="313" customWidth="1"/>
    <col min="13056" max="13056" width="10.6640625" style="313" customWidth="1"/>
    <col min="13057" max="13057" width="9.109375" style="313" customWidth="1"/>
    <col min="13058" max="13058" width="10.109375" style="313" customWidth="1"/>
    <col min="13059" max="13059" width="11.109375" style="313" customWidth="1"/>
    <col min="13060" max="13179" width="9.109375" style="313" customWidth="1"/>
    <col min="13180" max="13180" width="2.5546875" style="313" customWidth="1"/>
    <col min="13181" max="13181" width="9.109375" style="313" customWidth="1"/>
    <col min="13182" max="13182" width="47.88671875" style="313" customWidth="1"/>
    <col min="13183" max="13183" width="6.6640625" style="313" customWidth="1"/>
    <col min="13184" max="13184" width="7.44140625" style="313" customWidth="1"/>
    <col min="13185" max="13185" width="7" style="313"/>
    <col min="13186" max="13186" width="8.5546875" style="313" customWidth="1"/>
    <col min="13187" max="13187" width="12" style="313" customWidth="1"/>
    <col min="13188" max="13188" width="4.6640625" style="313" customWidth="1"/>
    <col min="13189" max="13189" width="9.109375" style="313" customWidth="1"/>
    <col min="13190" max="13190" width="11.6640625" style="313" customWidth="1"/>
    <col min="13191" max="13302" width="7" style="313"/>
    <col min="13303" max="13303" width="3.88671875" style="313" customWidth="1"/>
    <col min="13304" max="13304" width="12" style="313" customWidth="1"/>
    <col min="13305" max="13305" width="64.109375" style="313" customWidth="1"/>
    <col min="13306" max="13306" width="9.44140625" style="313" customWidth="1"/>
    <col min="13307" max="13307" width="9.109375" style="313" customWidth="1"/>
    <col min="13308" max="13308" width="11.109375" style="313" bestFit="1" customWidth="1"/>
    <col min="13309" max="13309" width="9.109375" style="313" customWidth="1"/>
    <col min="13310" max="13310" width="10.44140625" style="313" customWidth="1"/>
    <col min="13311" max="13311" width="9.109375" style="313" customWidth="1"/>
    <col min="13312" max="13312" width="10.6640625" style="313" customWidth="1"/>
    <col min="13313" max="13313" width="9.109375" style="313" customWidth="1"/>
    <col min="13314" max="13314" width="10.109375" style="313" customWidth="1"/>
    <col min="13315" max="13315" width="11.109375" style="313" customWidth="1"/>
    <col min="13316" max="13435" width="9.109375" style="313" customWidth="1"/>
    <col min="13436" max="13436" width="2.5546875" style="313" customWidth="1"/>
    <col min="13437" max="13437" width="9.109375" style="313" customWidth="1"/>
    <col min="13438" max="13438" width="47.88671875" style="313" customWidth="1"/>
    <col min="13439" max="13439" width="6.6640625" style="313" customWidth="1"/>
    <col min="13440" max="13440" width="7.44140625" style="313" customWidth="1"/>
    <col min="13441" max="13441" width="7" style="313"/>
    <col min="13442" max="13442" width="8.5546875" style="313" customWidth="1"/>
    <col min="13443" max="13443" width="12" style="313" customWidth="1"/>
    <col min="13444" max="13444" width="4.6640625" style="313" customWidth="1"/>
    <col min="13445" max="13445" width="9.109375" style="313" customWidth="1"/>
    <col min="13446" max="13446" width="11.6640625" style="313" customWidth="1"/>
    <col min="13447" max="13558" width="7" style="313"/>
    <col min="13559" max="13559" width="3.88671875" style="313" customWidth="1"/>
    <col min="13560" max="13560" width="12" style="313" customWidth="1"/>
    <col min="13561" max="13561" width="64.109375" style="313" customWidth="1"/>
    <col min="13562" max="13562" width="9.44140625" style="313" customWidth="1"/>
    <col min="13563" max="13563" width="9.109375" style="313" customWidth="1"/>
    <col min="13564" max="13564" width="11.109375" style="313" bestFit="1" customWidth="1"/>
    <col min="13565" max="13565" width="9.109375" style="313" customWidth="1"/>
    <col min="13566" max="13566" width="10.44140625" style="313" customWidth="1"/>
    <col min="13567" max="13567" width="9.109375" style="313" customWidth="1"/>
    <col min="13568" max="13568" width="10.6640625" style="313" customWidth="1"/>
    <col min="13569" max="13569" width="9.109375" style="313" customWidth="1"/>
    <col min="13570" max="13570" width="10.109375" style="313" customWidth="1"/>
    <col min="13571" max="13571" width="11.109375" style="313" customWidth="1"/>
    <col min="13572" max="13691" width="9.109375" style="313" customWidth="1"/>
    <col min="13692" max="13692" width="2.5546875" style="313" customWidth="1"/>
    <col min="13693" max="13693" width="9.109375" style="313" customWidth="1"/>
    <col min="13694" max="13694" width="47.88671875" style="313" customWidth="1"/>
    <col min="13695" max="13695" width="6.6640625" style="313" customWidth="1"/>
    <col min="13696" max="13696" width="7.44140625" style="313" customWidth="1"/>
    <col min="13697" max="13697" width="7" style="313"/>
    <col min="13698" max="13698" width="8.5546875" style="313" customWidth="1"/>
    <col min="13699" max="13699" width="12" style="313" customWidth="1"/>
    <col min="13700" max="13700" width="4.6640625" style="313" customWidth="1"/>
    <col min="13701" max="13701" width="9.109375" style="313" customWidth="1"/>
    <col min="13702" max="13702" width="11.6640625" style="313" customWidth="1"/>
    <col min="13703" max="13814" width="7" style="313"/>
    <col min="13815" max="13815" width="3.88671875" style="313" customWidth="1"/>
    <col min="13816" max="13816" width="12" style="313" customWidth="1"/>
    <col min="13817" max="13817" width="64.109375" style="313" customWidth="1"/>
    <col min="13818" max="13818" width="9.44140625" style="313" customWidth="1"/>
    <col min="13819" max="13819" width="9.109375" style="313" customWidth="1"/>
    <col min="13820" max="13820" width="11.109375" style="313" bestFit="1" customWidth="1"/>
    <col min="13821" max="13821" width="9.109375" style="313" customWidth="1"/>
    <col min="13822" max="13822" width="10.44140625" style="313" customWidth="1"/>
    <col min="13823" max="13823" width="9.109375" style="313" customWidth="1"/>
    <col min="13824" max="13824" width="10.6640625" style="313" customWidth="1"/>
    <col min="13825" max="13825" width="9.109375" style="313" customWidth="1"/>
    <col min="13826" max="13826" width="10.109375" style="313" customWidth="1"/>
    <col min="13827" max="13827" width="11.109375" style="313" customWidth="1"/>
    <col min="13828" max="13947" width="9.109375" style="313" customWidth="1"/>
    <col min="13948" max="13948" width="2.5546875" style="313" customWidth="1"/>
    <col min="13949" max="13949" width="9.109375" style="313" customWidth="1"/>
    <col min="13950" max="13950" width="47.88671875" style="313" customWidth="1"/>
    <col min="13951" max="13951" width="6.6640625" style="313" customWidth="1"/>
    <col min="13952" max="13952" width="7.44140625" style="313" customWidth="1"/>
    <col min="13953" max="13953" width="7" style="313"/>
    <col min="13954" max="13954" width="8.5546875" style="313" customWidth="1"/>
    <col min="13955" max="13955" width="12" style="313" customWidth="1"/>
    <col min="13956" max="13956" width="4.6640625" style="313" customWidth="1"/>
    <col min="13957" max="13957" width="9.109375" style="313" customWidth="1"/>
    <col min="13958" max="13958" width="11.6640625" style="313" customWidth="1"/>
    <col min="13959" max="14070" width="7" style="313"/>
    <col min="14071" max="14071" width="3.88671875" style="313" customWidth="1"/>
    <col min="14072" max="14072" width="12" style="313" customWidth="1"/>
    <col min="14073" max="14073" width="64.109375" style="313" customWidth="1"/>
    <col min="14074" max="14074" width="9.44140625" style="313" customWidth="1"/>
    <col min="14075" max="14075" width="9.109375" style="313" customWidth="1"/>
    <col min="14076" max="14076" width="11.109375" style="313" bestFit="1" customWidth="1"/>
    <col min="14077" max="14077" width="9.109375" style="313" customWidth="1"/>
    <col min="14078" max="14078" width="10.44140625" style="313" customWidth="1"/>
    <col min="14079" max="14079" width="9.109375" style="313" customWidth="1"/>
    <col min="14080" max="14080" width="10.6640625" style="313" customWidth="1"/>
    <col min="14081" max="14081" width="9.109375" style="313" customWidth="1"/>
    <col min="14082" max="14082" width="10.109375" style="313" customWidth="1"/>
    <col min="14083" max="14083" width="11.109375" style="313" customWidth="1"/>
    <col min="14084" max="14203" width="9.109375" style="313" customWidth="1"/>
    <col min="14204" max="14204" width="2.5546875" style="313" customWidth="1"/>
    <col min="14205" max="14205" width="9.109375" style="313" customWidth="1"/>
    <col min="14206" max="14206" width="47.88671875" style="313" customWidth="1"/>
    <col min="14207" max="14207" width="6.6640625" style="313" customWidth="1"/>
    <col min="14208" max="14208" width="7.44140625" style="313" customWidth="1"/>
    <col min="14209" max="14209" width="7" style="313"/>
    <col min="14210" max="14210" width="8.5546875" style="313" customWidth="1"/>
    <col min="14211" max="14211" width="12" style="313" customWidth="1"/>
    <col min="14212" max="14212" width="4.6640625" style="313" customWidth="1"/>
    <col min="14213" max="14213" width="9.109375" style="313" customWidth="1"/>
    <col min="14214" max="14214" width="11.6640625" style="313" customWidth="1"/>
    <col min="14215" max="14326" width="7" style="313"/>
    <col min="14327" max="14327" width="3.88671875" style="313" customWidth="1"/>
    <col min="14328" max="14328" width="12" style="313" customWidth="1"/>
    <col min="14329" max="14329" width="64.109375" style="313" customWidth="1"/>
    <col min="14330" max="14330" width="9.44140625" style="313" customWidth="1"/>
    <col min="14331" max="14331" width="9.109375" style="313" customWidth="1"/>
    <col min="14332" max="14332" width="11.109375" style="313" bestFit="1" customWidth="1"/>
    <col min="14333" max="14333" width="9.109375" style="313" customWidth="1"/>
    <col min="14334" max="14334" width="10.44140625" style="313" customWidth="1"/>
    <col min="14335" max="14335" width="9.109375" style="313" customWidth="1"/>
    <col min="14336" max="14336" width="10.6640625" style="313" customWidth="1"/>
    <col min="14337" max="14337" width="9.109375" style="313" customWidth="1"/>
    <col min="14338" max="14338" width="10.109375" style="313" customWidth="1"/>
    <col min="14339" max="14339" width="11.109375" style="313" customWidth="1"/>
    <col min="14340" max="14459" width="9.109375" style="313" customWidth="1"/>
    <col min="14460" max="14460" width="2.5546875" style="313" customWidth="1"/>
    <col min="14461" max="14461" width="9.109375" style="313" customWidth="1"/>
    <col min="14462" max="14462" width="47.88671875" style="313" customWidth="1"/>
    <col min="14463" max="14463" width="6.6640625" style="313" customWidth="1"/>
    <col min="14464" max="14464" width="7.44140625" style="313" customWidth="1"/>
    <col min="14465" max="14465" width="7" style="313"/>
    <col min="14466" max="14466" width="8.5546875" style="313" customWidth="1"/>
    <col min="14467" max="14467" width="12" style="313" customWidth="1"/>
    <col min="14468" max="14468" width="4.6640625" style="313" customWidth="1"/>
    <col min="14469" max="14469" width="9.109375" style="313" customWidth="1"/>
    <col min="14470" max="14470" width="11.6640625" style="313" customWidth="1"/>
    <col min="14471" max="14582" width="7" style="313"/>
    <col min="14583" max="14583" width="3.88671875" style="313" customWidth="1"/>
    <col min="14584" max="14584" width="12" style="313" customWidth="1"/>
    <col min="14585" max="14585" width="64.109375" style="313" customWidth="1"/>
    <col min="14586" max="14586" width="9.44140625" style="313" customWidth="1"/>
    <col min="14587" max="14587" width="9.109375" style="313" customWidth="1"/>
    <col min="14588" max="14588" width="11.109375" style="313" bestFit="1" customWidth="1"/>
    <col min="14589" max="14589" width="9.109375" style="313" customWidth="1"/>
    <col min="14590" max="14590" width="10.44140625" style="313" customWidth="1"/>
    <col min="14591" max="14591" width="9.109375" style="313" customWidth="1"/>
    <col min="14592" max="14592" width="10.6640625" style="313" customWidth="1"/>
    <col min="14593" max="14593" width="9.109375" style="313" customWidth="1"/>
    <col min="14594" max="14594" width="10.109375" style="313" customWidth="1"/>
    <col min="14595" max="14595" width="11.109375" style="313" customWidth="1"/>
    <col min="14596" max="14715" width="9.109375" style="313" customWidth="1"/>
    <col min="14716" max="14716" width="2.5546875" style="313" customWidth="1"/>
    <col min="14717" max="14717" width="9.109375" style="313" customWidth="1"/>
    <col min="14718" max="14718" width="47.88671875" style="313" customWidth="1"/>
    <col min="14719" max="14719" width="6.6640625" style="313" customWidth="1"/>
    <col min="14720" max="14720" width="7.44140625" style="313" customWidth="1"/>
    <col min="14721" max="14721" width="7" style="313"/>
    <col min="14722" max="14722" width="8.5546875" style="313" customWidth="1"/>
    <col min="14723" max="14723" width="12" style="313" customWidth="1"/>
    <col min="14724" max="14724" width="4.6640625" style="313" customWidth="1"/>
    <col min="14725" max="14725" width="9.109375" style="313" customWidth="1"/>
    <col min="14726" max="14726" width="11.6640625" style="313" customWidth="1"/>
    <col min="14727" max="14838" width="7" style="313"/>
    <col min="14839" max="14839" width="3.88671875" style="313" customWidth="1"/>
    <col min="14840" max="14840" width="12" style="313" customWidth="1"/>
    <col min="14841" max="14841" width="64.109375" style="313" customWidth="1"/>
    <col min="14842" max="14842" width="9.44140625" style="313" customWidth="1"/>
    <col min="14843" max="14843" width="9.109375" style="313" customWidth="1"/>
    <col min="14844" max="14844" width="11.109375" style="313" bestFit="1" customWidth="1"/>
    <col min="14845" max="14845" width="9.109375" style="313" customWidth="1"/>
    <col min="14846" max="14846" width="10.44140625" style="313" customWidth="1"/>
    <col min="14847" max="14847" width="9.109375" style="313" customWidth="1"/>
    <col min="14848" max="14848" width="10.6640625" style="313" customWidth="1"/>
    <col min="14849" max="14849" width="9.109375" style="313" customWidth="1"/>
    <col min="14850" max="14850" width="10.109375" style="313" customWidth="1"/>
    <col min="14851" max="14851" width="11.109375" style="313" customWidth="1"/>
    <col min="14852" max="14971" width="9.109375" style="313" customWidth="1"/>
    <col min="14972" max="14972" width="2.5546875" style="313" customWidth="1"/>
    <col min="14973" max="14973" width="9.109375" style="313" customWidth="1"/>
    <col min="14974" max="14974" width="47.88671875" style="313" customWidth="1"/>
    <col min="14975" max="14975" width="6.6640625" style="313" customWidth="1"/>
    <col min="14976" max="14976" width="7.44140625" style="313" customWidth="1"/>
    <col min="14977" max="14977" width="7" style="313"/>
    <col min="14978" max="14978" width="8.5546875" style="313" customWidth="1"/>
    <col min="14979" max="14979" width="12" style="313" customWidth="1"/>
    <col min="14980" max="14980" width="4.6640625" style="313" customWidth="1"/>
    <col min="14981" max="14981" width="9.109375" style="313" customWidth="1"/>
    <col min="14982" max="14982" width="11.6640625" style="313" customWidth="1"/>
    <col min="14983" max="15094" width="7" style="313"/>
    <col min="15095" max="15095" width="3.88671875" style="313" customWidth="1"/>
    <col min="15096" max="15096" width="12" style="313" customWidth="1"/>
    <col min="15097" max="15097" width="64.109375" style="313" customWidth="1"/>
    <col min="15098" max="15098" width="9.44140625" style="313" customWidth="1"/>
    <col min="15099" max="15099" width="9.109375" style="313" customWidth="1"/>
    <col min="15100" max="15100" width="11.109375" style="313" bestFit="1" customWidth="1"/>
    <col min="15101" max="15101" width="9.109375" style="313" customWidth="1"/>
    <col min="15102" max="15102" width="10.44140625" style="313" customWidth="1"/>
    <col min="15103" max="15103" width="9.109375" style="313" customWidth="1"/>
    <col min="15104" max="15104" width="10.6640625" style="313" customWidth="1"/>
    <col min="15105" max="15105" width="9.109375" style="313" customWidth="1"/>
    <col min="15106" max="15106" width="10.109375" style="313" customWidth="1"/>
    <col min="15107" max="15107" width="11.109375" style="313" customWidth="1"/>
    <col min="15108" max="15227" width="9.109375" style="313" customWidth="1"/>
    <col min="15228" max="15228" width="2.5546875" style="313" customWidth="1"/>
    <col min="15229" max="15229" width="9.109375" style="313" customWidth="1"/>
    <col min="15230" max="15230" width="47.88671875" style="313" customWidth="1"/>
    <col min="15231" max="15231" width="6.6640625" style="313" customWidth="1"/>
    <col min="15232" max="15232" width="7.44140625" style="313" customWidth="1"/>
    <col min="15233" max="15233" width="7" style="313"/>
    <col min="15234" max="15234" width="8.5546875" style="313" customWidth="1"/>
    <col min="15235" max="15235" width="12" style="313" customWidth="1"/>
    <col min="15236" max="15236" width="4.6640625" style="313" customWidth="1"/>
    <col min="15237" max="15237" width="9.109375" style="313" customWidth="1"/>
    <col min="15238" max="15238" width="11.6640625" style="313" customWidth="1"/>
    <col min="15239" max="15350" width="7" style="313"/>
    <col min="15351" max="15351" width="3.88671875" style="313" customWidth="1"/>
    <col min="15352" max="15352" width="12" style="313" customWidth="1"/>
    <col min="15353" max="15353" width="64.109375" style="313" customWidth="1"/>
    <col min="15354" max="15354" width="9.44140625" style="313" customWidth="1"/>
    <col min="15355" max="15355" width="9.109375" style="313" customWidth="1"/>
    <col min="15356" max="15356" width="11.109375" style="313" bestFit="1" customWidth="1"/>
    <col min="15357" max="15357" width="9.109375" style="313" customWidth="1"/>
    <col min="15358" max="15358" width="10.44140625" style="313" customWidth="1"/>
    <col min="15359" max="15359" width="9.109375" style="313" customWidth="1"/>
    <col min="15360" max="15360" width="10.6640625" style="313" customWidth="1"/>
    <col min="15361" max="15361" width="9.109375" style="313" customWidth="1"/>
    <col min="15362" max="15362" width="10.109375" style="313" customWidth="1"/>
    <col min="15363" max="15363" width="11.109375" style="313" customWidth="1"/>
    <col min="15364" max="15483" width="9.109375" style="313" customWidth="1"/>
    <col min="15484" max="15484" width="2.5546875" style="313" customWidth="1"/>
    <col min="15485" max="15485" width="9.109375" style="313" customWidth="1"/>
    <col min="15486" max="15486" width="47.88671875" style="313" customWidth="1"/>
    <col min="15487" max="15487" width="6.6640625" style="313" customWidth="1"/>
    <col min="15488" max="15488" width="7.44140625" style="313" customWidth="1"/>
    <col min="15489" max="15489" width="7" style="313"/>
    <col min="15490" max="15490" width="8.5546875" style="313" customWidth="1"/>
    <col min="15491" max="15491" width="12" style="313" customWidth="1"/>
    <col min="15492" max="15492" width="4.6640625" style="313" customWidth="1"/>
    <col min="15493" max="15493" width="9.109375" style="313" customWidth="1"/>
    <col min="15494" max="15494" width="11.6640625" style="313" customWidth="1"/>
    <col min="15495" max="15606" width="7" style="313"/>
    <col min="15607" max="15607" width="3.88671875" style="313" customWidth="1"/>
    <col min="15608" max="15608" width="12" style="313" customWidth="1"/>
    <col min="15609" max="15609" width="64.109375" style="313" customWidth="1"/>
    <col min="15610" max="15610" width="9.44140625" style="313" customWidth="1"/>
    <col min="15611" max="15611" width="9.109375" style="313" customWidth="1"/>
    <col min="15612" max="15612" width="11.109375" style="313" bestFit="1" customWidth="1"/>
    <col min="15613" max="15613" width="9.109375" style="313" customWidth="1"/>
    <col min="15614" max="15614" width="10.44140625" style="313" customWidth="1"/>
    <col min="15615" max="15615" width="9.109375" style="313" customWidth="1"/>
    <col min="15616" max="15616" width="10.6640625" style="313" customWidth="1"/>
    <col min="15617" max="15617" width="9.109375" style="313" customWidth="1"/>
    <col min="15618" max="15618" width="10.109375" style="313" customWidth="1"/>
    <col min="15619" max="15619" width="11.109375" style="313" customWidth="1"/>
    <col min="15620" max="15739" width="9.109375" style="313" customWidth="1"/>
    <col min="15740" max="15740" width="2.5546875" style="313" customWidth="1"/>
    <col min="15741" max="15741" width="9.109375" style="313" customWidth="1"/>
    <col min="15742" max="15742" width="47.88671875" style="313" customWidth="1"/>
    <col min="15743" max="15743" width="6.6640625" style="313" customWidth="1"/>
    <col min="15744" max="15744" width="7.44140625" style="313" customWidth="1"/>
    <col min="15745" max="15745" width="7" style="313"/>
    <col min="15746" max="15746" width="8.5546875" style="313" customWidth="1"/>
    <col min="15747" max="15747" width="12" style="313" customWidth="1"/>
    <col min="15748" max="15748" width="4.6640625" style="313" customWidth="1"/>
    <col min="15749" max="15749" width="9.109375" style="313" customWidth="1"/>
    <col min="15750" max="15750" width="11.6640625" style="313" customWidth="1"/>
    <col min="15751" max="15862" width="7" style="313"/>
    <col min="15863" max="15863" width="3.88671875" style="313" customWidth="1"/>
    <col min="15864" max="15864" width="12" style="313" customWidth="1"/>
    <col min="15865" max="15865" width="64.109375" style="313" customWidth="1"/>
    <col min="15866" max="15866" width="9.44140625" style="313" customWidth="1"/>
    <col min="15867" max="15867" width="9.109375" style="313" customWidth="1"/>
    <col min="15868" max="15868" width="11.109375" style="313" bestFit="1" customWidth="1"/>
    <col min="15869" max="15869" width="9.109375" style="313" customWidth="1"/>
    <col min="15870" max="15870" width="10.44140625" style="313" customWidth="1"/>
    <col min="15871" max="15871" width="9.109375" style="313" customWidth="1"/>
    <col min="15872" max="15872" width="10.6640625" style="313" customWidth="1"/>
    <col min="15873" max="15873" width="9.109375" style="313" customWidth="1"/>
    <col min="15874" max="15874" width="10.109375" style="313" customWidth="1"/>
    <col min="15875" max="15875" width="11.109375" style="313" customWidth="1"/>
    <col min="15876" max="15995" width="9.109375" style="313" customWidth="1"/>
    <col min="15996" max="15996" width="2.5546875" style="313" customWidth="1"/>
    <col min="15997" max="15997" width="9.109375" style="313" customWidth="1"/>
    <col min="15998" max="15998" width="47.88671875" style="313" customWidth="1"/>
    <col min="15999" max="15999" width="6.6640625" style="313" customWidth="1"/>
    <col min="16000" max="16000" width="7.44140625" style="313" customWidth="1"/>
    <col min="16001" max="16001" width="7" style="313"/>
    <col min="16002" max="16002" width="8.5546875" style="313" customWidth="1"/>
    <col min="16003" max="16003" width="12" style="313" customWidth="1"/>
    <col min="16004" max="16004" width="4.6640625" style="313" customWidth="1"/>
    <col min="16005" max="16005" width="9.109375" style="313" customWidth="1"/>
    <col min="16006" max="16006" width="11.6640625" style="313" customWidth="1"/>
    <col min="16007" max="16118" width="7" style="313"/>
    <col min="16119" max="16119" width="3.88671875" style="313" customWidth="1"/>
    <col min="16120" max="16120" width="12" style="313" customWidth="1"/>
    <col min="16121" max="16121" width="64.109375" style="313" customWidth="1"/>
    <col min="16122" max="16122" width="9.44140625" style="313" customWidth="1"/>
    <col min="16123" max="16123" width="9.109375" style="313" customWidth="1"/>
    <col min="16124" max="16124" width="11.109375" style="313" bestFit="1" customWidth="1"/>
    <col min="16125" max="16125" width="9.109375" style="313" customWidth="1"/>
    <col min="16126" max="16126" width="10.44140625" style="313" customWidth="1"/>
    <col min="16127" max="16127" width="9.109375" style="313" customWidth="1"/>
    <col min="16128" max="16128" width="10.6640625" style="313" customWidth="1"/>
    <col min="16129" max="16129" width="9.109375" style="313" customWidth="1"/>
    <col min="16130" max="16130" width="10.109375" style="313" customWidth="1"/>
    <col min="16131" max="16131" width="11.109375" style="313" customWidth="1"/>
    <col min="16132" max="16251" width="9.109375" style="313" customWidth="1"/>
    <col min="16252" max="16252" width="2.5546875" style="313" customWidth="1"/>
    <col min="16253" max="16253" width="9.109375" style="313" customWidth="1"/>
    <col min="16254" max="16254" width="47.88671875" style="313" customWidth="1"/>
    <col min="16255" max="16255" width="6.6640625" style="313" customWidth="1"/>
    <col min="16256" max="16256" width="7.44140625" style="313" customWidth="1"/>
    <col min="16257" max="16257" width="7" style="313"/>
    <col min="16258" max="16258" width="8.5546875" style="313" customWidth="1"/>
    <col min="16259" max="16259" width="12" style="313" customWidth="1"/>
    <col min="16260" max="16260" width="4.6640625" style="313" customWidth="1"/>
    <col min="16261" max="16261" width="9.109375" style="313" customWidth="1"/>
    <col min="16262" max="16262" width="11.6640625" style="313" customWidth="1"/>
    <col min="16263" max="16384" width="7" style="313"/>
  </cols>
  <sheetData>
    <row r="1" spans="1:13" s="272" customFormat="1" ht="17.399999999999999">
      <c r="A1" s="728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s="272" customFormat="1" ht="17.399999999999999">
      <c r="A2" s="729" t="s">
        <v>1</v>
      </c>
      <c r="B2" s="729"/>
      <c r="C2" s="729"/>
      <c r="D2" s="273" t="str">
        <f>'B-6'!B10</f>
        <v>B-6.1</v>
      </c>
      <c r="E2" s="273"/>
      <c r="F2" s="273"/>
      <c r="G2" s="273"/>
      <c r="H2" s="274"/>
      <c r="I2" s="274"/>
      <c r="J2" s="274"/>
      <c r="K2" s="274"/>
      <c r="L2" s="274"/>
      <c r="M2" s="274"/>
    </row>
    <row r="3" spans="1:13" s="272" customFormat="1" ht="17.399999999999999">
      <c r="A3" s="730" t="str">
        <f>'B-6'!C10</f>
        <v>საქლორატოროს შენობის სამშენებლო ნაწილი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272" customFormat="1" ht="17.399999999999999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272" customFormat="1" ht="27.75" customHeight="1">
      <c r="A5" s="276"/>
      <c r="B5" s="731">
        <f>gan.barat!B34</f>
        <v>0</v>
      </c>
      <c r="C5" s="731"/>
      <c r="D5" s="731"/>
      <c r="E5" s="731"/>
      <c r="F5" s="731"/>
      <c r="G5" s="731"/>
      <c r="H5" s="276"/>
      <c r="I5" s="276"/>
      <c r="J5" s="276"/>
      <c r="K5" s="276"/>
      <c r="L5" s="276"/>
      <c r="M5" s="276"/>
    </row>
    <row r="6" spans="1:13" s="272" customForma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s="272" customFormat="1" ht="13.5" customHeight="1">
      <c r="A7" s="727" t="s">
        <v>382</v>
      </c>
      <c r="B7" s="727" t="s">
        <v>383</v>
      </c>
      <c r="C7" s="727" t="s">
        <v>384</v>
      </c>
      <c r="D7" s="727" t="s">
        <v>385</v>
      </c>
      <c r="E7" s="727" t="s">
        <v>386</v>
      </c>
      <c r="F7" s="727" t="s">
        <v>387</v>
      </c>
      <c r="G7" s="726" t="s">
        <v>388</v>
      </c>
      <c r="H7" s="726"/>
      <c r="I7" s="726" t="s">
        <v>389</v>
      </c>
      <c r="J7" s="726"/>
      <c r="K7" s="727" t="s">
        <v>390</v>
      </c>
      <c r="L7" s="727"/>
      <c r="M7" s="278" t="s">
        <v>391</v>
      </c>
    </row>
    <row r="8" spans="1:13" s="272" customFormat="1">
      <c r="A8" s="727"/>
      <c r="B8" s="727"/>
      <c r="C8" s="727"/>
      <c r="D8" s="727"/>
      <c r="E8" s="727"/>
      <c r="F8" s="727"/>
      <c r="G8" s="278" t="s">
        <v>392</v>
      </c>
      <c r="H8" s="278" t="s">
        <v>393</v>
      </c>
      <c r="I8" s="278" t="s">
        <v>392</v>
      </c>
      <c r="J8" s="278" t="s">
        <v>393</v>
      </c>
      <c r="K8" s="278" t="s">
        <v>392</v>
      </c>
      <c r="L8" s="278" t="s">
        <v>394</v>
      </c>
      <c r="M8" s="278" t="s">
        <v>395</v>
      </c>
    </row>
    <row r="9" spans="1:13" s="281" customFormat="1">
      <c r="A9" s="279">
        <v>1</v>
      </c>
      <c r="B9" s="279">
        <v>2</v>
      </c>
      <c r="C9" s="279">
        <v>3</v>
      </c>
      <c r="D9" s="280">
        <v>4</v>
      </c>
      <c r="E9" s="280">
        <v>5</v>
      </c>
      <c r="F9" s="280">
        <v>6</v>
      </c>
      <c r="G9" s="280">
        <v>7</v>
      </c>
      <c r="H9" s="279">
        <v>8</v>
      </c>
      <c r="I9" s="280">
        <v>9</v>
      </c>
      <c r="J9" s="279">
        <v>10</v>
      </c>
      <c r="K9" s="280">
        <v>11</v>
      </c>
      <c r="L9" s="279">
        <v>12</v>
      </c>
      <c r="M9" s="279">
        <v>13</v>
      </c>
    </row>
    <row r="10" spans="1:13" s="281" customFormat="1">
      <c r="A10" s="282"/>
      <c r="B10" s="282"/>
      <c r="C10" s="282" t="s">
        <v>211</v>
      </c>
      <c r="D10" s="282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s="290" customFormat="1">
      <c r="A11" s="284"/>
      <c r="B11" s="285" t="s">
        <v>396</v>
      </c>
      <c r="C11" s="286" t="s">
        <v>397</v>
      </c>
      <c r="D11" s="287" t="s">
        <v>25</v>
      </c>
      <c r="E11" s="288"/>
      <c r="F11" s="288">
        <v>7.72</v>
      </c>
      <c r="G11" s="883"/>
      <c r="H11" s="883"/>
      <c r="I11" s="884"/>
      <c r="J11" s="883"/>
      <c r="K11" s="883"/>
      <c r="L11" s="883"/>
      <c r="M11" s="883">
        <f>SUM(M12:M13)</f>
        <v>0</v>
      </c>
    </row>
    <row r="12" spans="1:13" s="290" customFormat="1">
      <c r="A12" s="291"/>
      <c r="B12" s="291"/>
      <c r="C12" s="292" t="s">
        <v>398</v>
      </c>
      <c r="D12" s="293" t="s">
        <v>40</v>
      </c>
      <c r="E12" s="294">
        <f>9.96/1000</f>
        <v>9.9600000000000001E-3</v>
      </c>
      <c r="F12" s="289">
        <f>E12*F11</f>
        <v>7.6891199999999993E-2</v>
      </c>
      <c r="G12" s="884"/>
      <c r="H12" s="884"/>
      <c r="I12" s="884">
        <v>0</v>
      </c>
      <c r="J12" s="884">
        <f>F12*I12</f>
        <v>0</v>
      </c>
      <c r="K12" s="884"/>
      <c r="L12" s="884"/>
      <c r="M12" s="884">
        <f>L12+J12+H12</f>
        <v>0</v>
      </c>
    </row>
    <row r="13" spans="1:13" s="290" customFormat="1">
      <c r="A13" s="284"/>
      <c r="B13" s="295" t="s">
        <v>399</v>
      </c>
      <c r="C13" s="296" t="s">
        <v>400</v>
      </c>
      <c r="D13" s="291" t="s">
        <v>43</v>
      </c>
      <c r="E13" s="297">
        <f>22.3/1000</f>
        <v>2.23E-2</v>
      </c>
      <c r="F13" s="289">
        <f>E13*F11</f>
        <v>0.172156</v>
      </c>
      <c r="G13" s="884"/>
      <c r="H13" s="884"/>
      <c r="I13" s="884"/>
      <c r="J13" s="884"/>
      <c r="K13" s="885">
        <v>0</v>
      </c>
      <c r="L13" s="885">
        <f>K13*F13</f>
        <v>0</v>
      </c>
      <c r="M13" s="884">
        <f t="shared" ref="M13:M65" si="0">L13+J13+H13</f>
        <v>0</v>
      </c>
    </row>
    <row r="14" spans="1:13" s="290" customFormat="1">
      <c r="A14" s="284">
        <v>2</v>
      </c>
      <c r="B14" s="285" t="s">
        <v>401</v>
      </c>
      <c r="C14" s="286" t="s">
        <v>402</v>
      </c>
      <c r="D14" s="287" t="s">
        <v>25</v>
      </c>
      <c r="E14" s="288"/>
      <c r="F14" s="288">
        <v>1.1599999999999999</v>
      </c>
      <c r="G14" s="883"/>
      <c r="H14" s="883"/>
      <c r="I14" s="884"/>
      <c r="J14" s="883"/>
      <c r="K14" s="883"/>
      <c r="L14" s="883"/>
      <c r="M14" s="883">
        <f>SUM(M15:M16)</f>
        <v>0</v>
      </c>
    </row>
    <row r="15" spans="1:13" s="290" customFormat="1">
      <c r="A15" s="291"/>
      <c r="B15" s="291"/>
      <c r="C15" s="292" t="s">
        <v>398</v>
      </c>
      <c r="D15" s="293" t="s">
        <v>40</v>
      </c>
      <c r="E15" s="294">
        <f>7.95/1000</f>
        <v>7.9500000000000005E-3</v>
      </c>
      <c r="F15" s="289">
        <f>F14*E15</f>
        <v>9.2219999999999993E-3</v>
      </c>
      <c r="G15" s="884"/>
      <c r="H15" s="884"/>
      <c r="I15" s="884">
        <v>0</v>
      </c>
      <c r="J15" s="884">
        <f>F15*I15</f>
        <v>0</v>
      </c>
      <c r="K15" s="884"/>
      <c r="L15" s="884"/>
      <c r="M15" s="884">
        <f t="shared" si="0"/>
        <v>0</v>
      </c>
    </row>
    <row r="16" spans="1:13" s="290" customFormat="1">
      <c r="A16" s="284"/>
      <c r="B16" s="295" t="s">
        <v>399</v>
      </c>
      <c r="C16" s="296" t="s">
        <v>400</v>
      </c>
      <c r="D16" s="291" t="s">
        <v>43</v>
      </c>
      <c r="E16" s="297">
        <f>17.8/1000</f>
        <v>1.78E-2</v>
      </c>
      <c r="F16" s="289">
        <f>F14*E16</f>
        <v>2.0648E-2</v>
      </c>
      <c r="G16" s="884"/>
      <c r="H16" s="884"/>
      <c r="I16" s="884"/>
      <c r="J16" s="884"/>
      <c r="K16" s="885">
        <v>0</v>
      </c>
      <c r="L16" s="885">
        <f>K16*F16</f>
        <v>0</v>
      </c>
      <c r="M16" s="884">
        <f t="shared" si="0"/>
        <v>0</v>
      </c>
    </row>
    <row r="17" spans="1:147" s="290" customFormat="1">
      <c r="A17" s="284">
        <v>3</v>
      </c>
      <c r="B17" s="285" t="s">
        <v>403</v>
      </c>
      <c r="C17" s="286" t="s">
        <v>404</v>
      </c>
      <c r="D17" s="287" t="s">
        <v>25</v>
      </c>
      <c r="E17" s="288"/>
      <c r="F17" s="288">
        <f>F11-F14</f>
        <v>6.56</v>
      </c>
      <c r="G17" s="883"/>
      <c r="H17" s="883"/>
      <c r="I17" s="884"/>
      <c r="J17" s="883"/>
      <c r="K17" s="883"/>
      <c r="L17" s="883"/>
      <c r="M17" s="883">
        <f>SUM(M18:M20)</f>
        <v>0</v>
      </c>
    </row>
    <row r="18" spans="1:147" s="290" customFormat="1">
      <c r="A18" s="291"/>
      <c r="B18" s="291"/>
      <c r="C18" s="292" t="s">
        <v>398</v>
      </c>
      <c r="D18" s="293" t="s">
        <v>40</v>
      </c>
      <c r="E18" s="297">
        <v>1.0200000000000001E-2</v>
      </c>
      <c r="F18" s="289">
        <f>F17*E18</f>
        <v>6.6911999999999999E-2</v>
      </c>
      <c r="G18" s="884"/>
      <c r="H18" s="884"/>
      <c r="I18" s="884">
        <v>0</v>
      </c>
      <c r="J18" s="884">
        <f>F18*I18</f>
        <v>0</v>
      </c>
      <c r="K18" s="884"/>
      <c r="L18" s="884"/>
      <c r="M18" s="884">
        <f t="shared" si="0"/>
        <v>0</v>
      </c>
    </row>
    <row r="19" spans="1:147" s="290" customFormat="1">
      <c r="A19" s="284"/>
      <c r="B19" s="295" t="s">
        <v>399</v>
      </c>
      <c r="C19" s="296" t="s">
        <v>400</v>
      </c>
      <c r="D19" s="291" t="s">
        <v>43</v>
      </c>
      <c r="E19" s="297">
        <f>22.8/1000</f>
        <v>2.2800000000000001E-2</v>
      </c>
      <c r="F19" s="289">
        <f>F17*E19</f>
        <v>0.14956800000000001</v>
      </c>
      <c r="G19" s="884"/>
      <c r="H19" s="884"/>
      <c r="I19" s="884"/>
      <c r="J19" s="884"/>
      <c r="K19" s="885">
        <v>0</v>
      </c>
      <c r="L19" s="885">
        <f>K19*F19</f>
        <v>0</v>
      </c>
      <c r="M19" s="884">
        <f t="shared" si="0"/>
        <v>0</v>
      </c>
    </row>
    <row r="20" spans="1:147" s="281" customFormat="1">
      <c r="A20" s="284"/>
      <c r="B20" s="298"/>
      <c r="C20" s="299" t="s">
        <v>405</v>
      </c>
      <c r="D20" s="300" t="s">
        <v>7</v>
      </c>
      <c r="E20" s="294">
        <f>2.09/1000</f>
        <v>2.0899999999999998E-3</v>
      </c>
      <c r="F20" s="289">
        <f>F17*E20</f>
        <v>1.3710399999999998E-2</v>
      </c>
      <c r="G20" s="884"/>
      <c r="H20" s="886"/>
      <c r="I20" s="884"/>
      <c r="J20" s="884"/>
      <c r="K20" s="884">
        <v>0</v>
      </c>
      <c r="L20" s="884">
        <f>F20*K20</f>
        <v>0</v>
      </c>
      <c r="M20" s="884">
        <f t="shared" si="0"/>
        <v>0</v>
      </c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</row>
    <row r="21" spans="1:147" s="306" customFormat="1">
      <c r="A21" s="287">
        <v>4</v>
      </c>
      <c r="B21" s="302" t="s">
        <v>406</v>
      </c>
      <c r="C21" s="303" t="s">
        <v>407</v>
      </c>
      <c r="D21" s="287" t="s">
        <v>67</v>
      </c>
      <c r="E21" s="288"/>
      <c r="F21" s="304">
        <f>F17*1.9</f>
        <v>12.463999999999999</v>
      </c>
      <c r="G21" s="883"/>
      <c r="H21" s="883"/>
      <c r="I21" s="883"/>
      <c r="J21" s="883"/>
      <c r="K21" s="887"/>
      <c r="L21" s="884"/>
      <c r="M21" s="883">
        <f>M22</f>
        <v>0</v>
      </c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</row>
    <row r="22" spans="1:147">
      <c r="A22" s="307"/>
      <c r="B22" s="308" t="s">
        <v>408</v>
      </c>
      <c r="C22" s="309" t="s">
        <v>409</v>
      </c>
      <c r="D22" s="307" t="s">
        <v>26</v>
      </c>
      <c r="E22" s="289">
        <v>1</v>
      </c>
      <c r="F22" s="310">
        <f>E22*F21</f>
        <v>12.463999999999999</v>
      </c>
      <c r="G22" s="884"/>
      <c r="H22" s="884"/>
      <c r="I22" s="884"/>
      <c r="J22" s="884"/>
      <c r="K22" s="888">
        <v>0</v>
      </c>
      <c r="L22" s="884">
        <f>K22*F22</f>
        <v>0</v>
      </c>
      <c r="M22" s="884">
        <f t="shared" si="0"/>
        <v>0</v>
      </c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</row>
    <row r="23" spans="1:147" s="281" customFormat="1">
      <c r="A23" s="314">
        <v>5</v>
      </c>
      <c r="B23" s="315" t="s">
        <v>410</v>
      </c>
      <c r="C23" s="286" t="s">
        <v>411</v>
      </c>
      <c r="D23" s="284" t="s">
        <v>25</v>
      </c>
      <c r="E23" s="288"/>
      <c r="F23" s="288">
        <v>3.04</v>
      </c>
      <c r="G23" s="883"/>
      <c r="H23" s="883"/>
      <c r="I23" s="883"/>
      <c r="J23" s="883"/>
      <c r="K23" s="883"/>
      <c r="L23" s="883"/>
      <c r="M23" s="883">
        <f>SUM(M24:M27)</f>
        <v>0</v>
      </c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</row>
    <row r="24" spans="1:147" s="322" customFormat="1">
      <c r="A24" s="317"/>
      <c r="B24" s="318"/>
      <c r="C24" s="319" t="s">
        <v>58</v>
      </c>
      <c r="D24" s="300" t="s">
        <v>5</v>
      </c>
      <c r="E24" s="300">
        <v>0.89</v>
      </c>
      <c r="F24" s="320">
        <f>E24*F23</f>
        <v>2.7056</v>
      </c>
      <c r="G24" s="889"/>
      <c r="H24" s="890"/>
      <c r="I24" s="890">
        <v>0</v>
      </c>
      <c r="J24" s="890">
        <f>I24*F24</f>
        <v>0</v>
      </c>
      <c r="K24" s="889"/>
      <c r="L24" s="890"/>
      <c r="M24" s="890">
        <f>L24+J24+H24</f>
        <v>0</v>
      </c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</row>
    <row r="25" spans="1:147" s="322" customFormat="1">
      <c r="A25" s="317"/>
      <c r="B25" s="323"/>
      <c r="C25" s="324" t="s">
        <v>64</v>
      </c>
      <c r="D25" s="300" t="s">
        <v>7</v>
      </c>
      <c r="E25" s="325">
        <v>0.37</v>
      </c>
      <c r="F25" s="326">
        <f>E25*F23</f>
        <v>1.1248</v>
      </c>
      <c r="G25" s="891"/>
      <c r="H25" s="892"/>
      <c r="I25" s="892"/>
      <c r="J25" s="891"/>
      <c r="K25" s="891">
        <v>0</v>
      </c>
      <c r="L25" s="890">
        <f>K25*F25</f>
        <v>0</v>
      </c>
      <c r="M25" s="890">
        <f>L25+J25+H25</f>
        <v>0</v>
      </c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</row>
    <row r="26" spans="1:147" s="322" customFormat="1">
      <c r="A26" s="317"/>
      <c r="B26" s="323" t="s">
        <v>412</v>
      </c>
      <c r="C26" s="327" t="s">
        <v>413</v>
      </c>
      <c r="D26" s="317" t="s">
        <v>25</v>
      </c>
      <c r="E26" s="289">
        <v>1.1499999999999999</v>
      </c>
      <c r="F26" s="328">
        <f>F23*E26</f>
        <v>3.4959999999999996</v>
      </c>
      <c r="G26" s="893">
        <v>0</v>
      </c>
      <c r="H26" s="894">
        <f>F26*G26</f>
        <v>0</v>
      </c>
      <c r="I26" s="894"/>
      <c r="J26" s="894"/>
      <c r="K26" s="894"/>
      <c r="L26" s="894"/>
      <c r="M26" s="884">
        <f t="shared" ref="M26:M27" si="1">L26+J26+H26</f>
        <v>0</v>
      </c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</row>
    <row r="27" spans="1:147" s="322" customFormat="1">
      <c r="A27" s="317"/>
      <c r="B27" s="323"/>
      <c r="C27" s="327" t="s">
        <v>60</v>
      </c>
      <c r="D27" s="317" t="s">
        <v>7</v>
      </c>
      <c r="E27" s="289">
        <v>0.02</v>
      </c>
      <c r="F27" s="328">
        <f>F23*E27</f>
        <v>6.08E-2</v>
      </c>
      <c r="G27" s="893">
        <v>0</v>
      </c>
      <c r="H27" s="894">
        <f>F27*G27</f>
        <v>0</v>
      </c>
      <c r="I27" s="894"/>
      <c r="J27" s="894"/>
      <c r="K27" s="894"/>
      <c r="L27" s="894"/>
      <c r="M27" s="884">
        <f t="shared" si="1"/>
        <v>0</v>
      </c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</row>
    <row r="28" spans="1:147" s="322" customFormat="1">
      <c r="A28" s="314">
        <v>6</v>
      </c>
      <c r="B28" s="315" t="s">
        <v>414</v>
      </c>
      <c r="C28" s="330" t="s">
        <v>415</v>
      </c>
      <c r="D28" s="284" t="s">
        <v>25</v>
      </c>
      <c r="E28" s="288"/>
      <c r="F28" s="288">
        <v>1.26</v>
      </c>
      <c r="G28" s="884"/>
      <c r="H28" s="884"/>
      <c r="I28" s="884"/>
      <c r="J28" s="884"/>
      <c r="K28" s="884"/>
      <c r="L28" s="884"/>
      <c r="M28" s="883">
        <f>SUM(M29:M32)</f>
        <v>0</v>
      </c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</row>
    <row r="29" spans="1:147" s="322" customFormat="1">
      <c r="A29" s="291"/>
      <c r="B29" s="331"/>
      <c r="C29" s="309" t="s">
        <v>416</v>
      </c>
      <c r="D29" s="293" t="s">
        <v>40</v>
      </c>
      <c r="E29" s="289">
        <f>137/100</f>
        <v>1.37</v>
      </c>
      <c r="F29" s="289">
        <f>F28*E29</f>
        <v>1.7262000000000002</v>
      </c>
      <c r="G29" s="884"/>
      <c r="H29" s="884"/>
      <c r="I29" s="890">
        <v>0</v>
      </c>
      <c r="J29" s="884">
        <f>F29*I29</f>
        <v>0</v>
      </c>
      <c r="K29" s="884"/>
      <c r="L29" s="884"/>
      <c r="M29" s="884">
        <f t="shared" si="0"/>
        <v>0</v>
      </c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</row>
    <row r="30" spans="1:147" s="322" customFormat="1">
      <c r="A30" s="284"/>
      <c r="B30" s="298"/>
      <c r="C30" s="299" t="s">
        <v>405</v>
      </c>
      <c r="D30" s="293" t="s">
        <v>417</v>
      </c>
      <c r="E30" s="333">
        <f>28.3/100</f>
        <v>0.28300000000000003</v>
      </c>
      <c r="F30" s="334">
        <f>F28*E30</f>
        <v>0.35658000000000006</v>
      </c>
      <c r="G30" s="884"/>
      <c r="H30" s="884"/>
      <c r="I30" s="884"/>
      <c r="J30" s="884"/>
      <c r="K30" s="884">
        <v>0</v>
      </c>
      <c r="L30" s="884">
        <f>F30*K30</f>
        <v>0</v>
      </c>
      <c r="M30" s="884">
        <f t="shared" si="0"/>
        <v>0</v>
      </c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</row>
    <row r="31" spans="1:147" s="322" customFormat="1">
      <c r="A31" s="314"/>
      <c r="B31" s="335" t="s">
        <v>418</v>
      </c>
      <c r="C31" s="336" t="s">
        <v>419</v>
      </c>
      <c r="D31" s="337" t="s">
        <v>25</v>
      </c>
      <c r="E31" s="289">
        <f>102/100</f>
        <v>1.02</v>
      </c>
      <c r="F31" s="289">
        <f>F28*E31</f>
        <v>1.2852000000000001</v>
      </c>
      <c r="G31" s="884">
        <v>0</v>
      </c>
      <c r="H31" s="894">
        <f>F31*G31</f>
        <v>0</v>
      </c>
      <c r="I31" s="893"/>
      <c r="J31" s="893"/>
      <c r="K31" s="884"/>
      <c r="L31" s="884"/>
      <c r="M31" s="884">
        <f t="shared" si="0"/>
        <v>0</v>
      </c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</row>
    <row r="32" spans="1:147" s="322" customFormat="1">
      <c r="A32" s="284"/>
      <c r="B32" s="331"/>
      <c r="C32" s="338" t="s">
        <v>420</v>
      </c>
      <c r="D32" s="291" t="s">
        <v>417</v>
      </c>
      <c r="E32" s="289">
        <f>62/100</f>
        <v>0.62</v>
      </c>
      <c r="F32" s="289">
        <f>F28*E32</f>
        <v>0.78120000000000001</v>
      </c>
      <c r="G32" s="893">
        <v>0</v>
      </c>
      <c r="H32" s="893">
        <f>F32*G32</f>
        <v>0</v>
      </c>
      <c r="I32" s="893"/>
      <c r="J32" s="893"/>
      <c r="K32" s="884"/>
      <c r="L32" s="884"/>
      <c r="M32" s="884">
        <f t="shared" si="0"/>
        <v>0</v>
      </c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</row>
    <row r="33" spans="1:147" s="281" customFormat="1">
      <c r="A33" s="282">
        <v>7</v>
      </c>
      <c r="B33" s="285" t="s">
        <v>421</v>
      </c>
      <c r="C33" s="330" t="s">
        <v>422</v>
      </c>
      <c r="D33" s="284" t="s">
        <v>25</v>
      </c>
      <c r="E33" s="328"/>
      <c r="F33" s="288">
        <v>2.78</v>
      </c>
      <c r="G33" s="884"/>
      <c r="H33" s="884"/>
      <c r="I33" s="884"/>
      <c r="J33" s="884"/>
      <c r="K33" s="884"/>
      <c r="L33" s="884"/>
      <c r="M33" s="883">
        <f>SUM(M34:M41)</f>
        <v>0</v>
      </c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</row>
    <row r="34" spans="1:147" s="281" customFormat="1">
      <c r="A34" s="291"/>
      <c r="B34" s="339"/>
      <c r="C34" s="292" t="s">
        <v>423</v>
      </c>
      <c r="D34" s="289" t="s">
        <v>40</v>
      </c>
      <c r="E34" s="289">
        <f>187/100</f>
        <v>1.87</v>
      </c>
      <c r="F34" s="289">
        <f>E34*F33</f>
        <v>5.1985999999999999</v>
      </c>
      <c r="G34" s="883"/>
      <c r="H34" s="883"/>
      <c r="I34" s="890">
        <v>0</v>
      </c>
      <c r="J34" s="884">
        <f>F34*I34</f>
        <v>0</v>
      </c>
      <c r="K34" s="884"/>
      <c r="L34" s="884"/>
      <c r="M34" s="884">
        <f t="shared" si="0"/>
        <v>0</v>
      </c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</row>
    <row r="35" spans="1:147" s="281" customFormat="1">
      <c r="A35" s="284"/>
      <c r="B35" s="298"/>
      <c r="C35" s="299" t="s">
        <v>405</v>
      </c>
      <c r="D35" s="293" t="s">
        <v>417</v>
      </c>
      <c r="E35" s="334">
        <f>77/100</f>
        <v>0.77</v>
      </c>
      <c r="F35" s="334">
        <f>E35*F33</f>
        <v>2.1406000000000001</v>
      </c>
      <c r="G35" s="895"/>
      <c r="H35" s="884"/>
      <c r="I35" s="884"/>
      <c r="J35" s="884"/>
      <c r="K35" s="884">
        <v>0</v>
      </c>
      <c r="L35" s="895">
        <f>F35*K35</f>
        <v>0</v>
      </c>
      <c r="M35" s="884">
        <f t="shared" si="0"/>
        <v>0</v>
      </c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1"/>
      <c r="DU35" s="301"/>
      <c r="DV35" s="301"/>
      <c r="DW35" s="301"/>
      <c r="DX35" s="301"/>
      <c r="DY35" s="301"/>
      <c r="DZ35" s="301"/>
      <c r="EA35" s="301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</row>
    <row r="36" spans="1:147" s="281" customFormat="1">
      <c r="A36" s="282"/>
      <c r="B36" s="335" t="s">
        <v>424</v>
      </c>
      <c r="C36" s="336" t="s">
        <v>425</v>
      </c>
      <c r="D36" s="337" t="s">
        <v>25</v>
      </c>
      <c r="E36" s="333">
        <f>101.5/100</f>
        <v>1.0149999999999999</v>
      </c>
      <c r="F36" s="289">
        <f>E36*F33</f>
        <v>2.8216999999999994</v>
      </c>
      <c r="G36" s="895">
        <v>0</v>
      </c>
      <c r="H36" s="894">
        <f t="shared" ref="H36:H41" si="2">F36*G36</f>
        <v>0</v>
      </c>
      <c r="I36" s="884"/>
      <c r="J36" s="884"/>
      <c r="K36" s="884"/>
      <c r="L36" s="884"/>
      <c r="M36" s="884">
        <f t="shared" si="0"/>
        <v>0</v>
      </c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</row>
    <row r="37" spans="1:147" s="281" customFormat="1">
      <c r="A37" s="284"/>
      <c r="B37" s="340" t="s">
        <v>426</v>
      </c>
      <c r="C37" s="336" t="s">
        <v>427</v>
      </c>
      <c r="D37" s="337" t="s">
        <v>26</v>
      </c>
      <c r="E37" s="334" t="s">
        <v>428</v>
      </c>
      <c r="F37" s="294">
        <v>0.29200999999999999</v>
      </c>
      <c r="G37" s="896">
        <v>0</v>
      </c>
      <c r="H37" s="894">
        <f t="shared" si="2"/>
        <v>0</v>
      </c>
      <c r="I37" s="884"/>
      <c r="J37" s="884"/>
      <c r="K37" s="897"/>
      <c r="L37" s="884"/>
      <c r="M37" s="884">
        <f t="shared" si="0"/>
        <v>0</v>
      </c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</row>
    <row r="38" spans="1:147" s="281" customFormat="1">
      <c r="A38" s="284"/>
      <c r="B38" s="342" t="s">
        <v>429</v>
      </c>
      <c r="C38" s="296" t="s">
        <v>430</v>
      </c>
      <c r="D38" s="337" t="s">
        <v>25</v>
      </c>
      <c r="E38" s="333">
        <f>0.08/100</f>
        <v>8.0000000000000004E-4</v>
      </c>
      <c r="F38" s="333">
        <f>E38*F33</f>
        <v>2.2239999999999998E-3</v>
      </c>
      <c r="G38" s="884">
        <v>0</v>
      </c>
      <c r="H38" s="894">
        <f t="shared" si="2"/>
        <v>0</v>
      </c>
      <c r="I38" s="884"/>
      <c r="J38" s="884"/>
      <c r="K38" s="884"/>
      <c r="L38" s="884"/>
      <c r="M38" s="884">
        <f t="shared" si="0"/>
        <v>0</v>
      </c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</row>
    <row r="39" spans="1:147" s="281" customFormat="1">
      <c r="A39" s="282"/>
      <c r="B39" s="342" t="s">
        <v>431</v>
      </c>
      <c r="C39" s="338" t="s">
        <v>432</v>
      </c>
      <c r="D39" s="337" t="s">
        <v>433</v>
      </c>
      <c r="E39" s="297">
        <f>7.54/100</f>
        <v>7.5399999999999995E-2</v>
      </c>
      <c r="F39" s="289">
        <f>E39*F33</f>
        <v>0.20961199999999997</v>
      </c>
      <c r="G39" s="895">
        <v>0</v>
      </c>
      <c r="H39" s="894">
        <f t="shared" si="2"/>
        <v>0</v>
      </c>
      <c r="I39" s="884"/>
      <c r="J39" s="884"/>
      <c r="K39" s="884"/>
      <c r="L39" s="884"/>
      <c r="M39" s="884">
        <f t="shared" si="0"/>
        <v>0</v>
      </c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2"/>
      <c r="ED39" s="322"/>
      <c r="EE39" s="322"/>
      <c r="EF39" s="322"/>
      <c r="EG39" s="322"/>
      <c r="EH39" s="322"/>
      <c r="EI39" s="322"/>
      <c r="EJ39" s="322"/>
      <c r="EK39" s="322"/>
      <c r="EL39" s="322"/>
      <c r="EM39" s="322"/>
      <c r="EN39" s="322"/>
      <c r="EO39" s="322"/>
      <c r="EP39" s="322"/>
      <c r="EQ39" s="322"/>
    </row>
    <row r="40" spans="1:147" s="281" customFormat="1">
      <c r="A40" s="282"/>
      <c r="B40" s="342" t="s">
        <v>434</v>
      </c>
      <c r="C40" s="338" t="s">
        <v>435</v>
      </c>
      <c r="D40" s="337" t="s">
        <v>25</v>
      </c>
      <c r="E40" s="343">
        <v>8.0000000000000004E-4</v>
      </c>
      <c r="F40" s="289">
        <f>E40*F33</f>
        <v>2.2239999999999998E-3</v>
      </c>
      <c r="G40" s="884">
        <v>0</v>
      </c>
      <c r="H40" s="894">
        <f t="shared" si="2"/>
        <v>0</v>
      </c>
      <c r="I40" s="884"/>
      <c r="J40" s="884"/>
      <c r="K40" s="884"/>
      <c r="L40" s="884"/>
      <c r="M40" s="884">
        <f t="shared" si="0"/>
        <v>0</v>
      </c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  <c r="EJ40" s="322"/>
      <c r="EK40" s="322"/>
      <c r="EL40" s="322"/>
      <c r="EM40" s="322"/>
      <c r="EN40" s="322"/>
      <c r="EO40" s="322"/>
      <c r="EP40" s="322"/>
      <c r="EQ40" s="322"/>
    </row>
    <row r="41" spans="1:147" s="281" customFormat="1">
      <c r="A41" s="282"/>
      <c r="B41" s="331"/>
      <c r="C41" s="296" t="s">
        <v>420</v>
      </c>
      <c r="D41" s="337" t="s">
        <v>417</v>
      </c>
      <c r="E41" s="289">
        <f>7/100</f>
        <v>7.0000000000000007E-2</v>
      </c>
      <c r="F41" s="289">
        <f>E41*F33</f>
        <v>0.1946</v>
      </c>
      <c r="G41" s="895">
        <v>0</v>
      </c>
      <c r="H41" s="893">
        <f t="shared" si="2"/>
        <v>0</v>
      </c>
      <c r="I41" s="884"/>
      <c r="J41" s="884"/>
      <c r="K41" s="884"/>
      <c r="L41" s="884"/>
      <c r="M41" s="884">
        <f t="shared" si="0"/>
        <v>0</v>
      </c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  <c r="EJ41" s="322"/>
      <c r="EK41" s="322"/>
      <c r="EL41" s="322"/>
      <c r="EM41" s="322"/>
      <c r="EN41" s="322"/>
      <c r="EO41" s="322"/>
      <c r="EP41" s="322"/>
      <c r="EQ41" s="322"/>
    </row>
    <row r="42" spans="1:147" s="281" customFormat="1">
      <c r="A42" s="282">
        <v>8</v>
      </c>
      <c r="B42" s="285" t="s">
        <v>421</v>
      </c>
      <c r="C42" s="330" t="s">
        <v>436</v>
      </c>
      <c r="D42" s="284" t="s">
        <v>25</v>
      </c>
      <c r="E42" s="328"/>
      <c r="F42" s="288">
        <v>0.65</v>
      </c>
      <c r="G42" s="884"/>
      <c r="H42" s="884"/>
      <c r="I42" s="884"/>
      <c r="J42" s="884"/>
      <c r="K42" s="884"/>
      <c r="L42" s="884"/>
      <c r="M42" s="883">
        <f>SUM(M43:M50)</f>
        <v>0</v>
      </c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</row>
    <row r="43" spans="1:147" s="281" customFormat="1">
      <c r="A43" s="291"/>
      <c r="B43" s="339"/>
      <c r="C43" s="292" t="s">
        <v>423</v>
      </c>
      <c r="D43" s="289" t="s">
        <v>40</v>
      </c>
      <c r="E43" s="289">
        <f>187/100</f>
        <v>1.87</v>
      </c>
      <c r="F43" s="289">
        <f>E43*F42</f>
        <v>1.2155</v>
      </c>
      <c r="G43" s="883"/>
      <c r="H43" s="883"/>
      <c r="I43" s="890">
        <v>0</v>
      </c>
      <c r="J43" s="884">
        <f>F43*I43</f>
        <v>0</v>
      </c>
      <c r="K43" s="884"/>
      <c r="L43" s="884"/>
      <c r="M43" s="884">
        <f t="shared" ref="M43:M50" si="3">L43+J43+H43</f>
        <v>0</v>
      </c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</row>
    <row r="44" spans="1:147" s="281" customFormat="1">
      <c r="A44" s="284"/>
      <c r="B44" s="298"/>
      <c r="C44" s="299" t="s">
        <v>405</v>
      </c>
      <c r="D44" s="293" t="s">
        <v>417</v>
      </c>
      <c r="E44" s="334">
        <f>77/100</f>
        <v>0.77</v>
      </c>
      <c r="F44" s="334">
        <f>E44*F42</f>
        <v>0.50050000000000006</v>
      </c>
      <c r="G44" s="895"/>
      <c r="H44" s="884"/>
      <c r="I44" s="884"/>
      <c r="J44" s="884"/>
      <c r="K44" s="884">
        <v>0</v>
      </c>
      <c r="L44" s="895">
        <f>F44*K44</f>
        <v>0</v>
      </c>
      <c r="M44" s="884">
        <f t="shared" si="3"/>
        <v>0</v>
      </c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2"/>
      <c r="EK44" s="322"/>
      <c r="EL44" s="322"/>
      <c r="EM44" s="322"/>
      <c r="EN44" s="322"/>
      <c r="EO44" s="322"/>
      <c r="EP44" s="322"/>
      <c r="EQ44" s="322"/>
    </row>
    <row r="45" spans="1:147" s="281" customFormat="1">
      <c r="A45" s="282"/>
      <c r="B45" s="335" t="s">
        <v>424</v>
      </c>
      <c r="C45" s="336" t="s">
        <v>425</v>
      </c>
      <c r="D45" s="337" t="s">
        <v>25</v>
      </c>
      <c r="E45" s="333">
        <f>101.5/100</f>
        <v>1.0149999999999999</v>
      </c>
      <c r="F45" s="289">
        <f>E45*F42</f>
        <v>0.65974999999999995</v>
      </c>
      <c r="G45" s="895">
        <v>0</v>
      </c>
      <c r="H45" s="894">
        <f t="shared" ref="H45:H50" si="4">F45*G45</f>
        <v>0</v>
      </c>
      <c r="I45" s="884"/>
      <c r="J45" s="884"/>
      <c r="K45" s="884"/>
      <c r="L45" s="884"/>
      <c r="M45" s="884">
        <f t="shared" si="3"/>
        <v>0</v>
      </c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322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2"/>
      <c r="EK45" s="322"/>
      <c r="EL45" s="322"/>
      <c r="EM45" s="322"/>
      <c r="EN45" s="322"/>
      <c r="EO45" s="322"/>
      <c r="EP45" s="322"/>
      <c r="EQ45" s="322"/>
    </row>
    <row r="46" spans="1:147" s="281" customFormat="1">
      <c r="A46" s="284"/>
      <c r="B46" s="340" t="s">
        <v>426</v>
      </c>
      <c r="C46" s="336" t="s">
        <v>427</v>
      </c>
      <c r="D46" s="337" t="s">
        <v>26</v>
      </c>
      <c r="E46" s="334" t="s">
        <v>428</v>
      </c>
      <c r="F46" s="294">
        <v>6.1080000000000002E-2</v>
      </c>
      <c r="G46" s="896">
        <v>0</v>
      </c>
      <c r="H46" s="894">
        <f t="shared" si="4"/>
        <v>0</v>
      </c>
      <c r="I46" s="884"/>
      <c r="J46" s="884"/>
      <c r="K46" s="897"/>
      <c r="L46" s="884"/>
      <c r="M46" s="884">
        <f t="shared" si="3"/>
        <v>0</v>
      </c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2"/>
      <c r="EN46" s="322"/>
      <c r="EO46" s="322"/>
      <c r="EP46" s="322"/>
      <c r="EQ46" s="322"/>
    </row>
    <row r="47" spans="1:147" s="281" customFormat="1">
      <c r="A47" s="284"/>
      <c r="B47" s="342" t="s">
        <v>429</v>
      </c>
      <c r="C47" s="296" t="s">
        <v>430</v>
      </c>
      <c r="D47" s="337" t="s">
        <v>25</v>
      </c>
      <c r="E47" s="289">
        <f>0.08/100</f>
        <v>8.0000000000000004E-4</v>
      </c>
      <c r="F47" s="289">
        <f>E47*F42</f>
        <v>5.2000000000000006E-4</v>
      </c>
      <c r="G47" s="884">
        <v>0</v>
      </c>
      <c r="H47" s="894">
        <f t="shared" si="4"/>
        <v>0</v>
      </c>
      <c r="I47" s="884"/>
      <c r="J47" s="884"/>
      <c r="K47" s="884"/>
      <c r="L47" s="884"/>
      <c r="M47" s="884">
        <f t="shared" si="3"/>
        <v>0</v>
      </c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322"/>
      <c r="EN47" s="322"/>
      <c r="EO47" s="322"/>
      <c r="EP47" s="322"/>
      <c r="EQ47" s="322"/>
    </row>
    <row r="48" spans="1:147" s="281" customFormat="1">
      <c r="A48" s="282"/>
      <c r="B48" s="342" t="s">
        <v>431</v>
      </c>
      <c r="C48" s="338" t="s">
        <v>432</v>
      </c>
      <c r="D48" s="337" t="s">
        <v>433</v>
      </c>
      <c r="E48" s="297">
        <f>7.54/100</f>
        <v>7.5399999999999995E-2</v>
      </c>
      <c r="F48" s="289">
        <f>E48*F42</f>
        <v>4.9009999999999998E-2</v>
      </c>
      <c r="G48" s="895">
        <v>0</v>
      </c>
      <c r="H48" s="894">
        <f t="shared" si="4"/>
        <v>0</v>
      </c>
      <c r="I48" s="884"/>
      <c r="J48" s="884"/>
      <c r="K48" s="884"/>
      <c r="L48" s="884"/>
      <c r="M48" s="884">
        <f t="shared" si="3"/>
        <v>0</v>
      </c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2"/>
      <c r="DY48" s="322"/>
      <c r="DZ48" s="322"/>
      <c r="EA48" s="322"/>
      <c r="EB48" s="322"/>
      <c r="EC48" s="322"/>
      <c r="ED48" s="322"/>
      <c r="EE48" s="322"/>
      <c r="EF48" s="322"/>
      <c r="EG48" s="322"/>
      <c r="EH48" s="322"/>
      <c r="EI48" s="322"/>
      <c r="EJ48" s="322"/>
      <c r="EK48" s="322"/>
      <c r="EL48" s="322"/>
      <c r="EM48" s="322"/>
      <c r="EN48" s="322"/>
      <c r="EO48" s="322"/>
      <c r="EP48" s="322"/>
      <c r="EQ48" s="322"/>
    </row>
    <row r="49" spans="1:147" s="281" customFormat="1">
      <c r="A49" s="282"/>
      <c r="B49" s="342" t="s">
        <v>434</v>
      </c>
      <c r="C49" s="338" t="s">
        <v>435</v>
      </c>
      <c r="D49" s="337" t="s">
        <v>25</v>
      </c>
      <c r="E49" s="343">
        <v>8.0000000000000004E-4</v>
      </c>
      <c r="F49" s="289">
        <f>E49*F42</f>
        <v>5.2000000000000006E-4</v>
      </c>
      <c r="G49" s="884">
        <v>0</v>
      </c>
      <c r="H49" s="894">
        <f t="shared" si="4"/>
        <v>0</v>
      </c>
      <c r="I49" s="884"/>
      <c r="J49" s="884"/>
      <c r="K49" s="884"/>
      <c r="L49" s="884"/>
      <c r="M49" s="884">
        <f t="shared" si="3"/>
        <v>0</v>
      </c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  <c r="DB49" s="322"/>
      <c r="DC49" s="322"/>
      <c r="DD49" s="322"/>
      <c r="DE49" s="322"/>
      <c r="DF49" s="322"/>
      <c r="DG49" s="322"/>
      <c r="DH49" s="322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22"/>
      <c r="DV49" s="322"/>
      <c r="DW49" s="322"/>
      <c r="DX49" s="322"/>
      <c r="DY49" s="322"/>
      <c r="DZ49" s="322"/>
      <c r="EA49" s="322"/>
      <c r="EB49" s="322"/>
      <c r="EC49" s="322"/>
      <c r="ED49" s="322"/>
      <c r="EE49" s="322"/>
      <c r="EF49" s="322"/>
      <c r="EG49" s="322"/>
      <c r="EH49" s="322"/>
      <c r="EI49" s="322"/>
      <c r="EJ49" s="322"/>
      <c r="EK49" s="322"/>
      <c r="EL49" s="322"/>
      <c r="EM49" s="322"/>
      <c r="EN49" s="322"/>
      <c r="EO49" s="322"/>
      <c r="EP49" s="322"/>
      <c r="EQ49" s="322"/>
    </row>
    <row r="50" spans="1:147" s="281" customFormat="1">
      <c r="A50" s="282"/>
      <c r="B50" s="331"/>
      <c r="C50" s="296" t="s">
        <v>420</v>
      </c>
      <c r="D50" s="337" t="s">
        <v>417</v>
      </c>
      <c r="E50" s="289">
        <f>7/100</f>
        <v>7.0000000000000007E-2</v>
      </c>
      <c r="F50" s="289">
        <f>E50*F42</f>
        <v>4.5500000000000006E-2</v>
      </c>
      <c r="G50" s="895">
        <v>0</v>
      </c>
      <c r="H50" s="893">
        <f t="shared" si="4"/>
        <v>0</v>
      </c>
      <c r="I50" s="884"/>
      <c r="J50" s="884"/>
      <c r="K50" s="884"/>
      <c r="L50" s="884"/>
      <c r="M50" s="884">
        <f t="shared" si="3"/>
        <v>0</v>
      </c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2"/>
      <c r="DV50" s="322"/>
      <c r="DW50" s="322"/>
      <c r="DX50" s="322"/>
      <c r="DY50" s="322"/>
      <c r="DZ50" s="322"/>
      <c r="EA50" s="322"/>
      <c r="EB50" s="322"/>
      <c r="EC50" s="322"/>
      <c r="ED50" s="322"/>
      <c r="EE50" s="322"/>
      <c r="EF50" s="322"/>
      <c r="EG50" s="322"/>
      <c r="EH50" s="322"/>
      <c r="EI50" s="322"/>
      <c r="EJ50" s="322"/>
      <c r="EK50" s="322"/>
      <c r="EL50" s="322"/>
      <c r="EM50" s="322"/>
      <c r="EN50" s="322"/>
      <c r="EO50" s="322"/>
      <c r="EP50" s="322"/>
      <c r="EQ50" s="322"/>
    </row>
    <row r="51" spans="1:147" s="322" customFormat="1">
      <c r="A51" s="314">
        <v>9</v>
      </c>
      <c r="B51" s="315" t="s">
        <v>437</v>
      </c>
      <c r="C51" s="330" t="s">
        <v>438</v>
      </c>
      <c r="D51" s="284" t="s">
        <v>25</v>
      </c>
      <c r="E51" s="288"/>
      <c r="F51" s="288">
        <v>0.56000000000000005</v>
      </c>
      <c r="G51" s="884"/>
      <c r="H51" s="884"/>
      <c r="I51" s="884"/>
      <c r="J51" s="884"/>
      <c r="K51" s="884"/>
      <c r="L51" s="884"/>
      <c r="M51" s="883">
        <f>SUM(M52:M56)</f>
        <v>0</v>
      </c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  <c r="CW51" s="316"/>
      <c r="CX51" s="316"/>
      <c r="CY51" s="316"/>
      <c r="CZ51" s="316"/>
      <c r="DA51" s="316"/>
      <c r="DB51" s="316"/>
      <c r="DC51" s="316"/>
      <c r="DD51" s="316"/>
      <c r="DE51" s="316"/>
      <c r="DF51" s="316"/>
      <c r="DG51" s="316"/>
      <c r="DH51" s="316"/>
      <c r="DI51" s="316"/>
      <c r="DJ51" s="316"/>
      <c r="DK51" s="316"/>
    </row>
    <row r="52" spans="1:147" s="322" customFormat="1">
      <c r="A52" s="291"/>
      <c r="B52" s="331"/>
      <c r="C52" s="292" t="s">
        <v>423</v>
      </c>
      <c r="D52" s="289" t="s">
        <v>40</v>
      </c>
      <c r="E52" s="289">
        <f>137/100</f>
        <v>1.37</v>
      </c>
      <c r="F52" s="289">
        <f>E52*F51</f>
        <v>0.7672000000000001</v>
      </c>
      <c r="G52" s="884"/>
      <c r="H52" s="884"/>
      <c r="I52" s="890">
        <v>0</v>
      </c>
      <c r="J52" s="884">
        <f>F52*I52</f>
        <v>0</v>
      </c>
      <c r="K52" s="884"/>
      <c r="L52" s="884"/>
      <c r="M52" s="884">
        <f t="shared" si="0"/>
        <v>0</v>
      </c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2"/>
      <c r="DK52" s="332"/>
      <c r="DL52" s="332"/>
      <c r="DM52" s="332"/>
      <c r="DN52" s="332"/>
      <c r="DO52" s="332"/>
      <c r="DP52" s="332"/>
      <c r="DQ52" s="332"/>
      <c r="DR52" s="332"/>
      <c r="DS52" s="332"/>
      <c r="DT52" s="332"/>
      <c r="DU52" s="332"/>
      <c r="DV52" s="332"/>
      <c r="DW52" s="332"/>
      <c r="DX52" s="332"/>
      <c r="DY52" s="332"/>
      <c r="DZ52" s="332"/>
      <c r="EA52" s="332"/>
    </row>
    <row r="53" spans="1:147" s="322" customFormat="1">
      <c r="A53" s="284"/>
      <c r="B53" s="298"/>
      <c r="C53" s="299" t="s">
        <v>405</v>
      </c>
      <c r="D53" s="293" t="s">
        <v>417</v>
      </c>
      <c r="E53" s="289">
        <f>28.3/100</f>
        <v>0.28300000000000003</v>
      </c>
      <c r="F53" s="334">
        <f>E53*F51</f>
        <v>0.15848000000000004</v>
      </c>
      <c r="G53" s="884"/>
      <c r="H53" s="884"/>
      <c r="I53" s="884"/>
      <c r="J53" s="884"/>
      <c r="K53" s="884">
        <v>0</v>
      </c>
      <c r="L53" s="884">
        <f>F53*K53</f>
        <v>0</v>
      </c>
      <c r="M53" s="884">
        <f t="shared" si="0"/>
        <v>0</v>
      </c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  <c r="DB53" s="301"/>
      <c r="DC53" s="301"/>
      <c r="DD53" s="301"/>
      <c r="DE53" s="301"/>
      <c r="DF53" s="301"/>
      <c r="DG53" s="301"/>
      <c r="DH53" s="301"/>
      <c r="DI53" s="301"/>
      <c r="DJ53" s="301"/>
      <c r="DK53" s="301"/>
      <c r="DL53" s="301"/>
      <c r="DM53" s="301"/>
      <c r="DN53" s="301"/>
      <c r="DO53" s="301"/>
      <c r="DP53" s="301"/>
      <c r="DQ53" s="301"/>
      <c r="DR53" s="301"/>
      <c r="DS53" s="301"/>
      <c r="DT53" s="301"/>
      <c r="DU53" s="301"/>
      <c r="DV53" s="301"/>
      <c r="DW53" s="301"/>
      <c r="DX53" s="301"/>
      <c r="DY53" s="301"/>
      <c r="DZ53" s="301"/>
      <c r="EA53" s="301"/>
    </row>
    <row r="54" spans="1:147" s="322" customFormat="1">
      <c r="A54" s="284"/>
      <c r="B54" s="298" t="s">
        <v>439</v>
      </c>
      <c r="C54" s="299" t="s">
        <v>440</v>
      </c>
      <c r="D54" s="293" t="s">
        <v>26</v>
      </c>
      <c r="E54" s="289" t="s">
        <v>428</v>
      </c>
      <c r="F54" s="344">
        <v>2.6610000000000002E-2</v>
      </c>
      <c r="G54" s="884">
        <v>0</v>
      </c>
      <c r="H54" s="894">
        <f>F54*G54</f>
        <v>0</v>
      </c>
      <c r="I54" s="894"/>
      <c r="J54" s="894"/>
      <c r="K54" s="894"/>
      <c r="L54" s="894"/>
      <c r="M54" s="884">
        <f t="shared" si="0"/>
        <v>0</v>
      </c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1"/>
      <c r="DT54" s="301"/>
      <c r="DU54" s="301"/>
      <c r="DV54" s="301"/>
      <c r="DW54" s="301"/>
      <c r="DX54" s="301"/>
      <c r="DY54" s="301"/>
      <c r="DZ54" s="301"/>
      <c r="EA54" s="301"/>
    </row>
    <row r="55" spans="1:147" s="322" customFormat="1">
      <c r="A55" s="314"/>
      <c r="B55" s="335" t="s">
        <v>424</v>
      </c>
      <c r="C55" s="336" t="s">
        <v>441</v>
      </c>
      <c r="D55" s="337" t="s">
        <v>25</v>
      </c>
      <c r="E55" s="289">
        <f>102/100</f>
        <v>1.02</v>
      </c>
      <c r="F55" s="289">
        <f>E55*F51</f>
        <v>0.57120000000000004</v>
      </c>
      <c r="G55" s="895">
        <v>0</v>
      </c>
      <c r="H55" s="894">
        <f>F55*G55</f>
        <v>0</v>
      </c>
      <c r="I55" s="893"/>
      <c r="J55" s="893"/>
      <c r="K55" s="884"/>
      <c r="L55" s="884"/>
      <c r="M55" s="884">
        <f t="shared" si="0"/>
        <v>0</v>
      </c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332"/>
      <c r="BY55" s="332"/>
      <c r="BZ55" s="332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2"/>
      <c r="CM55" s="332"/>
      <c r="CN55" s="332"/>
      <c r="CO55" s="332"/>
      <c r="CP55" s="332"/>
      <c r="CQ55" s="332"/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332"/>
      <c r="DP55" s="332"/>
      <c r="DQ55" s="332"/>
      <c r="DR55" s="332"/>
      <c r="DS55" s="332"/>
      <c r="DT55" s="332"/>
      <c r="DU55" s="332"/>
      <c r="DV55" s="332"/>
      <c r="DW55" s="332"/>
      <c r="DX55" s="332"/>
      <c r="DY55" s="332"/>
      <c r="DZ55" s="332"/>
      <c r="EA55" s="332"/>
    </row>
    <row r="56" spans="1:147" s="322" customFormat="1">
      <c r="A56" s="284"/>
      <c r="B56" s="331"/>
      <c r="C56" s="296" t="s">
        <v>420</v>
      </c>
      <c r="D56" s="337" t="s">
        <v>417</v>
      </c>
      <c r="E56" s="289">
        <f>62/100</f>
        <v>0.62</v>
      </c>
      <c r="F56" s="289">
        <f>E56*F51</f>
        <v>0.34720000000000001</v>
      </c>
      <c r="G56" s="893">
        <v>0</v>
      </c>
      <c r="H56" s="893">
        <f>F56*G56</f>
        <v>0</v>
      </c>
      <c r="I56" s="893"/>
      <c r="J56" s="893"/>
      <c r="K56" s="884"/>
      <c r="L56" s="884"/>
      <c r="M56" s="884">
        <f t="shared" si="0"/>
        <v>0</v>
      </c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332"/>
      <c r="DK56" s="332"/>
      <c r="DL56" s="332"/>
      <c r="DM56" s="332"/>
      <c r="DN56" s="332"/>
      <c r="DO56" s="332"/>
      <c r="DP56" s="332"/>
      <c r="DQ56" s="332"/>
      <c r="DR56" s="332"/>
      <c r="DS56" s="332"/>
      <c r="DT56" s="332"/>
      <c r="DU56" s="332"/>
      <c r="DV56" s="332"/>
      <c r="DW56" s="332"/>
      <c r="DX56" s="332"/>
      <c r="DY56" s="332"/>
      <c r="DZ56" s="332"/>
      <c r="EA56" s="332"/>
    </row>
    <row r="57" spans="1:147" s="316" customFormat="1">
      <c r="A57" s="284">
        <v>10</v>
      </c>
      <c r="B57" s="315" t="s">
        <v>442</v>
      </c>
      <c r="C57" s="345" t="s">
        <v>443</v>
      </c>
      <c r="D57" s="284" t="s">
        <v>25</v>
      </c>
      <c r="E57" s="346"/>
      <c r="F57" s="288">
        <v>0.06</v>
      </c>
      <c r="G57" s="883"/>
      <c r="H57" s="898"/>
      <c r="I57" s="883"/>
      <c r="J57" s="883"/>
      <c r="K57" s="883"/>
      <c r="L57" s="899"/>
      <c r="M57" s="883">
        <f>SUM(M58:M65)</f>
        <v>0</v>
      </c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</row>
    <row r="58" spans="1:147" s="332" customFormat="1">
      <c r="A58" s="284"/>
      <c r="B58" s="335"/>
      <c r="C58" s="309" t="s">
        <v>423</v>
      </c>
      <c r="D58" s="293" t="s">
        <v>40</v>
      </c>
      <c r="E58" s="348">
        <v>13.5</v>
      </c>
      <c r="F58" s="289">
        <f>F57*E58</f>
        <v>0.80999999999999994</v>
      </c>
      <c r="G58" s="884"/>
      <c r="H58" s="884"/>
      <c r="I58" s="890">
        <v>0</v>
      </c>
      <c r="J58" s="884">
        <f>F58*I58</f>
        <v>0</v>
      </c>
      <c r="K58" s="884"/>
      <c r="L58" s="884"/>
      <c r="M58" s="884">
        <f t="shared" si="0"/>
        <v>0</v>
      </c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</row>
    <row r="59" spans="1:147" s="332" customFormat="1">
      <c r="A59" s="284"/>
      <c r="B59" s="335" t="s">
        <v>444</v>
      </c>
      <c r="C59" s="336" t="s">
        <v>425</v>
      </c>
      <c r="D59" s="337" t="s">
        <v>25</v>
      </c>
      <c r="E59" s="350">
        <v>1.0149999999999999</v>
      </c>
      <c r="F59" s="289">
        <f>F57*E59</f>
        <v>6.0899999999999989E-2</v>
      </c>
      <c r="G59" s="895">
        <v>0</v>
      </c>
      <c r="H59" s="884">
        <f>G59*F59</f>
        <v>0</v>
      </c>
      <c r="I59" s="884"/>
      <c r="J59" s="884"/>
      <c r="K59" s="884"/>
      <c r="L59" s="884"/>
      <c r="M59" s="884">
        <f t="shared" si="0"/>
        <v>0</v>
      </c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49"/>
      <c r="BO59" s="349"/>
      <c r="BP59" s="349"/>
      <c r="BQ59" s="349"/>
      <c r="BR59" s="349"/>
      <c r="BS59" s="349"/>
    </row>
    <row r="60" spans="1:147" s="281" customFormat="1">
      <c r="A60" s="284"/>
      <c r="B60" s="340" t="s">
        <v>426</v>
      </c>
      <c r="C60" s="336" t="s">
        <v>427</v>
      </c>
      <c r="D60" s="337" t="s">
        <v>26</v>
      </c>
      <c r="E60" s="334" t="s">
        <v>428</v>
      </c>
      <c r="F60" s="294">
        <v>5.5100000000000001E-3</v>
      </c>
      <c r="G60" s="896">
        <v>0</v>
      </c>
      <c r="H60" s="894">
        <f>F60*G60</f>
        <v>0</v>
      </c>
      <c r="I60" s="884"/>
      <c r="J60" s="884"/>
      <c r="K60" s="897"/>
      <c r="L60" s="884"/>
      <c r="M60" s="884">
        <f t="shared" si="0"/>
        <v>0</v>
      </c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  <c r="DT60" s="322"/>
      <c r="DU60" s="322"/>
      <c r="DV60" s="322"/>
      <c r="DW60" s="322"/>
      <c r="DX60" s="322"/>
      <c r="DY60" s="322"/>
      <c r="DZ60" s="322"/>
      <c r="EA60" s="322"/>
      <c r="EB60" s="322"/>
      <c r="EC60" s="322"/>
      <c r="ED60" s="322"/>
      <c r="EE60" s="322"/>
      <c r="EF60" s="322"/>
      <c r="EG60" s="322"/>
      <c r="EH60" s="322"/>
      <c r="EI60" s="322"/>
      <c r="EJ60" s="322"/>
      <c r="EK60" s="322"/>
      <c r="EL60" s="322"/>
      <c r="EM60" s="322"/>
      <c r="EN60" s="322"/>
      <c r="EO60" s="322"/>
      <c r="EP60" s="322"/>
      <c r="EQ60" s="322"/>
    </row>
    <row r="61" spans="1:147" s="301" customFormat="1">
      <c r="A61" s="284"/>
      <c r="B61" s="342" t="s">
        <v>445</v>
      </c>
      <c r="C61" s="338" t="s">
        <v>446</v>
      </c>
      <c r="D61" s="337" t="s">
        <v>25</v>
      </c>
      <c r="E61" s="351">
        <v>3.78E-2</v>
      </c>
      <c r="F61" s="333">
        <f>F57*E61</f>
        <v>2.2680000000000001E-3</v>
      </c>
      <c r="G61" s="884">
        <v>0</v>
      </c>
      <c r="H61" s="884">
        <f>G61*F61</f>
        <v>0</v>
      </c>
      <c r="I61" s="884"/>
      <c r="J61" s="884"/>
      <c r="K61" s="884"/>
      <c r="L61" s="884"/>
      <c r="M61" s="884">
        <f t="shared" si="0"/>
        <v>0</v>
      </c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</row>
    <row r="62" spans="1:147" s="301" customFormat="1">
      <c r="A62" s="284"/>
      <c r="B62" s="342" t="s">
        <v>431</v>
      </c>
      <c r="C62" s="338" t="s">
        <v>432</v>
      </c>
      <c r="D62" s="337" t="s">
        <v>433</v>
      </c>
      <c r="E62" s="348">
        <v>2.9</v>
      </c>
      <c r="F62" s="289">
        <f>F57*E62</f>
        <v>0.17399999999999999</v>
      </c>
      <c r="G62" s="895">
        <v>0</v>
      </c>
      <c r="H62" s="884">
        <f>G62*F62</f>
        <v>0</v>
      </c>
      <c r="I62" s="884"/>
      <c r="J62" s="884"/>
      <c r="K62" s="884"/>
      <c r="L62" s="884"/>
      <c r="M62" s="884">
        <f t="shared" si="0"/>
        <v>0</v>
      </c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</row>
    <row r="63" spans="1:147" s="301" customFormat="1">
      <c r="A63" s="284"/>
      <c r="B63" s="335" t="s">
        <v>447</v>
      </c>
      <c r="C63" s="336" t="s">
        <v>448</v>
      </c>
      <c r="D63" s="337" t="s">
        <v>449</v>
      </c>
      <c r="E63" s="351">
        <v>2.3E-3</v>
      </c>
      <c r="F63" s="352">
        <f>E63*F57</f>
        <v>1.3799999999999999E-4</v>
      </c>
      <c r="G63" s="895">
        <v>0</v>
      </c>
      <c r="H63" s="900">
        <f>G63*F63</f>
        <v>0</v>
      </c>
      <c r="I63" s="884"/>
      <c r="J63" s="884"/>
      <c r="K63" s="884"/>
      <c r="L63" s="884"/>
      <c r="M63" s="900">
        <f t="shared" si="0"/>
        <v>0</v>
      </c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</row>
    <row r="64" spans="1:147" s="301" customFormat="1">
      <c r="A64" s="284"/>
      <c r="B64" s="353"/>
      <c r="C64" s="338" t="s">
        <v>405</v>
      </c>
      <c r="D64" s="337" t="s">
        <v>417</v>
      </c>
      <c r="E64" s="348">
        <v>1.1200000000000001</v>
      </c>
      <c r="F64" s="334">
        <f>E64*F57</f>
        <v>6.720000000000001E-2</v>
      </c>
      <c r="G64" s="901"/>
      <c r="H64" s="901"/>
      <c r="I64" s="901"/>
      <c r="J64" s="901"/>
      <c r="K64" s="897">
        <v>0</v>
      </c>
      <c r="L64" s="902">
        <f>K64*F64</f>
        <v>0</v>
      </c>
      <c r="M64" s="884">
        <f t="shared" si="0"/>
        <v>0</v>
      </c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</row>
    <row r="65" spans="1:224" s="301" customFormat="1">
      <c r="A65" s="284"/>
      <c r="B65" s="353"/>
      <c r="C65" s="339" t="s">
        <v>420</v>
      </c>
      <c r="D65" s="337" t="s">
        <v>417</v>
      </c>
      <c r="E65" s="348">
        <v>0.95</v>
      </c>
      <c r="F65" s="334">
        <f>E65*F57</f>
        <v>5.6999999999999995E-2</v>
      </c>
      <c r="G65" s="901">
        <v>0</v>
      </c>
      <c r="H65" s="902">
        <f>G65*F65</f>
        <v>0</v>
      </c>
      <c r="I65" s="902"/>
      <c r="J65" s="902"/>
      <c r="K65" s="902"/>
      <c r="L65" s="902"/>
      <c r="M65" s="884">
        <f t="shared" si="0"/>
        <v>0</v>
      </c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</row>
    <row r="66" spans="1:224" s="281" customFormat="1">
      <c r="A66" s="282"/>
      <c r="B66" s="282"/>
      <c r="C66" s="282" t="s">
        <v>450</v>
      </c>
      <c r="D66" s="282"/>
      <c r="E66" s="283"/>
      <c r="F66" s="283"/>
      <c r="G66" s="899"/>
      <c r="H66" s="899"/>
      <c r="I66" s="899"/>
      <c r="J66" s="899"/>
      <c r="K66" s="899"/>
      <c r="L66" s="899"/>
      <c r="M66" s="884"/>
    </row>
    <row r="67" spans="1:224" s="322" customFormat="1">
      <c r="A67" s="354">
        <v>11</v>
      </c>
      <c r="B67" s="355" t="s">
        <v>451</v>
      </c>
      <c r="C67" s="345" t="s">
        <v>452</v>
      </c>
      <c r="D67" s="356" t="s">
        <v>433</v>
      </c>
      <c r="E67" s="357"/>
      <c r="F67" s="288">
        <v>9.35</v>
      </c>
      <c r="G67" s="884"/>
      <c r="H67" s="884"/>
      <c r="I67" s="884"/>
      <c r="J67" s="901"/>
      <c r="K67" s="884"/>
      <c r="L67" s="901"/>
      <c r="M67" s="883">
        <f>SUM(M68:M72)</f>
        <v>0</v>
      </c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8"/>
      <c r="DR67" s="358"/>
      <c r="DS67" s="358"/>
      <c r="DT67" s="358"/>
      <c r="DU67" s="358"/>
      <c r="DV67" s="358"/>
      <c r="DW67" s="358"/>
      <c r="DX67" s="358"/>
      <c r="DY67" s="358"/>
      <c r="DZ67" s="358"/>
      <c r="EA67" s="358"/>
      <c r="EB67" s="358"/>
      <c r="EC67" s="358"/>
      <c r="ED67" s="358"/>
      <c r="EE67" s="358"/>
      <c r="EF67" s="358"/>
      <c r="EG67" s="358"/>
      <c r="EH67" s="358"/>
      <c r="EI67" s="358"/>
      <c r="EJ67" s="358"/>
      <c r="EK67" s="358"/>
      <c r="EL67" s="358"/>
      <c r="EM67" s="358"/>
      <c r="EN67" s="358"/>
      <c r="EO67" s="358"/>
      <c r="EP67" s="358"/>
      <c r="EQ67" s="358"/>
      <c r="ER67" s="358"/>
      <c r="ES67" s="358"/>
      <c r="ET67" s="358"/>
      <c r="EU67" s="358"/>
      <c r="EV67" s="358"/>
      <c r="EW67" s="358"/>
      <c r="EX67" s="358"/>
      <c r="EY67" s="358"/>
      <c r="EZ67" s="358"/>
      <c r="FA67" s="358"/>
      <c r="FB67" s="358"/>
      <c r="FC67" s="358"/>
      <c r="FD67" s="358"/>
      <c r="FE67" s="358"/>
      <c r="FF67" s="358"/>
      <c r="FG67" s="358"/>
      <c r="FH67" s="358"/>
      <c r="FI67" s="358"/>
      <c r="FJ67" s="358"/>
      <c r="FK67" s="358"/>
      <c r="FL67" s="358"/>
      <c r="FM67" s="358"/>
      <c r="FN67" s="358"/>
      <c r="FO67" s="358"/>
      <c r="FP67" s="358"/>
      <c r="FQ67" s="358"/>
      <c r="FR67" s="358"/>
      <c r="FS67" s="358"/>
      <c r="FT67" s="358"/>
      <c r="FU67" s="358"/>
      <c r="FV67" s="358"/>
      <c r="FW67" s="358"/>
      <c r="FX67" s="358"/>
      <c r="FY67" s="358"/>
      <c r="FZ67" s="358"/>
      <c r="GA67" s="358"/>
      <c r="GB67" s="358"/>
      <c r="GC67" s="358"/>
      <c r="GD67" s="358"/>
      <c r="GE67" s="358"/>
      <c r="GF67" s="358"/>
      <c r="GG67" s="358"/>
      <c r="GH67" s="358"/>
      <c r="GI67" s="358"/>
      <c r="GJ67" s="358"/>
      <c r="GK67" s="358"/>
      <c r="GL67" s="358"/>
      <c r="GM67" s="358"/>
      <c r="GN67" s="358"/>
      <c r="GO67" s="358"/>
      <c r="GP67" s="358"/>
      <c r="GQ67" s="358"/>
      <c r="GR67" s="358"/>
      <c r="GS67" s="358"/>
      <c r="GT67" s="358"/>
      <c r="GU67" s="358"/>
      <c r="GV67" s="358"/>
      <c r="GW67" s="358"/>
      <c r="GX67" s="358"/>
      <c r="GY67" s="358"/>
      <c r="GZ67" s="358"/>
      <c r="HA67" s="358"/>
      <c r="HB67" s="358"/>
      <c r="HC67" s="358"/>
      <c r="HD67" s="358"/>
      <c r="HE67" s="358"/>
      <c r="HF67" s="358"/>
      <c r="HG67" s="358"/>
      <c r="HH67" s="332"/>
      <c r="HI67" s="332"/>
      <c r="HJ67" s="332"/>
      <c r="HK67" s="332"/>
      <c r="HL67" s="332"/>
      <c r="HM67" s="332"/>
      <c r="HN67" s="332"/>
      <c r="HO67" s="332"/>
      <c r="HP67" s="332"/>
    </row>
    <row r="68" spans="1:224" s="322" customFormat="1">
      <c r="A68" s="356"/>
      <c r="B68" s="359"/>
      <c r="C68" s="360" t="s">
        <v>416</v>
      </c>
      <c r="D68" s="361" t="s">
        <v>40</v>
      </c>
      <c r="E68" s="289">
        <f>600/100</f>
        <v>6</v>
      </c>
      <c r="F68" s="289">
        <f>E68*F67</f>
        <v>56.099999999999994</v>
      </c>
      <c r="G68" s="884"/>
      <c r="H68" s="884"/>
      <c r="I68" s="890">
        <v>0</v>
      </c>
      <c r="J68" s="884">
        <f>F68*I68</f>
        <v>0</v>
      </c>
      <c r="K68" s="884"/>
      <c r="L68" s="884"/>
      <c r="M68" s="884">
        <f t="shared" ref="M68:M133" si="5">L68+J68+H68</f>
        <v>0</v>
      </c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358"/>
      <c r="AP68" s="358"/>
      <c r="AQ68" s="358"/>
      <c r="AR68" s="358"/>
      <c r="AS68" s="358"/>
      <c r="AT68" s="358"/>
      <c r="AU68" s="358"/>
      <c r="AV68" s="358"/>
      <c r="AW68" s="358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58"/>
      <c r="BV68" s="358"/>
      <c r="BW68" s="358"/>
      <c r="BX68" s="358"/>
      <c r="BY68" s="358"/>
      <c r="BZ68" s="358"/>
      <c r="CA68" s="358"/>
      <c r="CB68" s="358"/>
      <c r="CC68" s="358"/>
      <c r="CD68" s="358"/>
      <c r="CE68" s="358"/>
      <c r="CF68" s="358"/>
      <c r="CG68" s="358"/>
      <c r="CH68" s="358"/>
      <c r="CI68" s="358"/>
      <c r="CJ68" s="358"/>
      <c r="CK68" s="358"/>
      <c r="CL68" s="358"/>
      <c r="CM68" s="358"/>
      <c r="CN68" s="358"/>
      <c r="CO68" s="358"/>
      <c r="CP68" s="358"/>
      <c r="CQ68" s="358"/>
      <c r="CR68" s="358"/>
      <c r="CS68" s="358"/>
      <c r="CT68" s="358"/>
      <c r="CU68" s="358"/>
      <c r="CV68" s="358"/>
      <c r="CW68" s="358"/>
      <c r="CX68" s="358"/>
      <c r="CY68" s="358"/>
      <c r="CZ68" s="358"/>
      <c r="DA68" s="358"/>
      <c r="DB68" s="358"/>
      <c r="DC68" s="358"/>
      <c r="DD68" s="358"/>
      <c r="DE68" s="358"/>
      <c r="DF68" s="358"/>
      <c r="DG68" s="358"/>
      <c r="DH68" s="358"/>
      <c r="DI68" s="358"/>
      <c r="DJ68" s="358"/>
      <c r="DK68" s="358"/>
      <c r="DL68" s="358"/>
      <c r="DM68" s="358"/>
      <c r="DN68" s="358"/>
      <c r="DO68" s="358"/>
      <c r="DP68" s="358"/>
      <c r="DQ68" s="358"/>
      <c r="DR68" s="358"/>
      <c r="DS68" s="358"/>
      <c r="DT68" s="358"/>
      <c r="DU68" s="358"/>
      <c r="DV68" s="358"/>
      <c r="DW68" s="358"/>
      <c r="DX68" s="358"/>
      <c r="DY68" s="358"/>
      <c r="DZ68" s="358"/>
      <c r="EA68" s="358"/>
      <c r="EB68" s="358"/>
      <c r="EC68" s="358"/>
      <c r="ED68" s="358"/>
      <c r="EE68" s="358"/>
      <c r="EF68" s="358"/>
      <c r="EG68" s="358"/>
      <c r="EH68" s="358"/>
      <c r="EI68" s="358"/>
      <c r="EJ68" s="358"/>
      <c r="EK68" s="358"/>
      <c r="EL68" s="358"/>
      <c r="EM68" s="358"/>
      <c r="EN68" s="358"/>
      <c r="EO68" s="358"/>
      <c r="EP68" s="358"/>
      <c r="EQ68" s="358"/>
      <c r="ER68" s="358"/>
      <c r="ES68" s="358"/>
      <c r="ET68" s="358"/>
      <c r="EU68" s="358"/>
      <c r="EV68" s="358"/>
      <c r="EW68" s="358"/>
      <c r="EX68" s="358"/>
      <c r="EY68" s="358"/>
      <c r="EZ68" s="358"/>
      <c r="FA68" s="358"/>
      <c r="FB68" s="358"/>
      <c r="FC68" s="358"/>
      <c r="FD68" s="358"/>
      <c r="FE68" s="358"/>
      <c r="FF68" s="358"/>
      <c r="FG68" s="358"/>
      <c r="FH68" s="358"/>
      <c r="FI68" s="358"/>
      <c r="FJ68" s="358"/>
      <c r="FK68" s="358"/>
      <c r="FL68" s="358"/>
      <c r="FM68" s="358"/>
      <c r="FN68" s="358"/>
      <c r="FO68" s="358"/>
      <c r="FP68" s="358"/>
      <c r="FQ68" s="358"/>
      <c r="FR68" s="358"/>
      <c r="FS68" s="358"/>
      <c r="FT68" s="358"/>
      <c r="FU68" s="358"/>
      <c r="FV68" s="358"/>
      <c r="FW68" s="358"/>
      <c r="FX68" s="358"/>
      <c r="FY68" s="358"/>
      <c r="FZ68" s="358"/>
      <c r="GA68" s="358"/>
      <c r="GB68" s="358"/>
      <c r="GC68" s="358"/>
      <c r="GD68" s="358"/>
      <c r="GE68" s="358"/>
      <c r="GF68" s="358"/>
      <c r="GG68" s="358"/>
      <c r="GH68" s="358"/>
      <c r="GI68" s="358"/>
      <c r="GJ68" s="358"/>
      <c r="GK68" s="358"/>
      <c r="GL68" s="358"/>
      <c r="GM68" s="358"/>
      <c r="GN68" s="358"/>
      <c r="GO68" s="358"/>
      <c r="GP68" s="358"/>
      <c r="GQ68" s="358"/>
      <c r="GR68" s="358"/>
      <c r="GS68" s="358"/>
      <c r="GT68" s="358"/>
      <c r="GU68" s="358"/>
      <c r="GV68" s="358"/>
      <c r="GW68" s="358"/>
      <c r="GX68" s="358"/>
      <c r="GY68" s="358"/>
      <c r="GZ68" s="358"/>
      <c r="HA68" s="358"/>
      <c r="HB68" s="358"/>
      <c r="HC68" s="358"/>
      <c r="HD68" s="358"/>
      <c r="HE68" s="358"/>
      <c r="HF68" s="358"/>
      <c r="HG68" s="358"/>
      <c r="HH68" s="332"/>
      <c r="HI68" s="332"/>
      <c r="HJ68" s="332"/>
      <c r="HK68" s="332"/>
      <c r="HL68" s="332"/>
      <c r="HM68" s="332"/>
      <c r="HN68" s="332"/>
      <c r="HO68" s="332"/>
      <c r="HP68" s="332"/>
    </row>
    <row r="69" spans="1:224" s="322" customFormat="1">
      <c r="A69" s="356"/>
      <c r="B69" s="359"/>
      <c r="C69" s="360" t="s">
        <v>453</v>
      </c>
      <c r="D69" s="361" t="s">
        <v>417</v>
      </c>
      <c r="E69" s="289">
        <f>18/100</f>
        <v>0.18</v>
      </c>
      <c r="F69" s="289">
        <f>E69*F67</f>
        <v>1.6829999999999998</v>
      </c>
      <c r="G69" s="884"/>
      <c r="H69" s="884"/>
      <c r="I69" s="884"/>
      <c r="J69" s="884"/>
      <c r="K69" s="884">
        <v>0</v>
      </c>
      <c r="L69" s="884">
        <f>F69*K69</f>
        <v>0</v>
      </c>
      <c r="M69" s="884">
        <f t="shared" si="5"/>
        <v>0</v>
      </c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  <c r="AV69" s="358"/>
      <c r="AW69" s="358"/>
      <c r="AX69" s="358"/>
      <c r="AY69" s="358"/>
      <c r="AZ69" s="358"/>
      <c r="BA69" s="358"/>
      <c r="BB69" s="358"/>
      <c r="BC69" s="358"/>
      <c r="BD69" s="358"/>
      <c r="BE69" s="358"/>
      <c r="BF69" s="358"/>
      <c r="BG69" s="358"/>
      <c r="BH69" s="358"/>
      <c r="BI69" s="358"/>
      <c r="BJ69" s="358"/>
      <c r="BK69" s="358"/>
      <c r="BL69" s="358"/>
      <c r="BM69" s="358"/>
      <c r="BN69" s="358"/>
      <c r="BO69" s="358"/>
      <c r="BP69" s="358"/>
      <c r="BQ69" s="358"/>
      <c r="BR69" s="358"/>
      <c r="BS69" s="358"/>
      <c r="BT69" s="358"/>
      <c r="BU69" s="358"/>
      <c r="BV69" s="358"/>
      <c r="BW69" s="358"/>
      <c r="BX69" s="358"/>
      <c r="BY69" s="358"/>
      <c r="BZ69" s="358"/>
      <c r="CA69" s="358"/>
      <c r="CB69" s="358"/>
      <c r="CC69" s="358"/>
      <c r="CD69" s="358"/>
      <c r="CE69" s="358"/>
      <c r="CF69" s="358"/>
      <c r="CG69" s="358"/>
      <c r="CH69" s="358"/>
      <c r="CI69" s="358"/>
      <c r="CJ69" s="358"/>
      <c r="CK69" s="358"/>
      <c r="CL69" s="358"/>
      <c r="CM69" s="358"/>
      <c r="CN69" s="358"/>
      <c r="CO69" s="358"/>
      <c r="CP69" s="358"/>
      <c r="CQ69" s="358"/>
      <c r="CR69" s="358"/>
      <c r="CS69" s="358"/>
      <c r="CT69" s="358"/>
      <c r="CU69" s="358"/>
      <c r="CV69" s="358"/>
      <c r="CW69" s="358"/>
      <c r="CX69" s="358"/>
      <c r="CY69" s="358"/>
      <c r="CZ69" s="358"/>
      <c r="DA69" s="358"/>
      <c r="DB69" s="358"/>
      <c r="DC69" s="358"/>
      <c r="DD69" s="358"/>
      <c r="DE69" s="358"/>
      <c r="DF69" s="358"/>
      <c r="DG69" s="358"/>
      <c r="DH69" s="358"/>
      <c r="DI69" s="358"/>
      <c r="DJ69" s="358"/>
      <c r="DK69" s="358"/>
      <c r="DL69" s="358"/>
      <c r="DM69" s="358"/>
      <c r="DN69" s="358"/>
      <c r="DO69" s="358"/>
      <c r="DP69" s="358"/>
      <c r="DQ69" s="358"/>
      <c r="DR69" s="358"/>
      <c r="DS69" s="358"/>
      <c r="DT69" s="358"/>
      <c r="DU69" s="358"/>
      <c r="DV69" s="358"/>
      <c r="DW69" s="358"/>
      <c r="DX69" s="358"/>
      <c r="DY69" s="358"/>
      <c r="DZ69" s="358"/>
      <c r="EA69" s="358"/>
      <c r="EB69" s="358"/>
      <c r="EC69" s="358"/>
      <c r="ED69" s="358"/>
      <c r="EE69" s="358"/>
      <c r="EF69" s="358"/>
      <c r="EG69" s="358"/>
      <c r="EH69" s="358"/>
      <c r="EI69" s="358"/>
      <c r="EJ69" s="358"/>
      <c r="EK69" s="358"/>
      <c r="EL69" s="358"/>
      <c r="EM69" s="358"/>
      <c r="EN69" s="358"/>
      <c r="EO69" s="358"/>
      <c r="EP69" s="358"/>
      <c r="EQ69" s="358"/>
      <c r="ER69" s="358"/>
      <c r="ES69" s="358"/>
      <c r="ET69" s="358"/>
      <c r="EU69" s="358"/>
      <c r="EV69" s="358"/>
      <c r="EW69" s="358"/>
      <c r="EX69" s="358"/>
      <c r="EY69" s="358"/>
      <c r="EZ69" s="358"/>
      <c r="FA69" s="358"/>
      <c r="FB69" s="358"/>
      <c r="FC69" s="358"/>
      <c r="FD69" s="358"/>
      <c r="FE69" s="358"/>
      <c r="FF69" s="358"/>
      <c r="FG69" s="358"/>
      <c r="FH69" s="358"/>
      <c r="FI69" s="358"/>
      <c r="FJ69" s="358"/>
      <c r="FK69" s="358"/>
      <c r="FL69" s="358"/>
      <c r="FM69" s="358"/>
      <c r="FN69" s="358"/>
      <c r="FO69" s="358"/>
      <c r="FP69" s="358"/>
      <c r="FQ69" s="358"/>
      <c r="FR69" s="358"/>
      <c r="FS69" s="358"/>
      <c r="FT69" s="358"/>
      <c r="FU69" s="358"/>
      <c r="FV69" s="358"/>
      <c r="FW69" s="358"/>
      <c r="FX69" s="358"/>
      <c r="FY69" s="358"/>
      <c r="FZ69" s="358"/>
      <c r="GA69" s="358"/>
      <c r="GB69" s="358"/>
      <c r="GC69" s="358"/>
      <c r="GD69" s="358"/>
      <c r="GE69" s="358"/>
      <c r="GF69" s="358"/>
      <c r="GG69" s="358"/>
      <c r="GH69" s="358"/>
      <c r="GI69" s="358"/>
      <c r="GJ69" s="358"/>
      <c r="GK69" s="358"/>
      <c r="GL69" s="358"/>
      <c r="GM69" s="358"/>
      <c r="GN69" s="358"/>
      <c r="GO69" s="358"/>
      <c r="GP69" s="358"/>
      <c r="GQ69" s="358"/>
      <c r="GR69" s="358"/>
      <c r="GS69" s="358"/>
      <c r="GT69" s="358"/>
      <c r="GU69" s="358"/>
      <c r="GV69" s="358"/>
      <c r="GW69" s="358"/>
      <c r="GX69" s="358"/>
      <c r="GY69" s="358"/>
      <c r="GZ69" s="358"/>
      <c r="HA69" s="358"/>
      <c r="HB69" s="358"/>
      <c r="HC69" s="358"/>
      <c r="HD69" s="358"/>
      <c r="HE69" s="358"/>
      <c r="HF69" s="358"/>
      <c r="HG69" s="358"/>
      <c r="HH69" s="332"/>
      <c r="HI69" s="332"/>
      <c r="HJ69" s="332"/>
      <c r="HK69" s="332"/>
      <c r="HL69" s="332"/>
      <c r="HM69" s="332"/>
      <c r="HN69" s="332"/>
      <c r="HO69" s="332"/>
      <c r="HP69" s="332"/>
    </row>
    <row r="70" spans="1:224" s="322" customFormat="1">
      <c r="A70" s="356"/>
      <c r="B70" s="362" t="s">
        <v>454</v>
      </c>
      <c r="C70" s="360" t="s">
        <v>455</v>
      </c>
      <c r="D70" s="361" t="s">
        <v>433</v>
      </c>
      <c r="E70" s="289">
        <v>0.99</v>
      </c>
      <c r="F70" s="289">
        <f>E70*F67</f>
        <v>9.2564999999999991</v>
      </c>
      <c r="G70" s="901">
        <v>0</v>
      </c>
      <c r="H70" s="884">
        <f>G70*F70</f>
        <v>0</v>
      </c>
      <c r="I70" s="884"/>
      <c r="J70" s="884"/>
      <c r="K70" s="884"/>
      <c r="L70" s="884"/>
      <c r="M70" s="884">
        <f t="shared" si="5"/>
        <v>0</v>
      </c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  <c r="CH70" s="358"/>
      <c r="CI70" s="358"/>
      <c r="CJ70" s="358"/>
      <c r="CK70" s="358"/>
      <c r="CL70" s="358"/>
      <c r="CM70" s="358"/>
      <c r="CN70" s="358"/>
      <c r="CO70" s="358"/>
      <c r="CP70" s="358"/>
      <c r="CQ70" s="358"/>
      <c r="CR70" s="358"/>
      <c r="CS70" s="358"/>
      <c r="CT70" s="358"/>
      <c r="CU70" s="358"/>
      <c r="CV70" s="358"/>
      <c r="CW70" s="358"/>
      <c r="CX70" s="358"/>
      <c r="CY70" s="358"/>
      <c r="CZ70" s="358"/>
      <c r="DA70" s="358"/>
      <c r="DB70" s="358"/>
      <c r="DC70" s="358"/>
      <c r="DD70" s="358"/>
      <c r="DE70" s="358"/>
      <c r="DF70" s="358"/>
      <c r="DG70" s="358"/>
      <c r="DH70" s="358"/>
      <c r="DI70" s="358"/>
      <c r="DJ70" s="358"/>
      <c r="DK70" s="358"/>
      <c r="DL70" s="358"/>
      <c r="DM70" s="358"/>
      <c r="DN70" s="358"/>
      <c r="DO70" s="358"/>
      <c r="DP70" s="358"/>
      <c r="DQ70" s="358"/>
      <c r="DR70" s="358"/>
      <c r="DS70" s="358"/>
      <c r="DT70" s="358"/>
      <c r="DU70" s="358"/>
      <c r="DV70" s="358"/>
      <c r="DW70" s="358"/>
      <c r="DX70" s="358"/>
      <c r="DY70" s="358"/>
      <c r="DZ70" s="358"/>
      <c r="EA70" s="358"/>
      <c r="EB70" s="358"/>
      <c r="EC70" s="358"/>
      <c r="ED70" s="358"/>
      <c r="EE70" s="358"/>
      <c r="EF70" s="358"/>
      <c r="EG70" s="358"/>
      <c r="EH70" s="358"/>
      <c r="EI70" s="358"/>
      <c r="EJ70" s="358"/>
      <c r="EK70" s="358"/>
      <c r="EL70" s="358"/>
      <c r="EM70" s="358"/>
      <c r="EN70" s="358"/>
      <c r="EO70" s="358"/>
      <c r="EP70" s="358"/>
      <c r="EQ70" s="358"/>
      <c r="ER70" s="358"/>
      <c r="ES70" s="358"/>
      <c r="ET70" s="358"/>
      <c r="EU70" s="358"/>
      <c r="EV70" s="358"/>
      <c r="EW70" s="358"/>
      <c r="EX70" s="358"/>
      <c r="EY70" s="358"/>
      <c r="EZ70" s="358"/>
      <c r="FA70" s="358"/>
      <c r="FB70" s="358"/>
      <c r="FC70" s="358"/>
      <c r="FD70" s="358"/>
      <c r="FE70" s="358"/>
      <c r="FF70" s="358"/>
      <c r="FG70" s="358"/>
      <c r="FH70" s="358"/>
      <c r="FI70" s="358"/>
      <c r="FJ70" s="358"/>
      <c r="FK70" s="358"/>
      <c r="FL70" s="358"/>
      <c r="FM70" s="358"/>
      <c r="FN70" s="358"/>
      <c r="FO70" s="358"/>
      <c r="FP70" s="358"/>
      <c r="FQ70" s="358"/>
      <c r="FR70" s="358"/>
      <c r="FS70" s="358"/>
      <c r="FT70" s="358"/>
      <c r="FU70" s="358"/>
      <c r="FV70" s="358"/>
      <c r="FW70" s="358"/>
      <c r="FX70" s="358"/>
      <c r="FY70" s="358"/>
      <c r="FZ70" s="358"/>
      <c r="GA70" s="358"/>
      <c r="GB70" s="358"/>
      <c r="GC70" s="358"/>
      <c r="GD70" s="358"/>
      <c r="GE70" s="358"/>
      <c r="GF70" s="358"/>
      <c r="GG70" s="358"/>
      <c r="GH70" s="358"/>
      <c r="GI70" s="358"/>
      <c r="GJ70" s="358"/>
      <c r="GK70" s="358"/>
      <c r="GL70" s="358"/>
      <c r="GM70" s="358"/>
      <c r="GN70" s="358"/>
      <c r="GO70" s="358"/>
      <c r="GP70" s="358"/>
      <c r="GQ70" s="358"/>
      <c r="GR70" s="358"/>
      <c r="GS70" s="358"/>
      <c r="GT70" s="358"/>
      <c r="GU70" s="358"/>
      <c r="GV70" s="358"/>
      <c r="GW70" s="358"/>
      <c r="GX70" s="358"/>
      <c r="GY70" s="358"/>
      <c r="GZ70" s="358"/>
      <c r="HA70" s="358"/>
      <c r="HB70" s="358"/>
      <c r="HC70" s="358"/>
      <c r="HD70" s="358"/>
      <c r="HE70" s="358"/>
      <c r="HF70" s="358"/>
      <c r="HG70" s="358"/>
      <c r="HH70" s="332"/>
      <c r="HI70" s="332"/>
      <c r="HJ70" s="332"/>
      <c r="HK70" s="332"/>
      <c r="HL70" s="332"/>
      <c r="HM70" s="332"/>
      <c r="HN70" s="332"/>
      <c r="HO70" s="332"/>
      <c r="HP70" s="332"/>
    </row>
    <row r="71" spans="1:224" s="322" customFormat="1">
      <c r="A71" s="356"/>
      <c r="B71" s="331" t="s">
        <v>456</v>
      </c>
      <c r="C71" s="360" t="s">
        <v>457</v>
      </c>
      <c r="D71" s="361" t="s">
        <v>25</v>
      </c>
      <c r="E71" s="289">
        <f>3.6/100</f>
        <v>3.6000000000000004E-2</v>
      </c>
      <c r="F71" s="289">
        <f>E71*F67</f>
        <v>0.33660000000000001</v>
      </c>
      <c r="G71" s="895">
        <v>0</v>
      </c>
      <c r="H71" s="884">
        <f>G71*F71</f>
        <v>0</v>
      </c>
      <c r="I71" s="884"/>
      <c r="J71" s="884"/>
      <c r="K71" s="884"/>
      <c r="L71" s="884"/>
      <c r="M71" s="884">
        <f t="shared" si="5"/>
        <v>0</v>
      </c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358"/>
      <c r="CI71" s="358"/>
      <c r="CJ71" s="358"/>
      <c r="CK71" s="358"/>
      <c r="CL71" s="358"/>
      <c r="CM71" s="358"/>
      <c r="CN71" s="358"/>
      <c r="CO71" s="358"/>
      <c r="CP71" s="358"/>
      <c r="CQ71" s="358"/>
      <c r="CR71" s="358"/>
      <c r="CS71" s="358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8"/>
      <c r="DM71" s="358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8"/>
      <c r="EJ71" s="358"/>
      <c r="EK71" s="358"/>
      <c r="EL71" s="358"/>
      <c r="EM71" s="358"/>
      <c r="EN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FD71" s="358"/>
      <c r="FE71" s="358"/>
      <c r="FF71" s="358"/>
      <c r="FG71" s="358"/>
      <c r="FH71" s="358"/>
      <c r="FI71" s="358"/>
      <c r="FJ71" s="358"/>
      <c r="FK71" s="358"/>
      <c r="FL71" s="358"/>
      <c r="FM71" s="358"/>
      <c r="FN71" s="358"/>
      <c r="FO71" s="358"/>
      <c r="FP71" s="358"/>
      <c r="FQ71" s="358"/>
      <c r="FR71" s="358"/>
      <c r="FS71" s="358"/>
      <c r="FT71" s="358"/>
      <c r="FU71" s="358"/>
      <c r="FV71" s="358"/>
      <c r="FW71" s="358"/>
      <c r="FX71" s="358"/>
      <c r="FY71" s="358"/>
      <c r="FZ71" s="358"/>
      <c r="GA71" s="358"/>
      <c r="GB71" s="358"/>
      <c r="GC71" s="358"/>
      <c r="GD71" s="358"/>
      <c r="GE71" s="358"/>
      <c r="GF71" s="358"/>
      <c r="GG71" s="358"/>
      <c r="GH71" s="358"/>
      <c r="GI71" s="358"/>
      <c r="GJ71" s="358"/>
      <c r="GK71" s="358"/>
      <c r="GL71" s="358"/>
      <c r="GM71" s="358"/>
      <c r="GN71" s="358"/>
      <c r="GO71" s="358"/>
      <c r="GP71" s="358"/>
      <c r="GQ71" s="358"/>
      <c r="GR71" s="358"/>
      <c r="GS71" s="358"/>
      <c r="GT71" s="358"/>
      <c r="GU71" s="358"/>
      <c r="GV71" s="358"/>
      <c r="GW71" s="358"/>
      <c r="GX71" s="358"/>
      <c r="GY71" s="358"/>
      <c r="GZ71" s="358"/>
      <c r="HA71" s="358"/>
      <c r="HB71" s="358"/>
      <c r="HC71" s="358"/>
      <c r="HD71" s="358"/>
      <c r="HE71" s="358"/>
      <c r="HF71" s="358"/>
      <c r="HG71" s="358"/>
      <c r="HH71" s="332"/>
      <c r="HI71" s="332"/>
      <c r="HJ71" s="332"/>
      <c r="HK71" s="332"/>
      <c r="HL71" s="332"/>
      <c r="HM71" s="332"/>
      <c r="HN71" s="332"/>
      <c r="HO71" s="332"/>
      <c r="HP71" s="332"/>
    </row>
    <row r="72" spans="1:224" s="322" customFormat="1">
      <c r="A72" s="361"/>
      <c r="B72" s="362"/>
      <c r="C72" s="360" t="s">
        <v>458</v>
      </c>
      <c r="D72" s="361" t="s">
        <v>417</v>
      </c>
      <c r="E72" s="289">
        <f>8/100</f>
        <v>0.08</v>
      </c>
      <c r="F72" s="289">
        <f>E72*F67</f>
        <v>0.748</v>
      </c>
      <c r="G72" s="884">
        <v>0</v>
      </c>
      <c r="H72" s="884">
        <f>G72*F72</f>
        <v>0</v>
      </c>
      <c r="I72" s="884"/>
      <c r="J72" s="884"/>
      <c r="K72" s="884"/>
      <c r="L72" s="884"/>
      <c r="M72" s="884">
        <f t="shared" si="5"/>
        <v>0</v>
      </c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8"/>
      <c r="BY72" s="358"/>
      <c r="BZ72" s="358"/>
      <c r="CA72" s="358"/>
      <c r="CB72" s="358"/>
      <c r="CC72" s="358"/>
      <c r="CD72" s="358"/>
      <c r="CE72" s="358"/>
      <c r="CF72" s="358"/>
      <c r="CG72" s="358"/>
      <c r="CH72" s="358"/>
      <c r="CI72" s="358"/>
      <c r="CJ72" s="358"/>
      <c r="CK72" s="358"/>
      <c r="CL72" s="358"/>
      <c r="CM72" s="358"/>
      <c r="CN72" s="358"/>
      <c r="CO72" s="358"/>
      <c r="CP72" s="358"/>
      <c r="CQ72" s="358"/>
      <c r="CR72" s="358"/>
      <c r="CS72" s="358"/>
      <c r="CT72" s="358"/>
      <c r="CU72" s="358"/>
      <c r="CV72" s="358"/>
      <c r="CW72" s="358"/>
      <c r="CX72" s="358"/>
      <c r="CY72" s="358"/>
      <c r="CZ72" s="358"/>
      <c r="DA72" s="358"/>
      <c r="DB72" s="358"/>
      <c r="DC72" s="358"/>
      <c r="DD72" s="358"/>
      <c r="DE72" s="358"/>
      <c r="DF72" s="358"/>
      <c r="DG72" s="358"/>
      <c r="DH72" s="358"/>
      <c r="DI72" s="358"/>
      <c r="DJ72" s="358"/>
      <c r="DK72" s="358"/>
      <c r="DL72" s="358"/>
      <c r="DM72" s="358"/>
      <c r="DN72" s="358"/>
      <c r="DO72" s="358"/>
      <c r="DP72" s="358"/>
      <c r="DQ72" s="358"/>
      <c r="DR72" s="358"/>
      <c r="DS72" s="358"/>
      <c r="DT72" s="358"/>
      <c r="DU72" s="358"/>
      <c r="DV72" s="358"/>
      <c r="DW72" s="358"/>
      <c r="DX72" s="358"/>
      <c r="DY72" s="358"/>
      <c r="DZ72" s="358"/>
      <c r="EA72" s="358"/>
      <c r="EB72" s="358"/>
      <c r="EC72" s="358"/>
      <c r="ED72" s="358"/>
      <c r="EE72" s="358"/>
      <c r="EF72" s="358"/>
      <c r="EG72" s="358"/>
      <c r="EH72" s="358"/>
      <c r="EI72" s="358"/>
      <c r="EJ72" s="358"/>
      <c r="EK72" s="358"/>
      <c r="EL72" s="358"/>
      <c r="EM72" s="358"/>
      <c r="EN72" s="358"/>
      <c r="EO72" s="358"/>
      <c r="EP72" s="358"/>
      <c r="EQ72" s="358"/>
      <c r="ER72" s="358"/>
      <c r="ES72" s="358"/>
      <c r="ET72" s="358"/>
      <c r="EU72" s="358"/>
      <c r="EV72" s="358"/>
      <c r="EW72" s="358"/>
      <c r="EX72" s="358"/>
      <c r="EY72" s="358"/>
      <c r="EZ72" s="358"/>
      <c r="FA72" s="358"/>
      <c r="FB72" s="358"/>
      <c r="FC72" s="358"/>
      <c r="FD72" s="358"/>
      <c r="FE72" s="358"/>
      <c r="FF72" s="358"/>
      <c r="FG72" s="358"/>
      <c r="FH72" s="358"/>
      <c r="FI72" s="358"/>
      <c r="FJ72" s="358"/>
      <c r="FK72" s="358"/>
      <c r="FL72" s="358"/>
      <c r="FM72" s="358"/>
      <c r="FN72" s="358"/>
      <c r="FO72" s="358"/>
      <c r="FP72" s="358"/>
      <c r="FQ72" s="358"/>
      <c r="FR72" s="358"/>
      <c r="FS72" s="358"/>
      <c r="FT72" s="358"/>
      <c r="FU72" s="358"/>
      <c r="FV72" s="358"/>
      <c r="FW72" s="358"/>
      <c r="FX72" s="358"/>
      <c r="FY72" s="358"/>
      <c r="FZ72" s="358"/>
      <c r="GA72" s="358"/>
      <c r="GB72" s="358"/>
      <c r="GC72" s="358"/>
      <c r="GD72" s="358"/>
      <c r="GE72" s="358"/>
      <c r="GF72" s="358"/>
      <c r="GG72" s="358"/>
      <c r="GH72" s="358"/>
      <c r="GI72" s="358"/>
      <c r="GJ72" s="358"/>
      <c r="GK72" s="358"/>
      <c r="GL72" s="358"/>
      <c r="GM72" s="358"/>
      <c r="GN72" s="358"/>
      <c r="GO72" s="358"/>
      <c r="GP72" s="358"/>
      <c r="GQ72" s="358"/>
      <c r="GR72" s="358"/>
      <c r="GS72" s="358"/>
      <c r="GT72" s="358"/>
      <c r="GU72" s="358"/>
      <c r="GV72" s="358"/>
      <c r="GW72" s="358"/>
      <c r="GX72" s="358"/>
      <c r="GY72" s="358"/>
      <c r="GZ72" s="358"/>
      <c r="HA72" s="358"/>
      <c r="HB72" s="358"/>
      <c r="HC72" s="358"/>
      <c r="HD72" s="358"/>
      <c r="HE72" s="358"/>
      <c r="HF72" s="358"/>
      <c r="HG72" s="358"/>
      <c r="HH72" s="332"/>
      <c r="HI72" s="332"/>
      <c r="HJ72" s="332"/>
      <c r="HK72" s="332"/>
      <c r="HL72" s="332"/>
      <c r="HM72" s="332"/>
      <c r="HN72" s="332"/>
      <c r="HO72" s="332"/>
      <c r="HP72" s="332"/>
    </row>
    <row r="73" spans="1:224" s="322" customFormat="1">
      <c r="A73" s="356">
        <v>12</v>
      </c>
      <c r="B73" s="355" t="s">
        <v>459</v>
      </c>
      <c r="C73" s="286" t="s">
        <v>460</v>
      </c>
      <c r="D73" s="356" t="s">
        <v>433</v>
      </c>
      <c r="E73" s="363"/>
      <c r="F73" s="364">
        <v>9.35</v>
      </c>
      <c r="G73" s="903"/>
      <c r="H73" s="903"/>
      <c r="I73" s="883"/>
      <c r="J73" s="899"/>
      <c r="K73" s="903"/>
      <c r="L73" s="903"/>
      <c r="M73" s="883">
        <f>SUM(M74:M78)</f>
        <v>0</v>
      </c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5"/>
      <c r="DB73" s="365"/>
      <c r="DC73" s="365"/>
      <c r="DD73" s="365"/>
      <c r="DE73" s="365"/>
      <c r="DF73" s="365"/>
      <c r="DG73" s="365"/>
      <c r="DH73" s="365"/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  <c r="FL73" s="365"/>
      <c r="FM73" s="365"/>
      <c r="FN73" s="365"/>
      <c r="FO73" s="365"/>
      <c r="FP73" s="365"/>
      <c r="FQ73" s="365"/>
      <c r="FR73" s="365"/>
      <c r="FS73" s="365"/>
      <c r="FT73" s="365"/>
      <c r="FU73" s="365"/>
      <c r="FV73" s="365"/>
      <c r="FW73" s="365"/>
      <c r="FX73" s="365"/>
      <c r="FY73" s="365"/>
      <c r="FZ73" s="365"/>
      <c r="GA73" s="365"/>
      <c r="GB73" s="365"/>
      <c r="GC73" s="365"/>
      <c r="GD73" s="365"/>
      <c r="GE73" s="365"/>
      <c r="GF73" s="365"/>
      <c r="GG73" s="365"/>
      <c r="GH73" s="365"/>
      <c r="GI73" s="365"/>
      <c r="GJ73" s="365"/>
      <c r="GK73" s="365"/>
      <c r="GL73" s="365"/>
      <c r="GM73" s="365"/>
      <c r="GN73" s="365"/>
      <c r="GO73" s="365"/>
      <c r="GP73" s="365"/>
      <c r="GQ73" s="365"/>
      <c r="GR73" s="365"/>
      <c r="GS73" s="365"/>
      <c r="GT73" s="365"/>
      <c r="GU73" s="365"/>
      <c r="GV73" s="365"/>
      <c r="GW73" s="365"/>
      <c r="GX73" s="365"/>
      <c r="GY73" s="365"/>
      <c r="GZ73" s="365"/>
      <c r="HA73" s="347"/>
      <c r="HB73" s="347"/>
      <c r="HC73" s="347"/>
      <c r="HD73" s="347"/>
      <c r="HE73" s="347"/>
      <c r="HF73" s="347"/>
      <c r="HG73" s="347"/>
      <c r="HH73" s="347"/>
      <c r="HI73" s="347"/>
      <c r="HJ73" s="347"/>
      <c r="HK73" s="347"/>
      <c r="HL73" s="347"/>
      <c r="HM73" s="347"/>
      <c r="HN73" s="347"/>
      <c r="HO73" s="347"/>
      <c r="HP73" s="347"/>
    </row>
    <row r="74" spans="1:224" s="322" customFormat="1">
      <c r="A74" s="356"/>
      <c r="B74" s="359"/>
      <c r="C74" s="360" t="s">
        <v>416</v>
      </c>
      <c r="D74" s="361" t="s">
        <v>40</v>
      </c>
      <c r="E74" s="328">
        <f>106/100</f>
        <v>1.06</v>
      </c>
      <c r="F74" s="289">
        <f>F73*E74</f>
        <v>9.9109999999999996</v>
      </c>
      <c r="G74" s="893"/>
      <c r="H74" s="893"/>
      <c r="I74" s="890">
        <v>0</v>
      </c>
      <c r="J74" s="884">
        <f>I74*F74</f>
        <v>0</v>
      </c>
      <c r="K74" s="902"/>
      <c r="L74" s="902"/>
      <c r="M74" s="884">
        <f t="shared" si="5"/>
        <v>0</v>
      </c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  <c r="CI74" s="358"/>
      <c r="CJ74" s="358"/>
      <c r="CK74" s="358"/>
      <c r="CL74" s="358"/>
      <c r="CM74" s="358"/>
      <c r="CN74" s="358"/>
      <c r="CO74" s="358"/>
      <c r="CP74" s="358"/>
      <c r="CQ74" s="358"/>
      <c r="CR74" s="358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DY74" s="358"/>
      <c r="DZ74" s="358"/>
      <c r="EA74" s="358"/>
      <c r="EB74" s="358"/>
      <c r="EC74" s="358"/>
      <c r="ED74" s="358"/>
      <c r="EE74" s="358"/>
      <c r="EF74" s="358"/>
      <c r="EG74" s="358"/>
      <c r="EH74" s="358"/>
      <c r="EI74" s="358"/>
      <c r="EJ74" s="358"/>
      <c r="EK74" s="358"/>
      <c r="EL74" s="358"/>
      <c r="EM74" s="358"/>
      <c r="EN74" s="358"/>
      <c r="EO74" s="358"/>
      <c r="EP74" s="358"/>
      <c r="EQ74" s="358"/>
      <c r="ER74" s="358"/>
      <c r="ES74" s="358"/>
      <c r="ET74" s="358"/>
      <c r="EU74" s="358"/>
      <c r="EV74" s="358"/>
      <c r="EW74" s="358"/>
      <c r="EX74" s="358"/>
      <c r="EY74" s="358"/>
      <c r="EZ74" s="358"/>
      <c r="FA74" s="358"/>
      <c r="FB74" s="358"/>
      <c r="FC74" s="358"/>
      <c r="FD74" s="358"/>
      <c r="FE74" s="358"/>
      <c r="FF74" s="358"/>
      <c r="FG74" s="358"/>
      <c r="FH74" s="358"/>
      <c r="FI74" s="358"/>
      <c r="FJ74" s="358"/>
      <c r="FK74" s="358"/>
      <c r="FL74" s="358"/>
      <c r="FM74" s="358"/>
      <c r="FN74" s="358"/>
      <c r="FO74" s="358"/>
      <c r="FP74" s="358"/>
      <c r="FQ74" s="358"/>
      <c r="FR74" s="358"/>
      <c r="FS74" s="358"/>
      <c r="FT74" s="358"/>
      <c r="FU74" s="358"/>
      <c r="FV74" s="358"/>
      <c r="FW74" s="358"/>
      <c r="FX74" s="358"/>
      <c r="FY74" s="358"/>
      <c r="FZ74" s="358"/>
      <c r="GA74" s="358"/>
      <c r="GB74" s="358"/>
      <c r="GC74" s="358"/>
      <c r="GD74" s="358"/>
      <c r="GE74" s="358"/>
      <c r="GF74" s="358"/>
      <c r="GG74" s="358"/>
      <c r="GH74" s="358"/>
      <c r="GI74" s="358"/>
      <c r="GJ74" s="358"/>
      <c r="GK74" s="358"/>
      <c r="GL74" s="358"/>
      <c r="GM74" s="358"/>
      <c r="GN74" s="358"/>
      <c r="GO74" s="358"/>
      <c r="GP74" s="358"/>
      <c r="GQ74" s="358"/>
      <c r="GR74" s="358"/>
      <c r="GS74" s="358"/>
      <c r="GT74" s="358"/>
      <c r="GU74" s="358"/>
      <c r="GV74" s="358"/>
      <c r="GW74" s="358"/>
      <c r="GX74" s="358"/>
      <c r="GY74" s="358"/>
      <c r="GZ74" s="358"/>
      <c r="HA74" s="349"/>
      <c r="HB74" s="349"/>
      <c r="HC74" s="349"/>
      <c r="HD74" s="349"/>
      <c r="HE74" s="349"/>
      <c r="HF74" s="349"/>
      <c r="HG74" s="349"/>
      <c r="HH74" s="349"/>
      <c r="HI74" s="349"/>
      <c r="HJ74" s="349"/>
      <c r="HK74" s="349"/>
      <c r="HL74" s="349"/>
      <c r="HM74" s="349"/>
      <c r="HN74" s="349"/>
      <c r="HO74" s="349"/>
      <c r="HP74" s="349"/>
    </row>
    <row r="75" spans="1:224" s="322" customFormat="1">
      <c r="A75" s="356"/>
      <c r="B75" s="362" t="s">
        <v>461</v>
      </c>
      <c r="C75" s="360" t="s">
        <v>462</v>
      </c>
      <c r="D75" s="361" t="s">
        <v>43</v>
      </c>
      <c r="E75" s="366">
        <f>4.1/100</f>
        <v>4.0999999999999995E-2</v>
      </c>
      <c r="F75" s="289">
        <f>F73*E75</f>
        <v>0.38334999999999991</v>
      </c>
      <c r="G75" s="893"/>
      <c r="H75" s="893"/>
      <c r="I75" s="884"/>
      <c r="J75" s="893"/>
      <c r="K75" s="901">
        <v>0</v>
      </c>
      <c r="L75" s="902">
        <f>K75*F75</f>
        <v>0</v>
      </c>
      <c r="M75" s="884">
        <f t="shared" si="5"/>
        <v>0</v>
      </c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8"/>
      <c r="BM75" s="358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8"/>
      <c r="CQ75" s="358"/>
      <c r="CR75" s="358"/>
      <c r="CS75" s="358"/>
      <c r="CT75" s="358"/>
      <c r="CU75" s="358"/>
      <c r="CV75" s="358"/>
      <c r="CW75" s="358"/>
      <c r="CX75" s="358"/>
      <c r="CY75" s="358"/>
      <c r="CZ75" s="358"/>
      <c r="DA75" s="358"/>
      <c r="DB75" s="358"/>
      <c r="DC75" s="358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8"/>
      <c r="DQ75" s="358"/>
      <c r="DR75" s="358"/>
      <c r="DS75" s="358"/>
      <c r="DT75" s="358"/>
      <c r="DU75" s="358"/>
      <c r="DV75" s="358"/>
      <c r="DW75" s="358"/>
      <c r="DX75" s="358"/>
      <c r="DY75" s="358"/>
      <c r="DZ75" s="358"/>
      <c r="EA75" s="358"/>
      <c r="EB75" s="358"/>
      <c r="EC75" s="358"/>
      <c r="ED75" s="358"/>
      <c r="EE75" s="358"/>
      <c r="EF75" s="358"/>
      <c r="EG75" s="358"/>
      <c r="EH75" s="358"/>
      <c r="EI75" s="358"/>
      <c r="EJ75" s="358"/>
      <c r="EK75" s="358"/>
      <c r="EL75" s="358"/>
      <c r="EM75" s="358"/>
      <c r="EN75" s="358"/>
      <c r="EO75" s="358"/>
      <c r="EP75" s="358"/>
      <c r="EQ75" s="358"/>
      <c r="ER75" s="358"/>
      <c r="ES75" s="358"/>
      <c r="ET75" s="358"/>
      <c r="EU75" s="358"/>
      <c r="EV75" s="358"/>
      <c r="EW75" s="358"/>
      <c r="EX75" s="358"/>
      <c r="EY75" s="358"/>
      <c r="EZ75" s="358"/>
      <c r="FA75" s="358"/>
      <c r="FB75" s="358"/>
      <c r="FC75" s="358"/>
      <c r="FD75" s="358"/>
      <c r="FE75" s="358"/>
      <c r="FF75" s="358"/>
      <c r="FG75" s="358"/>
      <c r="FH75" s="358"/>
      <c r="FI75" s="358"/>
      <c r="FJ75" s="358"/>
      <c r="FK75" s="358"/>
      <c r="FL75" s="358"/>
      <c r="FM75" s="358"/>
      <c r="FN75" s="358"/>
      <c r="FO75" s="358"/>
      <c r="FP75" s="358"/>
      <c r="FQ75" s="358"/>
      <c r="FR75" s="358"/>
      <c r="FS75" s="358"/>
      <c r="FT75" s="358"/>
      <c r="FU75" s="358"/>
      <c r="FV75" s="358"/>
      <c r="FW75" s="358"/>
      <c r="FX75" s="358"/>
      <c r="FY75" s="358"/>
      <c r="FZ75" s="358"/>
      <c r="GA75" s="358"/>
      <c r="GB75" s="358"/>
      <c r="GC75" s="358"/>
      <c r="GD75" s="358"/>
      <c r="GE75" s="358"/>
      <c r="GF75" s="358"/>
      <c r="GG75" s="358"/>
      <c r="GH75" s="358"/>
      <c r="GI75" s="358"/>
      <c r="GJ75" s="358"/>
      <c r="GK75" s="358"/>
      <c r="GL75" s="358"/>
      <c r="GM75" s="358"/>
      <c r="GN75" s="358"/>
      <c r="GO75" s="358"/>
      <c r="GP75" s="358"/>
      <c r="GQ75" s="358"/>
      <c r="GR75" s="358"/>
      <c r="GS75" s="358"/>
      <c r="GT75" s="358"/>
      <c r="GU75" s="358"/>
      <c r="GV75" s="358"/>
      <c r="GW75" s="358"/>
      <c r="GX75" s="358"/>
      <c r="GY75" s="358"/>
      <c r="GZ75" s="358"/>
      <c r="HA75" s="349"/>
      <c r="HB75" s="349"/>
      <c r="HC75" s="349"/>
      <c r="HD75" s="349"/>
      <c r="HE75" s="349"/>
      <c r="HF75" s="349"/>
      <c r="HG75" s="349"/>
      <c r="HH75" s="349"/>
      <c r="HI75" s="349"/>
      <c r="HJ75" s="349"/>
      <c r="HK75" s="349"/>
      <c r="HL75" s="349"/>
      <c r="HM75" s="349"/>
      <c r="HN75" s="349"/>
      <c r="HO75" s="349"/>
      <c r="HP75" s="349"/>
    </row>
    <row r="76" spans="1:224" s="322" customFormat="1">
      <c r="A76" s="356"/>
      <c r="B76" s="362" t="s">
        <v>463</v>
      </c>
      <c r="C76" s="360" t="s">
        <v>464</v>
      </c>
      <c r="D76" s="361" t="s">
        <v>25</v>
      </c>
      <c r="E76" s="367">
        <f>2.44/100</f>
        <v>2.4399999999999998E-2</v>
      </c>
      <c r="F76" s="289">
        <f>F73*E76</f>
        <v>0.22813999999999998</v>
      </c>
      <c r="G76" s="901">
        <v>0</v>
      </c>
      <c r="H76" s="884">
        <f>G76*F76</f>
        <v>0</v>
      </c>
      <c r="I76" s="884"/>
      <c r="J76" s="884"/>
      <c r="K76" s="902"/>
      <c r="L76" s="902"/>
      <c r="M76" s="884">
        <f t="shared" si="5"/>
        <v>0</v>
      </c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58"/>
      <c r="BB76" s="358"/>
      <c r="BC76" s="358"/>
      <c r="BD76" s="358"/>
      <c r="BE76" s="358"/>
      <c r="BF76" s="358"/>
      <c r="BG76" s="358"/>
      <c r="BH76" s="358"/>
      <c r="BI76" s="358"/>
      <c r="BJ76" s="358"/>
      <c r="BK76" s="358"/>
      <c r="BL76" s="358"/>
      <c r="BM76" s="358"/>
      <c r="BN76" s="358"/>
      <c r="BO76" s="358"/>
      <c r="BP76" s="358"/>
      <c r="BQ76" s="358"/>
      <c r="BR76" s="358"/>
      <c r="BS76" s="358"/>
      <c r="BT76" s="358"/>
      <c r="BU76" s="358"/>
      <c r="BV76" s="358"/>
      <c r="BW76" s="358"/>
      <c r="BX76" s="358"/>
      <c r="BY76" s="358"/>
      <c r="BZ76" s="358"/>
      <c r="CA76" s="358"/>
      <c r="CB76" s="358"/>
      <c r="CC76" s="358"/>
      <c r="CD76" s="358"/>
      <c r="CE76" s="358"/>
      <c r="CF76" s="358"/>
      <c r="CG76" s="358"/>
      <c r="CH76" s="358"/>
      <c r="CI76" s="358"/>
      <c r="CJ76" s="358"/>
      <c r="CK76" s="358"/>
      <c r="CL76" s="358"/>
      <c r="CM76" s="358"/>
      <c r="CN76" s="358"/>
      <c r="CO76" s="358"/>
      <c r="CP76" s="358"/>
      <c r="CQ76" s="358"/>
      <c r="CR76" s="358"/>
      <c r="CS76" s="358"/>
      <c r="CT76" s="358"/>
      <c r="CU76" s="358"/>
      <c r="CV76" s="358"/>
      <c r="CW76" s="358"/>
      <c r="CX76" s="358"/>
      <c r="CY76" s="358"/>
      <c r="CZ76" s="358"/>
      <c r="DA76" s="358"/>
      <c r="DB76" s="358"/>
      <c r="DC76" s="358"/>
      <c r="DD76" s="358"/>
      <c r="DE76" s="358"/>
      <c r="DF76" s="358"/>
      <c r="DG76" s="358"/>
      <c r="DH76" s="358"/>
      <c r="DI76" s="358"/>
      <c r="DJ76" s="358"/>
      <c r="DK76" s="358"/>
      <c r="DL76" s="358"/>
      <c r="DM76" s="358"/>
      <c r="DN76" s="358"/>
      <c r="DO76" s="358"/>
      <c r="DP76" s="358"/>
      <c r="DQ76" s="358"/>
      <c r="DR76" s="358"/>
      <c r="DS76" s="358"/>
      <c r="DT76" s="358"/>
      <c r="DU76" s="358"/>
      <c r="DV76" s="358"/>
      <c r="DW76" s="358"/>
      <c r="DX76" s="358"/>
      <c r="DY76" s="358"/>
      <c r="DZ76" s="358"/>
      <c r="EA76" s="358"/>
      <c r="EB76" s="358"/>
      <c r="EC76" s="358"/>
      <c r="ED76" s="358"/>
      <c r="EE76" s="358"/>
      <c r="EF76" s="358"/>
      <c r="EG76" s="358"/>
      <c r="EH76" s="358"/>
      <c r="EI76" s="358"/>
      <c r="EJ76" s="358"/>
      <c r="EK76" s="358"/>
      <c r="EL76" s="358"/>
      <c r="EM76" s="358"/>
      <c r="EN76" s="358"/>
      <c r="EO76" s="358"/>
      <c r="EP76" s="358"/>
      <c r="EQ76" s="358"/>
      <c r="ER76" s="358"/>
      <c r="ES76" s="358"/>
      <c r="ET76" s="358"/>
      <c r="EU76" s="358"/>
      <c r="EV76" s="358"/>
      <c r="EW76" s="358"/>
      <c r="EX76" s="358"/>
      <c r="EY76" s="358"/>
      <c r="EZ76" s="358"/>
      <c r="FA76" s="358"/>
      <c r="FB76" s="358"/>
      <c r="FC76" s="358"/>
      <c r="FD76" s="358"/>
      <c r="FE76" s="358"/>
      <c r="FF76" s="358"/>
      <c r="FG76" s="358"/>
      <c r="FH76" s="358"/>
      <c r="FI76" s="358"/>
      <c r="FJ76" s="358"/>
      <c r="FK76" s="358"/>
      <c r="FL76" s="358"/>
      <c r="FM76" s="358"/>
      <c r="FN76" s="358"/>
      <c r="FO76" s="358"/>
      <c r="FP76" s="358"/>
      <c r="FQ76" s="358"/>
      <c r="FR76" s="358"/>
      <c r="FS76" s="358"/>
      <c r="FT76" s="358"/>
      <c r="FU76" s="358"/>
      <c r="FV76" s="358"/>
      <c r="FW76" s="358"/>
      <c r="FX76" s="358"/>
      <c r="FY76" s="358"/>
      <c r="FZ76" s="358"/>
      <c r="GA76" s="358"/>
      <c r="GB76" s="358"/>
      <c r="GC76" s="358"/>
      <c r="GD76" s="358"/>
      <c r="GE76" s="358"/>
      <c r="GF76" s="358"/>
      <c r="GG76" s="358"/>
      <c r="GH76" s="358"/>
      <c r="GI76" s="358"/>
      <c r="GJ76" s="358"/>
      <c r="GK76" s="358"/>
      <c r="GL76" s="358"/>
      <c r="GM76" s="358"/>
      <c r="GN76" s="358"/>
      <c r="GO76" s="358"/>
      <c r="GP76" s="358"/>
      <c r="GQ76" s="358"/>
      <c r="GR76" s="358"/>
      <c r="GS76" s="358"/>
      <c r="GT76" s="358"/>
      <c r="GU76" s="358"/>
      <c r="GV76" s="358"/>
      <c r="GW76" s="358"/>
      <c r="GX76" s="358"/>
      <c r="GY76" s="358"/>
      <c r="GZ76" s="358"/>
      <c r="HA76" s="349"/>
      <c r="HB76" s="349"/>
      <c r="HC76" s="349"/>
      <c r="HD76" s="349"/>
      <c r="HE76" s="349"/>
      <c r="HF76" s="349"/>
      <c r="HG76" s="349"/>
      <c r="HH76" s="349"/>
      <c r="HI76" s="349"/>
      <c r="HJ76" s="349"/>
      <c r="HK76" s="349"/>
      <c r="HL76" s="349"/>
      <c r="HM76" s="349"/>
      <c r="HN76" s="349"/>
      <c r="HO76" s="349"/>
      <c r="HP76" s="349"/>
    </row>
    <row r="77" spans="1:224" s="322" customFormat="1">
      <c r="A77" s="356"/>
      <c r="B77" s="359"/>
      <c r="C77" s="360" t="s">
        <v>453</v>
      </c>
      <c r="D77" s="361" t="s">
        <v>417</v>
      </c>
      <c r="E77" s="366">
        <f>2.7/100</f>
        <v>2.7000000000000003E-2</v>
      </c>
      <c r="F77" s="289">
        <f>F73*E77</f>
        <v>0.25245000000000001</v>
      </c>
      <c r="G77" s="893"/>
      <c r="H77" s="893"/>
      <c r="I77" s="884"/>
      <c r="J77" s="893"/>
      <c r="K77" s="901">
        <v>0</v>
      </c>
      <c r="L77" s="902">
        <f>K77*F77</f>
        <v>0</v>
      </c>
      <c r="M77" s="884">
        <f t="shared" si="5"/>
        <v>0</v>
      </c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8"/>
      <c r="BB77" s="358"/>
      <c r="BC77" s="358"/>
      <c r="BD77" s="358"/>
      <c r="BE77" s="358"/>
      <c r="BF77" s="358"/>
      <c r="BG77" s="358"/>
      <c r="BH77" s="358"/>
      <c r="BI77" s="358"/>
      <c r="BJ77" s="358"/>
      <c r="BK77" s="358"/>
      <c r="BL77" s="358"/>
      <c r="BM77" s="358"/>
      <c r="BN77" s="358"/>
      <c r="BO77" s="358"/>
      <c r="BP77" s="358"/>
      <c r="BQ77" s="358"/>
      <c r="BR77" s="358"/>
      <c r="BS77" s="358"/>
      <c r="BT77" s="358"/>
      <c r="BU77" s="358"/>
      <c r="BV77" s="358"/>
      <c r="BW77" s="358"/>
      <c r="BX77" s="358"/>
      <c r="BY77" s="358"/>
      <c r="BZ77" s="358"/>
      <c r="CA77" s="358"/>
      <c r="CB77" s="358"/>
      <c r="CC77" s="358"/>
      <c r="CD77" s="358"/>
      <c r="CE77" s="358"/>
      <c r="CF77" s="358"/>
      <c r="CG77" s="358"/>
      <c r="CH77" s="358"/>
      <c r="CI77" s="358"/>
      <c r="CJ77" s="358"/>
      <c r="CK77" s="358"/>
      <c r="CL77" s="358"/>
      <c r="CM77" s="358"/>
      <c r="CN77" s="358"/>
      <c r="CO77" s="358"/>
      <c r="CP77" s="358"/>
      <c r="CQ77" s="358"/>
      <c r="CR77" s="358"/>
      <c r="CS77" s="358"/>
      <c r="CT77" s="358"/>
      <c r="CU77" s="358"/>
      <c r="CV77" s="358"/>
      <c r="CW77" s="358"/>
      <c r="CX77" s="358"/>
      <c r="CY77" s="358"/>
      <c r="CZ77" s="358"/>
      <c r="DA77" s="358"/>
      <c r="DB77" s="358"/>
      <c r="DC77" s="358"/>
      <c r="DD77" s="358"/>
      <c r="DE77" s="358"/>
      <c r="DF77" s="358"/>
      <c r="DG77" s="358"/>
      <c r="DH77" s="358"/>
      <c r="DI77" s="358"/>
      <c r="DJ77" s="358"/>
      <c r="DK77" s="358"/>
      <c r="DL77" s="358"/>
      <c r="DM77" s="358"/>
      <c r="DN77" s="358"/>
      <c r="DO77" s="358"/>
      <c r="DP77" s="358"/>
      <c r="DQ77" s="358"/>
      <c r="DR77" s="358"/>
      <c r="DS77" s="358"/>
      <c r="DT77" s="358"/>
      <c r="DU77" s="358"/>
      <c r="DV77" s="358"/>
      <c r="DW77" s="358"/>
      <c r="DX77" s="358"/>
      <c r="DY77" s="358"/>
      <c r="DZ77" s="358"/>
      <c r="EA77" s="358"/>
      <c r="EB77" s="358"/>
      <c r="EC77" s="358"/>
      <c r="ED77" s="358"/>
      <c r="EE77" s="358"/>
      <c r="EF77" s="358"/>
      <c r="EG77" s="358"/>
      <c r="EH77" s="358"/>
      <c r="EI77" s="358"/>
      <c r="EJ77" s="358"/>
      <c r="EK77" s="358"/>
      <c r="EL77" s="358"/>
      <c r="EM77" s="358"/>
      <c r="EN77" s="358"/>
      <c r="EO77" s="358"/>
      <c r="EP77" s="358"/>
      <c r="EQ77" s="358"/>
      <c r="ER77" s="358"/>
      <c r="ES77" s="358"/>
      <c r="ET77" s="358"/>
      <c r="EU77" s="358"/>
      <c r="EV77" s="358"/>
      <c r="EW77" s="358"/>
      <c r="EX77" s="358"/>
      <c r="EY77" s="358"/>
      <c r="EZ77" s="358"/>
      <c r="FA77" s="358"/>
      <c r="FB77" s="358"/>
      <c r="FC77" s="358"/>
      <c r="FD77" s="358"/>
      <c r="FE77" s="358"/>
      <c r="FF77" s="358"/>
      <c r="FG77" s="358"/>
      <c r="FH77" s="358"/>
      <c r="FI77" s="358"/>
      <c r="FJ77" s="358"/>
      <c r="FK77" s="358"/>
      <c r="FL77" s="358"/>
      <c r="FM77" s="358"/>
      <c r="FN77" s="358"/>
      <c r="FO77" s="358"/>
      <c r="FP77" s="358"/>
      <c r="FQ77" s="358"/>
      <c r="FR77" s="358"/>
      <c r="FS77" s="358"/>
      <c r="FT77" s="358"/>
      <c r="FU77" s="358"/>
      <c r="FV77" s="358"/>
      <c r="FW77" s="358"/>
      <c r="FX77" s="358"/>
      <c r="FY77" s="358"/>
      <c r="FZ77" s="358"/>
      <c r="GA77" s="358"/>
      <c r="GB77" s="358"/>
      <c r="GC77" s="358"/>
      <c r="GD77" s="358"/>
      <c r="GE77" s="358"/>
      <c r="GF77" s="358"/>
      <c r="GG77" s="358"/>
      <c r="GH77" s="358"/>
      <c r="GI77" s="358"/>
      <c r="GJ77" s="358"/>
      <c r="GK77" s="358"/>
      <c r="GL77" s="358"/>
      <c r="GM77" s="358"/>
      <c r="GN77" s="358"/>
      <c r="GO77" s="358"/>
      <c r="GP77" s="358"/>
      <c r="GQ77" s="358"/>
      <c r="GR77" s="358"/>
      <c r="GS77" s="358"/>
      <c r="GT77" s="358"/>
      <c r="GU77" s="358"/>
      <c r="GV77" s="358"/>
      <c r="GW77" s="358"/>
      <c r="GX77" s="358"/>
      <c r="GY77" s="358"/>
      <c r="GZ77" s="358"/>
      <c r="HA77" s="349"/>
      <c r="HB77" s="349"/>
      <c r="HC77" s="349"/>
      <c r="HD77" s="349"/>
      <c r="HE77" s="349"/>
      <c r="HF77" s="349"/>
      <c r="HG77" s="349"/>
      <c r="HH77" s="349"/>
      <c r="HI77" s="349"/>
      <c r="HJ77" s="349"/>
      <c r="HK77" s="349"/>
      <c r="HL77" s="349"/>
      <c r="HM77" s="349"/>
      <c r="HN77" s="349"/>
      <c r="HO77" s="349"/>
      <c r="HP77" s="349"/>
    </row>
    <row r="78" spans="1:224" s="322" customFormat="1">
      <c r="A78" s="361"/>
      <c r="B78" s="362"/>
      <c r="C78" s="360" t="s">
        <v>458</v>
      </c>
      <c r="D78" s="361" t="s">
        <v>417</v>
      </c>
      <c r="E78" s="366">
        <f>0.2/100</f>
        <v>2E-3</v>
      </c>
      <c r="F78" s="329">
        <f>F73*E78</f>
        <v>1.8700000000000001E-2</v>
      </c>
      <c r="G78" s="901">
        <v>0</v>
      </c>
      <c r="H78" s="884">
        <f>G78*F78</f>
        <v>0</v>
      </c>
      <c r="I78" s="884"/>
      <c r="J78" s="884"/>
      <c r="K78" s="902"/>
      <c r="L78" s="902"/>
      <c r="M78" s="884">
        <f t="shared" si="5"/>
        <v>0</v>
      </c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8"/>
      <c r="BD78" s="358"/>
      <c r="BE78" s="358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/>
      <c r="BW78" s="358"/>
      <c r="BX78" s="358"/>
      <c r="BY78" s="358"/>
      <c r="BZ78" s="358"/>
      <c r="CA78" s="358"/>
      <c r="CB78" s="358"/>
      <c r="CC78" s="358"/>
      <c r="CD78" s="358"/>
      <c r="CE78" s="358"/>
      <c r="CF78" s="358"/>
      <c r="CG78" s="358"/>
      <c r="CH78" s="358"/>
      <c r="CI78" s="358"/>
      <c r="CJ78" s="358"/>
      <c r="CK78" s="358"/>
      <c r="CL78" s="358"/>
      <c r="CM78" s="358"/>
      <c r="CN78" s="358"/>
      <c r="CO78" s="358"/>
      <c r="CP78" s="358"/>
      <c r="CQ78" s="358"/>
      <c r="CR78" s="358"/>
      <c r="CS78" s="358"/>
      <c r="CT78" s="358"/>
      <c r="CU78" s="358"/>
      <c r="CV78" s="358"/>
      <c r="CW78" s="358"/>
      <c r="CX78" s="358"/>
      <c r="CY78" s="358"/>
      <c r="CZ78" s="358"/>
      <c r="DA78" s="358"/>
      <c r="DB78" s="358"/>
      <c r="DC78" s="358"/>
      <c r="DD78" s="358"/>
      <c r="DE78" s="358"/>
      <c r="DF78" s="358"/>
      <c r="DG78" s="358"/>
      <c r="DH78" s="358"/>
      <c r="DI78" s="358"/>
      <c r="DJ78" s="358"/>
      <c r="DK78" s="358"/>
      <c r="DL78" s="358"/>
      <c r="DM78" s="358"/>
      <c r="DN78" s="358"/>
      <c r="DO78" s="358"/>
      <c r="DP78" s="358"/>
      <c r="DQ78" s="358"/>
      <c r="DR78" s="358"/>
      <c r="DS78" s="358"/>
      <c r="DT78" s="358"/>
      <c r="DU78" s="358"/>
      <c r="DV78" s="358"/>
      <c r="DW78" s="358"/>
      <c r="DX78" s="358"/>
      <c r="DY78" s="358"/>
      <c r="DZ78" s="358"/>
      <c r="EA78" s="358"/>
      <c r="EB78" s="358"/>
      <c r="EC78" s="358"/>
      <c r="ED78" s="358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/>
      <c r="EV78" s="358"/>
      <c r="EW78" s="358"/>
      <c r="EX78" s="358"/>
      <c r="EY78" s="358"/>
      <c r="EZ78" s="358"/>
      <c r="FA78" s="358"/>
      <c r="FB78" s="358"/>
      <c r="FC78" s="358"/>
      <c r="FD78" s="358"/>
      <c r="FE78" s="358"/>
      <c r="FF78" s="358"/>
      <c r="FG78" s="358"/>
      <c r="FH78" s="358"/>
      <c r="FI78" s="358"/>
      <c r="FJ78" s="358"/>
      <c r="FK78" s="358"/>
      <c r="FL78" s="358"/>
      <c r="FM78" s="358"/>
      <c r="FN78" s="358"/>
      <c r="FO78" s="358"/>
      <c r="FP78" s="358"/>
      <c r="FQ78" s="358"/>
      <c r="FR78" s="358"/>
      <c r="FS78" s="358"/>
      <c r="FT78" s="358"/>
      <c r="FU78" s="358"/>
      <c r="FV78" s="358"/>
      <c r="FW78" s="358"/>
      <c r="FX78" s="358"/>
      <c r="FY78" s="358"/>
      <c r="FZ78" s="358"/>
      <c r="GA78" s="358"/>
      <c r="GB78" s="358"/>
      <c r="GC78" s="358"/>
      <c r="GD78" s="358"/>
      <c r="GE78" s="358"/>
      <c r="GF78" s="358"/>
      <c r="GG78" s="358"/>
      <c r="GH78" s="358"/>
      <c r="GI78" s="358"/>
      <c r="GJ78" s="358"/>
      <c r="GK78" s="358"/>
      <c r="GL78" s="358"/>
      <c r="GM78" s="358"/>
      <c r="GN78" s="358"/>
      <c r="GO78" s="358"/>
      <c r="GP78" s="358"/>
      <c r="GQ78" s="358"/>
      <c r="GR78" s="358"/>
      <c r="GS78" s="358"/>
      <c r="GT78" s="358"/>
      <c r="GU78" s="358"/>
      <c r="GV78" s="358"/>
      <c r="GW78" s="358"/>
      <c r="GX78" s="358"/>
      <c r="GY78" s="358"/>
      <c r="GZ78" s="358"/>
      <c r="HA78" s="349"/>
      <c r="HB78" s="349"/>
      <c r="HC78" s="349"/>
      <c r="HD78" s="349"/>
      <c r="HE78" s="349"/>
      <c r="HF78" s="349"/>
      <c r="HG78" s="349"/>
      <c r="HH78" s="349"/>
      <c r="HI78" s="349"/>
      <c r="HJ78" s="349"/>
      <c r="HK78" s="349"/>
      <c r="HL78" s="349"/>
      <c r="HM78" s="349"/>
      <c r="HN78" s="349"/>
      <c r="HO78" s="349"/>
      <c r="HP78" s="349"/>
    </row>
    <row r="79" spans="1:224" s="322" customFormat="1">
      <c r="A79" s="282">
        <v>13</v>
      </c>
      <c r="B79" s="359" t="s">
        <v>465</v>
      </c>
      <c r="C79" s="286" t="s">
        <v>466</v>
      </c>
      <c r="D79" s="284" t="s">
        <v>433</v>
      </c>
      <c r="E79" s="283"/>
      <c r="F79" s="364">
        <f>F73</f>
        <v>9.35</v>
      </c>
      <c r="G79" s="883"/>
      <c r="H79" s="883"/>
      <c r="I79" s="883"/>
      <c r="J79" s="883"/>
      <c r="K79" s="883"/>
      <c r="L79" s="883"/>
      <c r="M79" s="883">
        <f>SUM(M80:M84)</f>
        <v>0</v>
      </c>
    </row>
    <row r="80" spans="1:224" s="322" customFormat="1">
      <c r="A80" s="356"/>
      <c r="B80" s="359"/>
      <c r="C80" s="360" t="s">
        <v>416</v>
      </c>
      <c r="D80" s="361" t="s">
        <v>40</v>
      </c>
      <c r="E80" s="333">
        <f>85.6/100</f>
        <v>0.85599999999999998</v>
      </c>
      <c r="F80" s="289">
        <f>F79*E80</f>
        <v>8.0035999999999987</v>
      </c>
      <c r="G80" s="884"/>
      <c r="H80" s="884"/>
      <c r="I80" s="890">
        <v>0</v>
      </c>
      <c r="J80" s="884">
        <f>F80*I80</f>
        <v>0</v>
      </c>
      <c r="K80" s="884"/>
      <c r="L80" s="884"/>
      <c r="M80" s="884">
        <f t="shared" si="5"/>
        <v>0</v>
      </c>
    </row>
    <row r="81" spans="1:224" s="322" customFormat="1">
      <c r="A81" s="282"/>
      <c r="B81" s="331" t="s">
        <v>467</v>
      </c>
      <c r="C81" s="368" t="s">
        <v>468</v>
      </c>
      <c r="D81" s="361" t="s">
        <v>449</v>
      </c>
      <c r="E81" s="333">
        <f>63/100</f>
        <v>0.63</v>
      </c>
      <c r="F81" s="289">
        <f>F79*E81</f>
        <v>5.8904999999999994</v>
      </c>
      <c r="G81" s="901">
        <v>0</v>
      </c>
      <c r="H81" s="884">
        <f>G81*F81</f>
        <v>0</v>
      </c>
      <c r="I81" s="884"/>
      <c r="J81" s="884"/>
      <c r="K81" s="884"/>
      <c r="L81" s="884"/>
      <c r="M81" s="884">
        <f t="shared" si="5"/>
        <v>0</v>
      </c>
    </row>
    <row r="82" spans="1:224" s="322" customFormat="1">
      <c r="A82" s="282"/>
      <c r="B82" s="331" t="s">
        <v>469</v>
      </c>
      <c r="C82" s="360" t="s">
        <v>470</v>
      </c>
      <c r="D82" s="361" t="s">
        <v>449</v>
      </c>
      <c r="E82" s="333">
        <f>92/100</f>
        <v>0.92</v>
      </c>
      <c r="F82" s="289">
        <f>F79*E82</f>
        <v>8.6020000000000003</v>
      </c>
      <c r="G82" s="901">
        <v>0</v>
      </c>
      <c r="H82" s="884">
        <f>G82*F82</f>
        <v>0</v>
      </c>
      <c r="I82" s="884"/>
      <c r="J82" s="884"/>
      <c r="K82" s="884"/>
      <c r="L82" s="884"/>
      <c r="M82" s="884">
        <f t="shared" si="5"/>
        <v>0</v>
      </c>
    </row>
    <row r="83" spans="1:224" s="322" customFormat="1">
      <c r="A83" s="282"/>
      <c r="B83" s="359"/>
      <c r="C83" s="360" t="s">
        <v>453</v>
      </c>
      <c r="D83" s="361" t="s">
        <v>417</v>
      </c>
      <c r="E83" s="333">
        <f>1.2/100</f>
        <v>1.2E-2</v>
      </c>
      <c r="F83" s="289">
        <f>F79*E83</f>
        <v>0.11219999999999999</v>
      </c>
      <c r="G83" s="884"/>
      <c r="H83" s="884"/>
      <c r="I83" s="884"/>
      <c r="J83" s="884"/>
      <c r="K83" s="884">
        <v>0</v>
      </c>
      <c r="L83" s="884">
        <f>F83*K83</f>
        <v>0</v>
      </c>
      <c r="M83" s="884">
        <f t="shared" si="5"/>
        <v>0</v>
      </c>
    </row>
    <row r="84" spans="1:224" s="322" customFormat="1">
      <c r="A84" s="369"/>
      <c r="B84" s="362"/>
      <c r="C84" s="360" t="s">
        <v>458</v>
      </c>
      <c r="D84" s="361" t="s">
        <v>417</v>
      </c>
      <c r="E84" s="333">
        <f>1.8/100</f>
        <v>1.8000000000000002E-2</v>
      </c>
      <c r="F84" s="289">
        <f>F79*E84</f>
        <v>0.16830000000000001</v>
      </c>
      <c r="G84" s="884">
        <v>0</v>
      </c>
      <c r="H84" s="884">
        <f>G84*F84</f>
        <v>0</v>
      </c>
      <c r="I84" s="884"/>
      <c r="J84" s="884"/>
      <c r="K84" s="884"/>
      <c r="L84" s="884"/>
      <c r="M84" s="884">
        <f t="shared" si="5"/>
        <v>0</v>
      </c>
    </row>
    <row r="85" spans="1:224" s="322" customFormat="1">
      <c r="A85" s="356">
        <v>14</v>
      </c>
      <c r="B85" s="370" t="s">
        <v>471</v>
      </c>
      <c r="C85" s="371" t="s">
        <v>472</v>
      </c>
      <c r="D85" s="356" t="s">
        <v>473</v>
      </c>
      <c r="E85" s="283"/>
      <c r="F85" s="364">
        <v>1.73</v>
      </c>
      <c r="G85" s="899"/>
      <c r="H85" s="883"/>
      <c r="I85" s="883"/>
      <c r="J85" s="883"/>
      <c r="K85" s="899"/>
      <c r="L85" s="899"/>
      <c r="M85" s="883">
        <f>SUM(M86:M91)</f>
        <v>0</v>
      </c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7"/>
      <c r="BG85" s="347"/>
      <c r="BH85" s="347"/>
      <c r="BI85" s="347"/>
      <c r="BJ85" s="347"/>
      <c r="BK85" s="347"/>
      <c r="BL85" s="347"/>
      <c r="BM85" s="347"/>
      <c r="BN85" s="347"/>
      <c r="BO85" s="347"/>
      <c r="BP85" s="347"/>
      <c r="BQ85" s="347"/>
      <c r="BR85" s="347"/>
      <c r="BS85" s="347"/>
      <c r="BT85" s="347"/>
      <c r="BU85" s="347"/>
      <c r="BV85" s="347"/>
      <c r="BW85" s="347"/>
      <c r="BX85" s="347"/>
      <c r="BY85" s="347"/>
      <c r="BZ85" s="347"/>
      <c r="CA85" s="347"/>
      <c r="CB85" s="347"/>
      <c r="CC85" s="347"/>
      <c r="CD85" s="347"/>
      <c r="CE85" s="347"/>
      <c r="CF85" s="347"/>
      <c r="CG85" s="347"/>
      <c r="CH85" s="347"/>
      <c r="CI85" s="347"/>
      <c r="CJ85" s="347"/>
      <c r="CK85" s="347"/>
      <c r="CL85" s="347"/>
      <c r="CM85" s="347"/>
      <c r="CN85" s="347"/>
      <c r="CO85" s="347"/>
      <c r="CP85" s="347"/>
      <c r="CQ85" s="347"/>
      <c r="CR85" s="347"/>
      <c r="CS85" s="347"/>
      <c r="CT85" s="347"/>
      <c r="CU85" s="347"/>
      <c r="CV85" s="347"/>
      <c r="CW85" s="347"/>
      <c r="CX85" s="347"/>
      <c r="CY85" s="347"/>
      <c r="CZ85" s="347"/>
      <c r="DA85" s="347"/>
      <c r="DB85" s="347"/>
      <c r="DC85" s="347"/>
      <c r="DD85" s="347"/>
      <c r="DE85" s="347"/>
      <c r="DF85" s="347"/>
      <c r="DG85" s="347"/>
      <c r="DH85" s="347"/>
      <c r="DI85" s="347"/>
      <c r="DJ85" s="347"/>
      <c r="DK85" s="347"/>
      <c r="DL85" s="347"/>
      <c r="DM85" s="347"/>
      <c r="DN85" s="347"/>
      <c r="DO85" s="347"/>
      <c r="DP85" s="347"/>
      <c r="DQ85" s="347"/>
      <c r="DR85" s="347"/>
      <c r="DS85" s="347"/>
      <c r="DT85" s="347"/>
      <c r="DU85" s="347"/>
      <c r="DV85" s="347"/>
      <c r="DW85" s="347"/>
      <c r="DX85" s="347"/>
      <c r="DY85" s="347"/>
      <c r="DZ85" s="347"/>
      <c r="EA85" s="347"/>
      <c r="EB85" s="347"/>
      <c r="EC85" s="347"/>
      <c r="ED85" s="347"/>
      <c r="EE85" s="347"/>
      <c r="EF85" s="347"/>
      <c r="EG85" s="347"/>
      <c r="EH85" s="347"/>
      <c r="EI85" s="347"/>
      <c r="EJ85" s="347"/>
      <c r="EK85" s="347"/>
      <c r="EL85" s="347"/>
      <c r="EM85" s="347"/>
      <c r="EN85" s="347"/>
      <c r="EO85" s="347"/>
      <c r="EP85" s="347"/>
      <c r="EQ85" s="347"/>
      <c r="ER85" s="347"/>
      <c r="ES85" s="347"/>
      <c r="ET85" s="347"/>
      <c r="EU85" s="347"/>
      <c r="EV85" s="347"/>
      <c r="EW85" s="347"/>
      <c r="EX85" s="347"/>
      <c r="EY85" s="347"/>
      <c r="EZ85" s="347"/>
      <c r="FA85" s="347"/>
      <c r="FB85" s="347"/>
      <c r="FC85" s="347"/>
      <c r="FD85" s="347"/>
      <c r="FE85" s="347"/>
      <c r="FF85" s="347"/>
      <c r="FG85" s="347"/>
      <c r="FH85" s="347"/>
      <c r="FI85" s="347"/>
      <c r="FJ85" s="347"/>
      <c r="FK85" s="347"/>
      <c r="FL85" s="347"/>
      <c r="FM85" s="347"/>
      <c r="FN85" s="347"/>
      <c r="FO85" s="347"/>
      <c r="FP85" s="347"/>
      <c r="FQ85" s="347"/>
      <c r="FR85" s="347"/>
      <c r="FS85" s="347"/>
      <c r="FT85" s="347"/>
      <c r="FU85" s="347"/>
      <c r="FV85" s="347"/>
      <c r="FW85" s="347"/>
      <c r="FX85" s="347"/>
      <c r="FY85" s="347"/>
      <c r="FZ85" s="347"/>
      <c r="GA85" s="347"/>
      <c r="GB85" s="347"/>
      <c r="GC85" s="347"/>
      <c r="GD85" s="347"/>
      <c r="GE85" s="347"/>
      <c r="GF85" s="347"/>
      <c r="GG85" s="347"/>
      <c r="GH85" s="347"/>
      <c r="GI85" s="347"/>
      <c r="GJ85" s="347"/>
      <c r="GK85" s="347"/>
      <c r="GL85" s="347"/>
      <c r="GM85" s="347"/>
      <c r="GN85" s="347"/>
      <c r="GO85" s="347"/>
      <c r="GP85" s="347"/>
      <c r="GQ85" s="347"/>
      <c r="GR85" s="347"/>
      <c r="GS85" s="347"/>
      <c r="GT85" s="347"/>
      <c r="GU85" s="347"/>
      <c r="GV85" s="347"/>
      <c r="GW85" s="347"/>
      <c r="GX85" s="347"/>
      <c r="GY85" s="347"/>
      <c r="GZ85" s="347"/>
      <c r="HA85" s="347"/>
      <c r="HB85" s="347"/>
      <c r="HC85" s="347"/>
      <c r="HD85" s="347"/>
      <c r="HE85" s="347"/>
      <c r="HF85" s="347"/>
      <c r="HG85" s="347"/>
      <c r="HH85" s="347"/>
      <c r="HI85" s="347"/>
      <c r="HJ85" s="347"/>
      <c r="HK85" s="347"/>
      <c r="HL85" s="347"/>
      <c r="HM85" s="347"/>
      <c r="HN85" s="347"/>
      <c r="HO85" s="347"/>
      <c r="HP85" s="347"/>
    </row>
    <row r="86" spans="1:224" s="322" customFormat="1">
      <c r="A86" s="356"/>
      <c r="B86" s="359"/>
      <c r="C86" s="360" t="s">
        <v>416</v>
      </c>
      <c r="D86" s="361" t="s">
        <v>40</v>
      </c>
      <c r="E86" s="328">
        <v>2.72</v>
      </c>
      <c r="F86" s="372">
        <f>F85*E86</f>
        <v>4.7056000000000004</v>
      </c>
      <c r="G86" s="901"/>
      <c r="H86" s="901"/>
      <c r="I86" s="890">
        <v>0</v>
      </c>
      <c r="J86" s="884">
        <f>F86*I86</f>
        <v>0</v>
      </c>
      <c r="K86" s="884"/>
      <c r="L86" s="884"/>
      <c r="M86" s="884">
        <f t="shared" ref="M86:M89" si="6">L86+J86+H86</f>
        <v>0</v>
      </c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49"/>
      <c r="CZ86" s="349"/>
      <c r="DA86" s="349"/>
      <c r="DB86" s="349"/>
      <c r="DC86" s="349"/>
      <c r="DD86" s="349"/>
      <c r="DE86" s="349"/>
      <c r="DF86" s="349"/>
      <c r="DG86" s="349"/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49"/>
      <c r="DU86" s="349"/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49"/>
      <c r="EI86" s="349"/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49"/>
      <c r="FK86" s="349"/>
      <c r="FL86" s="349"/>
      <c r="FM86" s="349"/>
      <c r="FN86" s="349"/>
      <c r="FO86" s="349"/>
      <c r="FP86" s="349"/>
      <c r="FQ86" s="349"/>
      <c r="FR86" s="349"/>
      <c r="FS86" s="349"/>
      <c r="FT86" s="349"/>
      <c r="FU86" s="349"/>
      <c r="FV86" s="349"/>
      <c r="FW86" s="349"/>
      <c r="FX86" s="349"/>
      <c r="FY86" s="349"/>
      <c r="FZ86" s="349"/>
      <c r="GA86" s="349"/>
      <c r="GB86" s="349"/>
      <c r="GC86" s="349"/>
      <c r="GD86" s="349"/>
      <c r="GE86" s="349"/>
      <c r="GF86" s="349"/>
      <c r="GG86" s="349"/>
      <c r="GH86" s="349"/>
      <c r="GI86" s="349"/>
      <c r="GJ86" s="349"/>
      <c r="GK86" s="349"/>
      <c r="GL86" s="349"/>
      <c r="GM86" s="349"/>
      <c r="GN86" s="349"/>
      <c r="GO86" s="349"/>
      <c r="GP86" s="349"/>
      <c r="GQ86" s="349"/>
      <c r="GR86" s="349"/>
      <c r="GS86" s="349"/>
      <c r="GT86" s="349"/>
      <c r="GU86" s="349"/>
      <c r="GV86" s="349"/>
      <c r="GW86" s="349"/>
      <c r="GX86" s="349"/>
      <c r="GY86" s="349"/>
      <c r="GZ86" s="349"/>
      <c r="HA86" s="349"/>
      <c r="HB86" s="349"/>
      <c r="HC86" s="349"/>
      <c r="HD86" s="349"/>
      <c r="HE86" s="349"/>
      <c r="HF86" s="349"/>
      <c r="HG86" s="349"/>
      <c r="HH86" s="349"/>
      <c r="HI86" s="349"/>
      <c r="HJ86" s="349"/>
      <c r="HK86" s="349"/>
      <c r="HL86" s="349"/>
      <c r="HM86" s="349"/>
      <c r="HN86" s="349"/>
      <c r="HO86" s="349"/>
      <c r="HP86" s="349"/>
    </row>
    <row r="87" spans="1:224" s="322" customFormat="1">
      <c r="A87" s="356"/>
      <c r="B87" s="373" t="s">
        <v>474</v>
      </c>
      <c r="C87" s="296" t="s">
        <v>475</v>
      </c>
      <c r="D87" s="291" t="s">
        <v>43</v>
      </c>
      <c r="E87" s="328">
        <f>3.57/100</f>
        <v>3.5699999999999996E-2</v>
      </c>
      <c r="F87" s="372">
        <f>F85*E87</f>
        <v>6.176099999999999E-2</v>
      </c>
      <c r="G87" s="904"/>
      <c r="H87" s="904"/>
      <c r="I87" s="904"/>
      <c r="J87" s="904"/>
      <c r="K87" s="904">
        <v>0</v>
      </c>
      <c r="L87" s="904">
        <f>F87*K87</f>
        <v>0</v>
      </c>
      <c r="M87" s="884">
        <f t="shared" si="6"/>
        <v>0</v>
      </c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49"/>
      <c r="BK87" s="349"/>
      <c r="BL87" s="349"/>
      <c r="BM87" s="349"/>
      <c r="BN87" s="349"/>
      <c r="BO87" s="349"/>
      <c r="BP87" s="349"/>
      <c r="BQ87" s="349"/>
      <c r="BR87" s="349"/>
      <c r="BS87" s="349"/>
      <c r="BT87" s="349"/>
      <c r="BU87" s="349"/>
      <c r="BV87" s="349"/>
      <c r="BW87" s="349"/>
      <c r="BX87" s="349"/>
      <c r="BY87" s="349"/>
      <c r="BZ87" s="349"/>
      <c r="CA87" s="349"/>
      <c r="CB87" s="349"/>
      <c r="CC87" s="349"/>
      <c r="CD87" s="349"/>
      <c r="CE87" s="349"/>
      <c r="CF87" s="349"/>
      <c r="CG87" s="349"/>
      <c r="CH87" s="349"/>
      <c r="CI87" s="349"/>
      <c r="CJ87" s="349"/>
      <c r="CK87" s="349"/>
      <c r="CL87" s="349"/>
      <c r="CM87" s="349"/>
      <c r="CN87" s="349"/>
      <c r="CO87" s="349"/>
      <c r="CP87" s="349"/>
      <c r="CQ87" s="349"/>
      <c r="CR87" s="349"/>
      <c r="CS87" s="349"/>
      <c r="CT87" s="349"/>
      <c r="CU87" s="349"/>
      <c r="CV87" s="349"/>
      <c r="CW87" s="349"/>
      <c r="CX87" s="349"/>
      <c r="CY87" s="349"/>
      <c r="CZ87" s="349"/>
      <c r="DA87" s="349"/>
      <c r="DB87" s="349"/>
      <c r="DC87" s="349"/>
      <c r="DD87" s="349"/>
      <c r="DE87" s="349"/>
      <c r="DF87" s="349"/>
      <c r="DG87" s="349"/>
      <c r="DH87" s="349"/>
      <c r="DI87" s="349"/>
      <c r="DJ87" s="349"/>
      <c r="DK87" s="349"/>
      <c r="DL87" s="349"/>
      <c r="DM87" s="349"/>
      <c r="DN87" s="349"/>
      <c r="DO87" s="349"/>
      <c r="DP87" s="349"/>
      <c r="DQ87" s="349"/>
      <c r="DR87" s="349"/>
      <c r="DS87" s="349"/>
      <c r="DT87" s="349"/>
      <c r="DU87" s="349"/>
      <c r="DV87" s="349"/>
      <c r="DW87" s="349"/>
      <c r="DX87" s="349"/>
      <c r="DY87" s="349"/>
      <c r="DZ87" s="349"/>
      <c r="EA87" s="349"/>
      <c r="EB87" s="349"/>
      <c r="EC87" s="349"/>
      <c r="ED87" s="349"/>
      <c r="EE87" s="349"/>
      <c r="EF87" s="349"/>
      <c r="EG87" s="349"/>
      <c r="EH87" s="349"/>
      <c r="EI87" s="349"/>
      <c r="EJ87" s="349"/>
      <c r="EK87" s="349"/>
      <c r="EL87" s="349"/>
      <c r="EM87" s="349"/>
      <c r="EN87" s="349"/>
      <c r="EO87" s="349"/>
      <c r="EP87" s="349"/>
      <c r="EQ87" s="349"/>
      <c r="ER87" s="349"/>
      <c r="ES87" s="349"/>
      <c r="ET87" s="349"/>
      <c r="EU87" s="349"/>
      <c r="EV87" s="349"/>
      <c r="EW87" s="349"/>
      <c r="EX87" s="349"/>
      <c r="EY87" s="349"/>
      <c r="EZ87" s="349"/>
      <c r="FA87" s="349"/>
      <c r="FB87" s="349"/>
      <c r="FC87" s="349"/>
      <c r="FD87" s="349"/>
      <c r="FE87" s="349"/>
      <c r="FF87" s="349"/>
      <c r="FG87" s="349"/>
      <c r="FH87" s="349"/>
      <c r="FI87" s="349"/>
      <c r="FJ87" s="349"/>
      <c r="FK87" s="349"/>
      <c r="FL87" s="349"/>
      <c r="FM87" s="349"/>
      <c r="FN87" s="349"/>
      <c r="FO87" s="349"/>
      <c r="FP87" s="349"/>
      <c r="FQ87" s="349"/>
      <c r="FR87" s="349"/>
      <c r="FS87" s="349"/>
      <c r="FT87" s="349"/>
      <c r="FU87" s="349"/>
      <c r="FV87" s="349"/>
      <c r="FW87" s="349"/>
      <c r="FX87" s="349"/>
      <c r="FY87" s="349"/>
      <c r="FZ87" s="349"/>
      <c r="GA87" s="349"/>
      <c r="GB87" s="349"/>
      <c r="GC87" s="349"/>
      <c r="GD87" s="349"/>
      <c r="GE87" s="349"/>
      <c r="GF87" s="349"/>
      <c r="GG87" s="349"/>
      <c r="GH87" s="349"/>
      <c r="GI87" s="349"/>
      <c r="GJ87" s="349"/>
      <c r="GK87" s="349"/>
      <c r="GL87" s="349"/>
      <c r="GM87" s="349"/>
      <c r="GN87" s="349"/>
      <c r="GO87" s="349"/>
      <c r="GP87" s="349"/>
      <c r="GQ87" s="349"/>
      <c r="GR87" s="349"/>
      <c r="GS87" s="349"/>
      <c r="GT87" s="349"/>
      <c r="GU87" s="349"/>
      <c r="GV87" s="349"/>
      <c r="GW87" s="349"/>
      <c r="GX87" s="349"/>
      <c r="GY87" s="349"/>
      <c r="GZ87" s="349"/>
      <c r="HA87" s="349"/>
      <c r="HB87" s="349"/>
      <c r="HC87" s="349"/>
      <c r="HD87" s="349"/>
      <c r="HE87" s="349"/>
      <c r="HF87" s="349"/>
      <c r="HG87" s="349"/>
      <c r="HH87" s="349"/>
      <c r="HI87" s="349"/>
      <c r="HJ87" s="349"/>
      <c r="HK87" s="349"/>
      <c r="HL87" s="349"/>
      <c r="HM87" s="349"/>
      <c r="HN87" s="349"/>
      <c r="HO87" s="349"/>
      <c r="HP87" s="349"/>
    </row>
    <row r="88" spans="1:224" s="322" customFormat="1">
      <c r="A88" s="356"/>
      <c r="B88" s="362" t="s">
        <v>476</v>
      </c>
      <c r="C88" s="360" t="s">
        <v>477</v>
      </c>
      <c r="D88" s="361" t="s">
        <v>433</v>
      </c>
      <c r="E88" s="328">
        <f>100/100</f>
        <v>1</v>
      </c>
      <c r="F88" s="372">
        <f>F85*E88</f>
        <v>1.73</v>
      </c>
      <c r="G88" s="901">
        <v>0</v>
      </c>
      <c r="H88" s="884">
        <f>G88*F88</f>
        <v>0</v>
      </c>
      <c r="I88" s="884"/>
      <c r="J88" s="884"/>
      <c r="K88" s="884"/>
      <c r="L88" s="884"/>
      <c r="M88" s="884">
        <f t="shared" si="6"/>
        <v>0</v>
      </c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</row>
    <row r="89" spans="1:224" s="322" customFormat="1">
      <c r="A89" s="356"/>
      <c r="B89" s="373" t="s">
        <v>478</v>
      </c>
      <c r="C89" s="374" t="s">
        <v>479</v>
      </c>
      <c r="D89" s="361" t="s">
        <v>72</v>
      </c>
      <c r="E89" s="328"/>
      <c r="F89" s="372">
        <v>2</v>
      </c>
      <c r="G89" s="904">
        <v>0</v>
      </c>
      <c r="H89" s="904">
        <f>F89*G89</f>
        <v>0</v>
      </c>
      <c r="I89" s="904"/>
      <c r="J89" s="904"/>
      <c r="K89" s="904"/>
      <c r="L89" s="904"/>
      <c r="M89" s="884">
        <f t="shared" si="6"/>
        <v>0</v>
      </c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49"/>
      <c r="BF89" s="349"/>
      <c r="BG89" s="349"/>
      <c r="BH89" s="349"/>
      <c r="BI89" s="349"/>
      <c r="BJ89" s="349"/>
      <c r="BK89" s="349"/>
      <c r="BL89" s="349"/>
      <c r="BM89" s="349"/>
      <c r="BN89" s="349"/>
      <c r="BO89" s="349"/>
      <c r="BP89" s="349"/>
      <c r="BQ89" s="349"/>
      <c r="BR89" s="349"/>
      <c r="BS89" s="349"/>
      <c r="BT89" s="349"/>
      <c r="BU89" s="349"/>
      <c r="BV89" s="349"/>
      <c r="BW89" s="349"/>
      <c r="BX89" s="349"/>
      <c r="BY89" s="349"/>
      <c r="BZ89" s="349"/>
      <c r="CA89" s="349"/>
      <c r="CB89" s="349"/>
      <c r="CC89" s="349"/>
      <c r="CD89" s="349"/>
      <c r="CE89" s="349"/>
      <c r="CF89" s="349"/>
      <c r="CG89" s="349"/>
      <c r="CH89" s="349"/>
      <c r="CI89" s="349"/>
      <c r="CJ89" s="349"/>
      <c r="CK89" s="349"/>
      <c r="CL89" s="349"/>
      <c r="CM89" s="349"/>
      <c r="CN89" s="349"/>
      <c r="CO89" s="349"/>
      <c r="CP89" s="349"/>
      <c r="CQ89" s="349"/>
      <c r="CR89" s="349"/>
      <c r="CS89" s="349"/>
      <c r="CT89" s="349"/>
      <c r="CU89" s="349"/>
      <c r="CV89" s="349"/>
      <c r="CW89" s="349"/>
      <c r="CX89" s="349"/>
      <c r="CY89" s="349"/>
      <c r="CZ89" s="349"/>
      <c r="DA89" s="349"/>
      <c r="DB89" s="349"/>
      <c r="DC89" s="349"/>
      <c r="DD89" s="349"/>
      <c r="DE89" s="349"/>
      <c r="DF89" s="349"/>
      <c r="DG89" s="349"/>
      <c r="DH89" s="349"/>
      <c r="DI89" s="349"/>
      <c r="DJ89" s="349"/>
      <c r="DK89" s="349"/>
      <c r="DL89" s="349"/>
      <c r="DM89" s="349"/>
      <c r="DN89" s="349"/>
      <c r="DO89" s="349"/>
      <c r="DP89" s="349"/>
      <c r="DQ89" s="349"/>
      <c r="DR89" s="349"/>
      <c r="DS89" s="349"/>
      <c r="DT89" s="349"/>
      <c r="DU89" s="349"/>
      <c r="DV89" s="349"/>
      <c r="DW89" s="349"/>
      <c r="DX89" s="349"/>
      <c r="DY89" s="349"/>
      <c r="DZ89" s="349"/>
      <c r="EA89" s="349"/>
      <c r="EB89" s="349"/>
      <c r="EC89" s="349"/>
      <c r="ED89" s="349"/>
      <c r="EE89" s="349"/>
      <c r="EF89" s="349"/>
      <c r="EG89" s="349"/>
      <c r="EH89" s="349"/>
      <c r="EI89" s="349"/>
      <c r="EJ89" s="349"/>
      <c r="EK89" s="349"/>
      <c r="EL89" s="349"/>
      <c r="EM89" s="349"/>
      <c r="EN89" s="349"/>
      <c r="EO89" s="349"/>
      <c r="EP89" s="349"/>
      <c r="EQ89" s="349"/>
      <c r="ER89" s="349"/>
      <c r="ES89" s="349"/>
      <c r="ET89" s="349"/>
      <c r="EU89" s="349"/>
      <c r="EV89" s="349"/>
      <c r="EW89" s="349"/>
      <c r="EX89" s="349"/>
      <c r="EY89" s="349"/>
      <c r="EZ89" s="349"/>
      <c r="FA89" s="349"/>
      <c r="FB89" s="349"/>
      <c r="FC89" s="349"/>
      <c r="FD89" s="349"/>
      <c r="FE89" s="349"/>
      <c r="FF89" s="349"/>
      <c r="FG89" s="349"/>
      <c r="FH89" s="349"/>
      <c r="FI89" s="349"/>
      <c r="FJ89" s="349"/>
      <c r="FK89" s="349"/>
      <c r="FL89" s="349"/>
      <c r="FM89" s="349"/>
      <c r="FN89" s="349"/>
      <c r="FO89" s="349"/>
      <c r="FP89" s="349"/>
      <c r="FQ89" s="349"/>
      <c r="FR89" s="349"/>
      <c r="FS89" s="349"/>
      <c r="FT89" s="349"/>
      <c r="FU89" s="349"/>
      <c r="FV89" s="349"/>
      <c r="FW89" s="349"/>
      <c r="FX89" s="349"/>
      <c r="FY89" s="349"/>
      <c r="FZ89" s="349"/>
      <c r="GA89" s="349"/>
      <c r="GB89" s="349"/>
      <c r="GC89" s="349"/>
      <c r="GD89" s="349"/>
      <c r="GE89" s="349"/>
      <c r="GF89" s="349"/>
      <c r="GG89" s="349"/>
      <c r="GH89" s="349"/>
      <c r="GI89" s="349"/>
      <c r="GJ89" s="349"/>
      <c r="GK89" s="349"/>
      <c r="GL89" s="349"/>
      <c r="GM89" s="349"/>
      <c r="GN89" s="349"/>
      <c r="GO89" s="349"/>
      <c r="GP89" s="349"/>
      <c r="GQ89" s="349"/>
      <c r="GR89" s="349"/>
      <c r="GS89" s="349"/>
      <c r="GT89" s="349"/>
      <c r="GU89" s="349"/>
      <c r="GV89" s="349"/>
      <c r="GW89" s="349"/>
      <c r="GX89" s="349"/>
      <c r="GY89" s="349"/>
      <c r="GZ89" s="349"/>
      <c r="HA89" s="349"/>
      <c r="HB89" s="349"/>
      <c r="HC89" s="349"/>
      <c r="HD89" s="349"/>
      <c r="HE89" s="349"/>
      <c r="HF89" s="349"/>
      <c r="HG89" s="349"/>
      <c r="HH89" s="349"/>
      <c r="HI89" s="349"/>
      <c r="HJ89" s="349"/>
      <c r="HK89" s="349"/>
      <c r="HL89" s="349"/>
      <c r="HM89" s="349"/>
      <c r="HN89" s="349"/>
      <c r="HO89" s="349"/>
      <c r="HP89" s="349"/>
    </row>
    <row r="90" spans="1:224" s="322" customFormat="1">
      <c r="A90" s="356"/>
      <c r="B90" s="373" t="s">
        <v>480</v>
      </c>
      <c r="C90" s="374" t="s">
        <v>481</v>
      </c>
      <c r="D90" s="361" t="s">
        <v>70</v>
      </c>
      <c r="E90" s="328">
        <v>4</v>
      </c>
      <c r="F90" s="372">
        <f>F85*E90</f>
        <v>6.92</v>
      </c>
      <c r="G90" s="904">
        <v>0</v>
      </c>
      <c r="H90" s="904">
        <f>F90*G90</f>
        <v>0</v>
      </c>
      <c r="I90" s="904"/>
      <c r="J90" s="904"/>
      <c r="K90" s="904"/>
      <c r="L90" s="904"/>
      <c r="M90" s="884">
        <f t="shared" si="5"/>
        <v>0</v>
      </c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49"/>
      <c r="DG90" s="349"/>
      <c r="DH90" s="349"/>
      <c r="DI90" s="349"/>
      <c r="DJ90" s="349"/>
      <c r="DK90" s="349"/>
      <c r="DL90" s="349"/>
      <c r="DM90" s="349"/>
      <c r="DN90" s="349"/>
      <c r="DO90" s="349"/>
      <c r="DP90" s="349"/>
      <c r="DQ90" s="349"/>
      <c r="DR90" s="349"/>
      <c r="DS90" s="349"/>
      <c r="DT90" s="349"/>
      <c r="DU90" s="349"/>
      <c r="DV90" s="349"/>
      <c r="DW90" s="349"/>
      <c r="DX90" s="349"/>
      <c r="DY90" s="349"/>
      <c r="DZ90" s="349"/>
      <c r="EA90" s="349"/>
      <c r="EB90" s="349"/>
      <c r="EC90" s="349"/>
      <c r="ED90" s="349"/>
      <c r="EE90" s="349"/>
      <c r="EF90" s="349"/>
      <c r="EG90" s="349"/>
      <c r="EH90" s="349"/>
      <c r="EI90" s="349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49"/>
      <c r="FK90" s="349"/>
      <c r="FL90" s="349"/>
      <c r="FM90" s="349"/>
      <c r="FN90" s="349"/>
      <c r="FO90" s="349"/>
      <c r="FP90" s="349"/>
      <c r="FQ90" s="349"/>
      <c r="FR90" s="349"/>
      <c r="FS90" s="349"/>
      <c r="FT90" s="349"/>
      <c r="FU90" s="349"/>
      <c r="FV90" s="349"/>
      <c r="FW90" s="349"/>
      <c r="FX90" s="349"/>
      <c r="FY90" s="349"/>
      <c r="FZ90" s="349"/>
      <c r="GA90" s="349"/>
      <c r="GB90" s="349"/>
      <c r="GC90" s="349"/>
      <c r="GD90" s="349"/>
      <c r="GE90" s="349"/>
      <c r="GF90" s="349"/>
      <c r="GG90" s="349"/>
      <c r="GH90" s="349"/>
      <c r="GI90" s="349"/>
      <c r="GJ90" s="349"/>
      <c r="GK90" s="349"/>
      <c r="GL90" s="349"/>
      <c r="GM90" s="349"/>
      <c r="GN90" s="349"/>
      <c r="GO90" s="349"/>
      <c r="GP90" s="349"/>
      <c r="GQ90" s="349"/>
      <c r="GR90" s="349"/>
      <c r="GS90" s="349"/>
      <c r="GT90" s="349"/>
      <c r="GU90" s="349"/>
      <c r="GV90" s="349"/>
      <c r="GW90" s="349"/>
      <c r="GX90" s="349"/>
      <c r="GY90" s="349"/>
      <c r="GZ90" s="349"/>
      <c r="HA90" s="349"/>
      <c r="HB90" s="349"/>
      <c r="HC90" s="349"/>
      <c r="HD90" s="349"/>
      <c r="HE90" s="349"/>
      <c r="HF90" s="349"/>
      <c r="HG90" s="349"/>
      <c r="HH90" s="349"/>
      <c r="HI90" s="349"/>
      <c r="HJ90" s="349"/>
      <c r="HK90" s="349"/>
      <c r="HL90" s="349"/>
      <c r="HM90" s="349"/>
      <c r="HN90" s="349"/>
      <c r="HO90" s="349"/>
      <c r="HP90" s="349"/>
    </row>
    <row r="91" spans="1:224" s="322" customFormat="1">
      <c r="A91" s="356"/>
      <c r="B91" s="362"/>
      <c r="C91" s="360" t="s">
        <v>458</v>
      </c>
      <c r="D91" s="361" t="s">
        <v>417</v>
      </c>
      <c r="E91" s="289">
        <f>5.4/100</f>
        <v>5.4000000000000006E-2</v>
      </c>
      <c r="F91" s="289">
        <f>F85*E91</f>
        <v>9.3420000000000017E-2</v>
      </c>
      <c r="G91" s="884">
        <v>0</v>
      </c>
      <c r="H91" s="884">
        <f>F91*G91</f>
        <v>0</v>
      </c>
      <c r="I91" s="884"/>
      <c r="J91" s="884"/>
      <c r="K91" s="899"/>
      <c r="L91" s="899"/>
      <c r="M91" s="884">
        <f t="shared" si="5"/>
        <v>0</v>
      </c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9"/>
      <c r="CX91" s="349"/>
      <c r="CY91" s="349"/>
      <c r="CZ91" s="349"/>
      <c r="DA91" s="349"/>
      <c r="DB91" s="349"/>
      <c r="DC91" s="349"/>
      <c r="DD91" s="349"/>
      <c r="DE91" s="349"/>
      <c r="DF91" s="349"/>
      <c r="DG91" s="349"/>
      <c r="DH91" s="349"/>
      <c r="DI91" s="349"/>
      <c r="DJ91" s="349"/>
      <c r="DK91" s="349"/>
      <c r="DL91" s="349"/>
      <c r="DM91" s="349"/>
      <c r="DN91" s="349"/>
      <c r="DO91" s="349"/>
      <c r="DP91" s="349"/>
      <c r="DQ91" s="349"/>
      <c r="DR91" s="349"/>
      <c r="DS91" s="349"/>
      <c r="DT91" s="349"/>
      <c r="DU91" s="349"/>
      <c r="DV91" s="349"/>
      <c r="DW91" s="349"/>
      <c r="DX91" s="349"/>
      <c r="DY91" s="349"/>
      <c r="DZ91" s="349"/>
      <c r="EA91" s="349"/>
      <c r="EB91" s="349"/>
      <c r="EC91" s="349"/>
      <c r="ED91" s="349"/>
      <c r="EE91" s="349"/>
      <c r="EF91" s="349"/>
      <c r="EG91" s="349"/>
      <c r="EH91" s="349"/>
      <c r="EI91" s="349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49"/>
      <c r="EW91" s="349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49"/>
      <c r="FK91" s="349"/>
      <c r="FL91" s="349"/>
      <c r="FM91" s="349"/>
      <c r="FN91" s="349"/>
      <c r="FO91" s="349"/>
      <c r="FP91" s="349"/>
      <c r="FQ91" s="349"/>
      <c r="FR91" s="349"/>
      <c r="FS91" s="349"/>
      <c r="FT91" s="349"/>
      <c r="FU91" s="349"/>
      <c r="FV91" s="349"/>
      <c r="FW91" s="349"/>
      <c r="FX91" s="349"/>
      <c r="FY91" s="349"/>
      <c r="FZ91" s="349"/>
      <c r="GA91" s="349"/>
      <c r="GB91" s="349"/>
      <c r="GC91" s="349"/>
      <c r="GD91" s="349"/>
      <c r="GE91" s="349"/>
      <c r="GF91" s="349"/>
      <c r="GG91" s="349"/>
      <c r="GH91" s="349"/>
      <c r="GI91" s="349"/>
      <c r="GJ91" s="349"/>
      <c r="GK91" s="349"/>
      <c r="GL91" s="349"/>
      <c r="GM91" s="349"/>
      <c r="GN91" s="349"/>
      <c r="GO91" s="349"/>
      <c r="GP91" s="349"/>
      <c r="GQ91" s="349"/>
      <c r="GR91" s="349"/>
      <c r="GS91" s="349"/>
      <c r="GT91" s="349"/>
      <c r="GU91" s="349"/>
      <c r="GV91" s="349"/>
      <c r="GW91" s="349"/>
      <c r="GX91" s="349"/>
      <c r="GY91" s="349"/>
      <c r="GZ91" s="349"/>
      <c r="HA91" s="349"/>
      <c r="HB91" s="349"/>
      <c r="HC91" s="349"/>
      <c r="HD91" s="349"/>
      <c r="HE91" s="349"/>
      <c r="HF91" s="349"/>
      <c r="HG91" s="349"/>
      <c r="HH91" s="349"/>
      <c r="HI91" s="349"/>
      <c r="HJ91" s="349"/>
      <c r="HK91" s="349"/>
      <c r="HL91" s="349"/>
      <c r="HM91" s="349"/>
      <c r="HN91" s="349"/>
      <c r="HO91" s="349"/>
      <c r="HP91" s="349"/>
    </row>
    <row r="92" spans="1:224" s="322" customFormat="1">
      <c r="A92" s="284">
        <v>15</v>
      </c>
      <c r="B92" s="315" t="s">
        <v>482</v>
      </c>
      <c r="C92" s="375" t="s">
        <v>483</v>
      </c>
      <c r="D92" s="284" t="s">
        <v>473</v>
      </c>
      <c r="E92" s="364"/>
      <c r="F92" s="283">
        <f>2.4*0.9</f>
        <v>2.16</v>
      </c>
      <c r="G92" s="899"/>
      <c r="H92" s="883"/>
      <c r="I92" s="883"/>
      <c r="J92" s="883"/>
      <c r="K92" s="883"/>
      <c r="L92" s="883"/>
      <c r="M92" s="883">
        <f>SUM(M93:M97)</f>
        <v>0</v>
      </c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6"/>
      <c r="BU92" s="316"/>
      <c r="BV92" s="316"/>
      <c r="BW92" s="316"/>
      <c r="BX92" s="316"/>
      <c r="BY92" s="316"/>
      <c r="BZ92" s="316"/>
      <c r="CA92" s="316"/>
      <c r="CB92" s="316"/>
      <c r="CC92" s="316"/>
      <c r="CD92" s="316"/>
      <c r="CE92" s="316"/>
      <c r="CF92" s="316"/>
      <c r="CG92" s="316"/>
      <c r="CH92" s="316"/>
      <c r="CI92" s="316"/>
      <c r="CJ92" s="316"/>
      <c r="CK92" s="316"/>
      <c r="CL92" s="316"/>
      <c r="CM92" s="316"/>
      <c r="CN92" s="316"/>
      <c r="CO92" s="316"/>
      <c r="CP92" s="316"/>
      <c r="CQ92" s="316"/>
      <c r="CR92" s="316"/>
      <c r="CS92" s="316"/>
      <c r="CT92" s="316"/>
      <c r="CU92" s="316"/>
      <c r="CV92" s="316"/>
      <c r="CW92" s="316"/>
      <c r="CX92" s="316"/>
      <c r="CY92" s="316"/>
      <c r="CZ92" s="316"/>
      <c r="DA92" s="316"/>
      <c r="DB92" s="316"/>
      <c r="DC92" s="316"/>
      <c r="DD92" s="316"/>
      <c r="DE92" s="316"/>
      <c r="DF92" s="316"/>
      <c r="DG92" s="316"/>
      <c r="DH92" s="316"/>
      <c r="DI92" s="316"/>
      <c r="DJ92" s="316"/>
      <c r="DK92" s="316"/>
      <c r="DL92" s="316"/>
      <c r="DM92" s="316"/>
      <c r="DN92" s="316"/>
      <c r="DO92" s="316"/>
      <c r="DP92" s="316"/>
      <c r="DQ92" s="316"/>
      <c r="DR92" s="316"/>
      <c r="DS92" s="316"/>
      <c r="DT92" s="316"/>
      <c r="DU92" s="316"/>
      <c r="DV92" s="316"/>
      <c r="DW92" s="316"/>
      <c r="DX92" s="316"/>
      <c r="DY92" s="316"/>
      <c r="DZ92" s="316"/>
      <c r="EA92" s="316"/>
      <c r="EB92" s="316"/>
      <c r="EC92" s="316"/>
      <c r="ED92" s="316"/>
      <c r="EE92" s="316"/>
      <c r="EF92" s="316"/>
      <c r="EG92" s="316"/>
      <c r="EH92" s="316"/>
      <c r="EI92" s="316"/>
      <c r="EJ92" s="316"/>
      <c r="EK92" s="316"/>
      <c r="EL92" s="316"/>
      <c r="EM92" s="316"/>
      <c r="EN92" s="316"/>
      <c r="EO92" s="316"/>
      <c r="EP92" s="316"/>
      <c r="EQ92" s="316"/>
      <c r="ER92" s="316"/>
      <c r="ES92" s="316"/>
      <c r="ET92" s="316"/>
      <c r="EU92" s="316"/>
      <c r="EV92" s="316"/>
      <c r="EW92" s="316"/>
      <c r="EX92" s="316"/>
      <c r="EY92" s="316"/>
      <c r="EZ92" s="316"/>
      <c r="FA92" s="316"/>
      <c r="FB92" s="316"/>
      <c r="FC92" s="316"/>
      <c r="FD92" s="316"/>
      <c r="FE92" s="316"/>
      <c r="FF92" s="316"/>
      <c r="FG92" s="316"/>
      <c r="FH92" s="316"/>
      <c r="FI92" s="316"/>
      <c r="FJ92" s="316"/>
      <c r="FK92" s="316"/>
      <c r="FL92" s="316"/>
      <c r="FM92" s="316"/>
      <c r="FN92" s="316"/>
      <c r="FO92" s="316"/>
      <c r="FP92" s="316"/>
      <c r="FQ92" s="316"/>
      <c r="FR92" s="316"/>
      <c r="FS92" s="316"/>
      <c r="FT92" s="316"/>
      <c r="FU92" s="316"/>
      <c r="FV92" s="316"/>
      <c r="FW92" s="316"/>
      <c r="FX92" s="316"/>
      <c r="FY92" s="316"/>
      <c r="FZ92" s="316"/>
      <c r="GA92" s="316"/>
      <c r="GB92" s="316"/>
      <c r="GC92" s="316"/>
      <c r="GD92" s="316"/>
      <c r="GE92" s="316"/>
      <c r="GF92" s="316"/>
      <c r="GG92" s="316"/>
      <c r="GH92" s="316"/>
      <c r="GI92" s="316"/>
      <c r="GJ92" s="316"/>
      <c r="GK92" s="316"/>
      <c r="GL92" s="316"/>
      <c r="GM92" s="316"/>
      <c r="GN92" s="316"/>
      <c r="GO92" s="316"/>
      <c r="GP92" s="316"/>
      <c r="GQ92" s="316"/>
      <c r="GR92" s="316"/>
      <c r="GS92" s="316"/>
      <c r="GT92" s="316"/>
      <c r="GU92" s="316"/>
      <c r="GV92" s="316"/>
      <c r="GW92" s="316"/>
      <c r="GX92" s="316"/>
      <c r="GY92" s="316"/>
      <c r="GZ92" s="316"/>
      <c r="HA92" s="316"/>
      <c r="HB92" s="316"/>
      <c r="HC92" s="316"/>
      <c r="HD92" s="316"/>
      <c r="HE92" s="316"/>
      <c r="HF92" s="316"/>
      <c r="HG92" s="316"/>
      <c r="HH92" s="316"/>
      <c r="HI92" s="316"/>
      <c r="HJ92" s="316"/>
      <c r="HK92" s="316"/>
      <c r="HL92" s="316"/>
      <c r="HM92" s="316"/>
      <c r="HN92" s="316"/>
      <c r="HO92" s="316"/>
      <c r="HP92" s="316"/>
    </row>
    <row r="93" spans="1:224" s="322" customFormat="1">
      <c r="A93" s="356"/>
      <c r="B93" s="359"/>
      <c r="C93" s="360" t="s">
        <v>416</v>
      </c>
      <c r="D93" s="361" t="s">
        <v>40</v>
      </c>
      <c r="E93" s="289">
        <v>1.1100000000000001</v>
      </c>
      <c r="F93" s="289">
        <f>F92*E93</f>
        <v>2.3976000000000002</v>
      </c>
      <c r="G93" s="884"/>
      <c r="H93" s="884"/>
      <c r="I93" s="890">
        <v>0</v>
      </c>
      <c r="J93" s="884">
        <f>F93*I93</f>
        <v>0</v>
      </c>
      <c r="K93" s="884"/>
      <c r="L93" s="884"/>
      <c r="M93" s="884">
        <f t="shared" ref="M93:M94" si="7">L93+J93+H93</f>
        <v>0</v>
      </c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2"/>
      <c r="BX93" s="332"/>
      <c r="BY93" s="332"/>
      <c r="BZ93" s="332"/>
      <c r="CA93" s="332"/>
      <c r="CB93" s="332"/>
      <c r="CC93" s="332"/>
      <c r="CD93" s="332"/>
      <c r="CE93" s="332"/>
      <c r="CF93" s="332"/>
      <c r="CG93" s="332"/>
      <c r="CH93" s="332"/>
      <c r="CI93" s="332"/>
      <c r="CJ93" s="332"/>
      <c r="CK93" s="332"/>
      <c r="CL93" s="332"/>
      <c r="CM93" s="332"/>
      <c r="CN93" s="332"/>
      <c r="CO93" s="332"/>
      <c r="CP93" s="332"/>
      <c r="CQ93" s="332"/>
      <c r="CR93" s="332"/>
      <c r="CS93" s="332"/>
      <c r="CT93" s="332"/>
      <c r="CU93" s="332"/>
      <c r="CV93" s="332"/>
      <c r="CW93" s="332"/>
      <c r="CX93" s="332"/>
      <c r="CY93" s="332"/>
      <c r="CZ93" s="332"/>
      <c r="DA93" s="332"/>
      <c r="DB93" s="332"/>
      <c r="DC93" s="332"/>
      <c r="DD93" s="332"/>
      <c r="DE93" s="332"/>
      <c r="DF93" s="332"/>
      <c r="DG93" s="332"/>
      <c r="DH93" s="332"/>
      <c r="DI93" s="332"/>
      <c r="DJ93" s="332"/>
      <c r="DK93" s="332"/>
      <c r="DL93" s="332"/>
      <c r="DM93" s="332"/>
      <c r="DN93" s="332"/>
      <c r="DO93" s="332"/>
      <c r="DP93" s="332"/>
      <c r="DQ93" s="332"/>
      <c r="DR93" s="332"/>
      <c r="DS93" s="332"/>
      <c r="DT93" s="332"/>
      <c r="DU93" s="332"/>
      <c r="DV93" s="332"/>
      <c r="DW93" s="332"/>
      <c r="DX93" s="332"/>
      <c r="DY93" s="332"/>
      <c r="DZ93" s="332"/>
      <c r="EA93" s="332"/>
      <c r="EB93" s="332"/>
      <c r="EC93" s="332"/>
      <c r="ED93" s="332"/>
      <c r="EE93" s="332"/>
      <c r="EF93" s="332"/>
      <c r="EG93" s="332"/>
      <c r="EH93" s="332"/>
      <c r="EI93" s="332"/>
      <c r="EJ93" s="332"/>
      <c r="EK93" s="332"/>
      <c r="EL93" s="332"/>
      <c r="EM93" s="332"/>
      <c r="EN93" s="332"/>
      <c r="EO93" s="332"/>
      <c r="EP93" s="332"/>
      <c r="EQ93" s="332"/>
      <c r="ER93" s="332"/>
      <c r="ES93" s="332"/>
      <c r="ET93" s="332"/>
      <c r="EU93" s="332"/>
      <c r="EV93" s="332"/>
      <c r="EW93" s="332"/>
      <c r="EX93" s="332"/>
      <c r="EY93" s="332"/>
      <c r="EZ93" s="332"/>
      <c r="FA93" s="332"/>
      <c r="FB93" s="332"/>
      <c r="FC93" s="332"/>
      <c r="FD93" s="332"/>
      <c r="FE93" s="332"/>
      <c r="FF93" s="332"/>
      <c r="FG93" s="332"/>
      <c r="FH93" s="332"/>
      <c r="FI93" s="332"/>
      <c r="FJ93" s="332"/>
      <c r="FK93" s="332"/>
      <c r="FL93" s="332"/>
      <c r="FM93" s="332"/>
      <c r="FN93" s="332"/>
      <c r="FO93" s="332"/>
      <c r="FP93" s="332"/>
      <c r="FQ93" s="332"/>
      <c r="FR93" s="332"/>
      <c r="FS93" s="332"/>
      <c r="FT93" s="332"/>
      <c r="FU93" s="332"/>
      <c r="FV93" s="332"/>
      <c r="FW93" s="332"/>
      <c r="FX93" s="332"/>
      <c r="FY93" s="332"/>
      <c r="FZ93" s="332"/>
      <c r="GA93" s="332"/>
      <c r="GB93" s="332"/>
      <c r="GC93" s="332"/>
      <c r="GD93" s="332"/>
      <c r="GE93" s="332"/>
      <c r="GF93" s="332"/>
      <c r="GG93" s="332"/>
      <c r="GH93" s="332"/>
      <c r="GI93" s="332"/>
      <c r="GJ93" s="332"/>
      <c r="GK93" s="332"/>
      <c r="GL93" s="332"/>
      <c r="GM93" s="332"/>
      <c r="GN93" s="332"/>
      <c r="GO93" s="332"/>
      <c r="GP93" s="332"/>
      <c r="GQ93" s="332"/>
      <c r="GR93" s="332"/>
      <c r="GS93" s="332"/>
      <c r="GT93" s="332"/>
      <c r="GU93" s="332"/>
      <c r="GV93" s="332"/>
      <c r="GW93" s="332"/>
      <c r="GX93" s="332"/>
      <c r="GY93" s="332"/>
      <c r="GZ93" s="332"/>
      <c r="HA93" s="332"/>
      <c r="HB93" s="332"/>
      <c r="HC93" s="332"/>
      <c r="HD93" s="332"/>
      <c r="HE93" s="332"/>
      <c r="HF93" s="332"/>
      <c r="HG93" s="332"/>
      <c r="HH93" s="332"/>
      <c r="HI93" s="332"/>
      <c r="HJ93" s="332"/>
      <c r="HK93" s="332"/>
      <c r="HL93" s="332"/>
      <c r="HM93" s="332"/>
      <c r="HN93" s="332"/>
      <c r="HO93" s="332"/>
      <c r="HP93" s="332"/>
    </row>
    <row r="94" spans="1:224" s="322" customFormat="1">
      <c r="A94" s="284"/>
      <c r="B94" s="285"/>
      <c r="C94" s="360" t="s">
        <v>453</v>
      </c>
      <c r="D94" s="361" t="s">
        <v>417</v>
      </c>
      <c r="E94" s="333">
        <v>0.51600000000000001</v>
      </c>
      <c r="F94" s="289">
        <f>F92*E94</f>
        <v>1.11456</v>
      </c>
      <c r="G94" s="884"/>
      <c r="H94" s="884"/>
      <c r="I94" s="884"/>
      <c r="J94" s="884"/>
      <c r="K94" s="884">
        <v>0</v>
      </c>
      <c r="L94" s="884">
        <f>F94*K94</f>
        <v>0</v>
      </c>
      <c r="M94" s="884">
        <f t="shared" si="7"/>
        <v>0</v>
      </c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  <c r="CD94" s="332"/>
      <c r="CE94" s="332"/>
      <c r="CF94" s="332"/>
      <c r="CG94" s="332"/>
      <c r="CH94" s="332"/>
      <c r="CI94" s="332"/>
      <c r="CJ94" s="332"/>
      <c r="CK94" s="332"/>
      <c r="CL94" s="332"/>
      <c r="CM94" s="332"/>
      <c r="CN94" s="332"/>
      <c r="CO94" s="332"/>
      <c r="CP94" s="332"/>
      <c r="CQ94" s="332"/>
      <c r="CR94" s="332"/>
      <c r="CS94" s="332"/>
      <c r="CT94" s="332"/>
      <c r="CU94" s="332"/>
      <c r="CV94" s="332"/>
      <c r="CW94" s="332"/>
      <c r="CX94" s="332"/>
      <c r="CY94" s="332"/>
      <c r="CZ94" s="332"/>
      <c r="DA94" s="332"/>
      <c r="DB94" s="332"/>
      <c r="DC94" s="332"/>
      <c r="DD94" s="332"/>
      <c r="DE94" s="332"/>
      <c r="DF94" s="332"/>
      <c r="DG94" s="332"/>
      <c r="DH94" s="332"/>
      <c r="DI94" s="332"/>
      <c r="DJ94" s="332"/>
      <c r="DK94" s="332"/>
      <c r="DL94" s="332"/>
      <c r="DM94" s="332"/>
      <c r="DN94" s="332"/>
      <c r="DO94" s="332"/>
      <c r="DP94" s="332"/>
      <c r="DQ94" s="332"/>
      <c r="DR94" s="332"/>
      <c r="DS94" s="332"/>
      <c r="DT94" s="332"/>
      <c r="DU94" s="332"/>
      <c r="DV94" s="332"/>
      <c r="DW94" s="332"/>
      <c r="DX94" s="332"/>
      <c r="DY94" s="332"/>
      <c r="DZ94" s="332"/>
      <c r="EA94" s="332"/>
      <c r="EB94" s="332"/>
      <c r="EC94" s="332"/>
      <c r="ED94" s="332"/>
      <c r="EE94" s="332"/>
      <c r="EF94" s="332"/>
      <c r="EG94" s="332"/>
      <c r="EH94" s="332"/>
      <c r="EI94" s="332"/>
      <c r="EJ94" s="332"/>
      <c r="EK94" s="332"/>
      <c r="EL94" s="332"/>
      <c r="EM94" s="332"/>
      <c r="EN94" s="332"/>
      <c r="EO94" s="332"/>
      <c r="EP94" s="332"/>
      <c r="EQ94" s="332"/>
      <c r="ER94" s="332"/>
      <c r="ES94" s="332"/>
      <c r="ET94" s="332"/>
      <c r="EU94" s="332"/>
      <c r="EV94" s="332"/>
      <c r="EW94" s="332"/>
      <c r="EX94" s="332"/>
      <c r="EY94" s="332"/>
      <c r="EZ94" s="332"/>
      <c r="FA94" s="332"/>
      <c r="FB94" s="332"/>
      <c r="FC94" s="332"/>
      <c r="FD94" s="332"/>
      <c r="FE94" s="332"/>
      <c r="FF94" s="332"/>
      <c r="FG94" s="332"/>
      <c r="FH94" s="332"/>
      <c r="FI94" s="332"/>
      <c r="FJ94" s="332"/>
      <c r="FK94" s="332"/>
      <c r="FL94" s="332"/>
      <c r="FM94" s="332"/>
      <c r="FN94" s="332"/>
      <c r="FO94" s="332"/>
      <c r="FP94" s="332"/>
      <c r="FQ94" s="332"/>
      <c r="FR94" s="332"/>
      <c r="FS94" s="332"/>
      <c r="FT94" s="332"/>
      <c r="FU94" s="332"/>
      <c r="FV94" s="332"/>
      <c r="FW94" s="332"/>
      <c r="FX94" s="332"/>
      <c r="FY94" s="332"/>
      <c r="FZ94" s="332"/>
      <c r="GA94" s="332"/>
      <c r="GB94" s="332"/>
      <c r="GC94" s="332"/>
      <c r="GD94" s="332"/>
      <c r="GE94" s="332"/>
      <c r="GF94" s="332"/>
      <c r="GG94" s="332"/>
      <c r="GH94" s="332"/>
      <c r="GI94" s="332"/>
      <c r="GJ94" s="332"/>
      <c r="GK94" s="332"/>
      <c r="GL94" s="332"/>
      <c r="GM94" s="332"/>
      <c r="GN94" s="332"/>
      <c r="GO94" s="332"/>
      <c r="GP94" s="332"/>
      <c r="GQ94" s="332"/>
      <c r="GR94" s="332"/>
      <c r="GS94" s="332"/>
      <c r="GT94" s="332"/>
      <c r="GU94" s="332"/>
      <c r="GV94" s="332"/>
      <c r="GW94" s="332"/>
      <c r="GX94" s="332"/>
      <c r="GY94" s="332"/>
      <c r="GZ94" s="332"/>
      <c r="HA94" s="332"/>
      <c r="HB94" s="332"/>
      <c r="HC94" s="332"/>
      <c r="HD94" s="332"/>
      <c r="HE94" s="332"/>
      <c r="HF94" s="332"/>
      <c r="HG94" s="332"/>
      <c r="HH94" s="332"/>
      <c r="HI94" s="332"/>
      <c r="HJ94" s="332"/>
      <c r="HK94" s="332"/>
      <c r="HL94" s="332"/>
      <c r="HM94" s="332"/>
      <c r="HN94" s="332"/>
      <c r="HO94" s="332"/>
      <c r="HP94" s="332"/>
    </row>
    <row r="95" spans="1:224" s="322" customFormat="1">
      <c r="A95" s="284"/>
      <c r="B95" s="331" t="s">
        <v>484</v>
      </c>
      <c r="C95" s="296" t="s">
        <v>485</v>
      </c>
      <c r="D95" s="291" t="s">
        <v>433</v>
      </c>
      <c r="E95" s="289">
        <f>100/100</f>
        <v>1</v>
      </c>
      <c r="F95" s="289">
        <f>F92*E95</f>
        <v>2.16</v>
      </c>
      <c r="G95" s="884">
        <v>0</v>
      </c>
      <c r="H95" s="884">
        <f>G95*F95</f>
        <v>0</v>
      </c>
      <c r="I95" s="884"/>
      <c r="J95" s="884"/>
      <c r="K95" s="884"/>
      <c r="L95" s="884"/>
      <c r="M95" s="884">
        <f t="shared" si="5"/>
        <v>0</v>
      </c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2"/>
      <c r="CB95" s="332"/>
      <c r="CC95" s="332"/>
      <c r="CD95" s="332"/>
      <c r="CE95" s="332"/>
      <c r="CF95" s="332"/>
      <c r="CG95" s="332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  <c r="DB95" s="332"/>
      <c r="DC95" s="332"/>
      <c r="DD95" s="332"/>
      <c r="DE95" s="332"/>
      <c r="DF95" s="332"/>
      <c r="DG95" s="332"/>
      <c r="DH95" s="332"/>
      <c r="DI95" s="332"/>
      <c r="DJ95" s="332"/>
      <c r="DK95" s="332"/>
      <c r="DL95" s="332"/>
      <c r="DM95" s="332"/>
      <c r="DN95" s="332"/>
      <c r="DO95" s="332"/>
      <c r="DP95" s="332"/>
      <c r="DQ95" s="332"/>
      <c r="DR95" s="332"/>
      <c r="DS95" s="332"/>
      <c r="DT95" s="332"/>
      <c r="DU95" s="332"/>
      <c r="DV95" s="332"/>
      <c r="DW95" s="332"/>
      <c r="DX95" s="332"/>
      <c r="DY95" s="332"/>
      <c r="DZ95" s="332"/>
      <c r="EA95" s="332"/>
      <c r="EB95" s="332"/>
      <c r="EC95" s="332"/>
      <c r="ED95" s="332"/>
      <c r="EE95" s="332"/>
      <c r="EF95" s="332"/>
      <c r="EG95" s="332"/>
      <c r="EH95" s="332"/>
      <c r="EI95" s="332"/>
      <c r="EJ95" s="332"/>
      <c r="EK95" s="332"/>
      <c r="EL95" s="332"/>
      <c r="EM95" s="332"/>
      <c r="EN95" s="332"/>
      <c r="EO95" s="332"/>
      <c r="EP95" s="332"/>
      <c r="EQ95" s="332"/>
      <c r="ER95" s="332"/>
      <c r="ES95" s="332"/>
      <c r="ET95" s="332"/>
      <c r="EU95" s="332"/>
      <c r="EV95" s="332"/>
      <c r="EW95" s="332"/>
      <c r="EX95" s="332"/>
      <c r="EY95" s="332"/>
      <c r="EZ95" s="332"/>
      <c r="FA95" s="332"/>
      <c r="FB95" s="332"/>
      <c r="FC95" s="332"/>
      <c r="FD95" s="332"/>
      <c r="FE95" s="332"/>
      <c r="FF95" s="332"/>
      <c r="FG95" s="332"/>
      <c r="FH95" s="332"/>
      <c r="FI95" s="332"/>
      <c r="FJ95" s="332"/>
      <c r="FK95" s="332"/>
      <c r="FL95" s="332"/>
      <c r="FM95" s="332"/>
      <c r="FN95" s="332"/>
      <c r="FO95" s="332"/>
      <c r="FP95" s="332"/>
      <c r="FQ95" s="332"/>
      <c r="FR95" s="332"/>
      <c r="FS95" s="332"/>
      <c r="FT95" s="332"/>
      <c r="FU95" s="332"/>
      <c r="FV95" s="332"/>
      <c r="FW95" s="332"/>
      <c r="FX95" s="332"/>
      <c r="FY95" s="332"/>
      <c r="FZ95" s="332"/>
      <c r="GA95" s="332"/>
      <c r="GB95" s="332"/>
      <c r="GC95" s="332"/>
      <c r="GD95" s="332"/>
      <c r="GE95" s="332"/>
      <c r="GF95" s="332"/>
      <c r="GG95" s="332"/>
      <c r="GH95" s="332"/>
      <c r="GI95" s="332"/>
      <c r="GJ95" s="332"/>
      <c r="GK95" s="332"/>
      <c r="GL95" s="332"/>
      <c r="GM95" s="332"/>
      <c r="GN95" s="332"/>
      <c r="GO95" s="332"/>
      <c r="GP95" s="332"/>
      <c r="GQ95" s="332"/>
      <c r="GR95" s="332"/>
      <c r="GS95" s="332"/>
      <c r="GT95" s="332"/>
      <c r="GU95" s="332"/>
      <c r="GV95" s="332"/>
      <c r="GW95" s="332"/>
      <c r="GX95" s="332"/>
      <c r="GY95" s="332"/>
      <c r="GZ95" s="332"/>
      <c r="HA95" s="332"/>
      <c r="HB95" s="332"/>
      <c r="HC95" s="332"/>
      <c r="HD95" s="332"/>
      <c r="HE95" s="332"/>
      <c r="HF95" s="332"/>
      <c r="HG95" s="332"/>
      <c r="HH95" s="332"/>
      <c r="HI95" s="332"/>
      <c r="HJ95" s="332"/>
      <c r="HK95" s="332"/>
      <c r="HL95" s="332"/>
      <c r="HM95" s="332"/>
      <c r="HN95" s="332"/>
      <c r="HO95" s="332"/>
      <c r="HP95" s="332"/>
    </row>
    <row r="96" spans="1:224" s="322" customFormat="1">
      <c r="A96" s="356"/>
      <c r="B96" s="373" t="s">
        <v>480</v>
      </c>
      <c r="C96" s="374" t="s">
        <v>481</v>
      </c>
      <c r="D96" s="361" t="s">
        <v>449</v>
      </c>
      <c r="E96" s="289">
        <f>6/100</f>
        <v>0.06</v>
      </c>
      <c r="F96" s="289">
        <f>F92*E96</f>
        <v>0.12959999999999999</v>
      </c>
      <c r="G96" s="904">
        <v>0</v>
      </c>
      <c r="H96" s="884">
        <f>G96*F96</f>
        <v>0</v>
      </c>
      <c r="I96" s="884"/>
      <c r="J96" s="884"/>
      <c r="K96" s="884"/>
      <c r="L96" s="884"/>
      <c r="M96" s="884">
        <f t="shared" si="5"/>
        <v>0</v>
      </c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49"/>
      <c r="CB96" s="349"/>
      <c r="CC96" s="349"/>
      <c r="CD96" s="349"/>
      <c r="CE96" s="349"/>
      <c r="CF96" s="349"/>
      <c r="CG96" s="349"/>
      <c r="CH96" s="349"/>
      <c r="CI96" s="349"/>
      <c r="CJ96" s="349"/>
      <c r="CK96" s="349"/>
      <c r="CL96" s="349"/>
      <c r="CM96" s="349"/>
      <c r="CN96" s="349"/>
      <c r="CO96" s="349"/>
      <c r="CP96" s="349"/>
      <c r="CQ96" s="349"/>
      <c r="CR96" s="349"/>
      <c r="CS96" s="349"/>
      <c r="CT96" s="349"/>
      <c r="CU96" s="349"/>
      <c r="CV96" s="349"/>
      <c r="CW96" s="349"/>
      <c r="CX96" s="349"/>
      <c r="CY96" s="349"/>
      <c r="CZ96" s="349"/>
      <c r="DA96" s="349"/>
      <c r="DB96" s="349"/>
      <c r="DC96" s="349"/>
      <c r="DD96" s="349"/>
      <c r="DE96" s="349"/>
      <c r="DF96" s="349"/>
      <c r="DG96" s="349"/>
      <c r="DH96" s="349"/>
      <c r="DI96" s="349"/>
      <c r="DJ96" s="349"/>
      <c r="DK96" s="349"/>
      <c r="DL96" s="349"/>
      <c r="DM96" s="349"/>
      <c r="DN96" s="349"/>
      <c r="DO96" s="349"/>
      <c r="DP96" s="349"/>
      <c r="DQ96" s="349"/>
      <c r="DR96" s="349"/>
      <c r="DS96" s="349"/>
      <c r="DT96" s="349"/>
      <c r="DU96" s="349"/>
      <c r="DV96" s="349"/>
      <c r="DW96" s="349"/>
      <c r="DX96" s="349"/>
      <c r="DY96" s="349"/>
      <c r="DZ96" s="349"/>
      <c r="EA96" s="349"/>
      <c r="EB96" s="349"/>
      <c r="EC96" s="349"/>
      <c r="ED96" s="349"/>
      <c r="EE96" s="349"/>
      <c r="EF96" s="349"/>
      <c r="EG96" s="349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49"/>
      <c r="FK96" s="349"/>
      <c r="FL96" s="349"/>
      <c r="FM96" s="349"/>
      <c r="FN96" s="349"/>
      <c r="FO96" s="349"/>
      <c r="FP96" s="349"/>
      <c r="FQ96" s="349"/>
      <c r="FR96" s="349"/>
      <c r="FS96" s="349"/>
      <c r="FT96" s="349"/>
      <c r="FU96" s="349"/>
      <c r="FV96" s="349"/>
      <c r="FW96" s="349"/>
      <c r="FX96" s="349"/>
      <c r="FY96" s="349"/>
      <c r="FZ96" s="349"/>
      <c r="GA96" s="349"/>
      <c r="GB96" s="349"/>
      <c r="GC96" s="349"/>
      <c r="GD96" s="349"/>
      <c r="GE96" s="349"/>
      <c r="GF96" s="349"/>
      <c r="GG96" s="349"/>
      <c r="GH96" s="349"/>
      <c r="GI96" s="349"/>
      <c r="GJ96" s="349"/>
      <c r="GK96" s="349"/>
      <c r="GL96" s="349"/>
      <c r="GM96" s="349"/>
      <c r="GN96" s="349"/>
      <c r="GO96" s="349"/>
      <c r="GP96" s="349"/>
      <c r="GQ96" s="349"/>
      <c r="GR96" s="349"/>
      <c r="GS96" s="349"/>
      <c r="GT96" s="349"/>
      <c r="GU96" s="349"/>
      <c r="GV96" s="349"/>
      <c r="GW96" s="349"/>
      <c r="GX96" s="349"/>
      <c r="GY96" s="349"/>
      <c r="GZ96" s="349"/>
      <c r="HA96" s="349"/>
      <c r="HB96" s="349"/>
      <c r="HC96" s="349"/>
      <c r="HD96" s="349"/>
      <c r="HE96" s="349"/>
      <c r="HF96" s="349"/>
      <c r="HG96" s="349"/>
      <c r="HH96" s="349"/>
      <c r="HI96" s="349"/>
      <c r="HJ96" s="349"/>
      <c r="HK96" s="349"/>
      <c r="HL96" s="349"/>
      <c r="HM96" s="349"/>
      <c r="HN96" s="349"/>
      <c r="HO96" s="349"/>
      <c r="HP96" s="349"/>
    </row>
    <row r="97" spans="1:224" s="322" customFormat="1">
      <c r="A97" s="291"/>
      <c r="B97" s="331"/>
      <c r="C97" s="360" t="s">
        <v>458</v>
      </c>
      <c r="D97" s="361" t="s">
        <v>417</v>
      </c>
      <c r="E97" s="289">
        <f>2.7/100</f>
        <v>2.7000000000000003E-2</v>
      </c>
      <c r="F97" s="289">
        <f>F94*E97</f>
        <v>3.0093120000000004E-2</v>
      </c>
      <c r="G97" s="884">
        <v>0</v>
      </c>
      <c r="H97" s="884">
        <f>F97*G97</f>
        <v>0</v>
      </c>
      <c r="I97" s="884"/>
      <c r="J97" s="884"/>
      <c r="K97" s="899"/>
      <c r="L97" s="899"/>
      <c r="M97" s="884">
        <f t="shared" si="5"/>
        <v>0</v>
      </c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332"/>
      <c r="BW97" s="332"/>
      <c r="BX97" s="332"/>
      <c r="BY97" s="332"/>
      <c r="BZ97" s="332"/>
      <c r="CA97" s="332"/>
      <c r="CB97" s="332"/>
      <c r="CC97" s="332"/>
      <c r="CD97" s="332"/>
      <c r="CE97" s="332"/>
      <c r="CF97" s="332"/>
      <c r="CG97" s="332"/>
      <c r="CH97" s="332"/>
      <c r="CI97" s="332"/>
      <c r="CJ97" s="332"/>
      <c r="CK97" s="332"/>
      <c r="CL97" s="332"/>
      <c r="CM97" s="332"/>
      <c r="CN97" s="332"/>
      <c r="CO97" s="332"/>
      <c r="CP97" s="332"/>
      <c r="CQ97" s="332"/>
      <c r="CR97" s="332"/>
      <c r="CS97" s="332"/>
      <c r="CT97" s="332"/>
      <c r="CU97" s="332"/>
      <c r="CV97" s="332"/>
      <c r="CW97" s="332"/>
      <c r="CX97" s="332"/>
      <c r="CY97" s="332"/>
      <c r="CZ97" s="332"/>
      <c r="DA97" s="332"/>
      <c r="DB97" s="332"/>
      <c r="DC97" s="332"/>
      <c r="DD97" s="332"/>
      <c r="DE97" s="332"/>
      <c r="DF97" s="332"/>
      <c r="DG97" s="332"/>
      <c r="DH97" s="332"/>
      <c r="DI97" s="332"/>
      <c r="DJ97" s="332"/>
      <c r="DK97" s="332"/>
      <c r="DL97" s="332"/>
      <c r="DM97" s="332"/>
      <c r="DN97" s="332"/>
      <c r="DO97" s="332"/>
      <c r="DP97" s="332"/>
      <c r="DQ97" s="332"/>
      <c r="DR97" s="332"/>
      <c r="DS97" s="332"/>
      <c r="DT97" s="332"/>
      <c r="DU97" s="332"/>
      <c r="DV97" s="332"/>
      <c r="DW97" s="332"/>
      <c r="DX97" s="332"/>
      <c r="DY97" s="332"/>
      <c r="DZ97" s="332"/>
      <c r="EA97" s="332"/>
      <c r="EB97" s="332"/>
      <c r="EC97" s="332"/>
      <c r="ED97" s="332"/>
      <c r="EE97" s="332"/>
      <c r="EF97" s="332"/>
      <c r="EG97" s="332"/>
      <c r="EH97" s="332"/>
      <c r="EI97" s="332"/>
      <c r="EJ97" s="332"/>
      <c r="EK97" s="332"/>
      <c r="EL97" s="332"/>
      <c r="EM97" s="332"/>
      <c r="EN97" s="332"/>
      <c r="EO97" s="332"/>
      <c r="EP97" s="332"/>
      <c r="EQ97" s="332"/>
      <c r="ER97" s="332"/>
      <c r="ES97" s="332"/>
      <c r="ET97" s="332"/>
      <c r="EU97" s="332"/>
      <c r="EV97" s="332"/>
      <c r="EW97" s="332"/>
      <c r="EX97" s="332"/>
      <c r="EY97" s="332"/>
      <c r="EZ97" s="332"/>
      <c r="FA97" s="332"/>
      <c r="FB97" s="332"/>
      <c r="FC97" s="332"/>
      <c r="FD97" s="332"/>
      <c r="FE97" s="332"/>
      <c r="FF97" s="332"/>
      <c r="FG97" s="332"/>
      <c r="FH97" s="332"/>
      <c r="FI97" s="332"/>
      <c r="FJ97" s="332"/>
      <c r="FK97" s="332"/>
      <c r="FL97" s="332"/>
      <c r="FM97" s="332"/>
      <c r="FN97" s="332"/>
      <c r="FO97" s="332"/>
      <c r="FP97" s="332"/>
      <c r="FQ97" s="332"/>
      <c r="FR97" s="332"/>
      <c r="FS97" s="332"/>
      <c r="FT97" s="332"/>
      <c r="FU97" s="332"/>
      <c r="FV97" s="332"/>
      <c r="FW97" s="332"/>
      <c r="FX97" s="332"/>
      <c r="FY97" s="332"/>
      <c r="FZ97" s="332"/>
      <c r="GA97" s="332"/>
      <c r="GB97" s="332"/>
      <c r="GC97" s="332"/>
      <c r="GD97" s="332"/>
      <c r="GE97" s="332"/>
      <c r="GF97" s="332"/>
      <c r="GG97" s="332"/>
      <c r="GH97" s="332"/>
      <c r="GI97" s="332"/>
      <c r="GJ97" s="332"/>
      <c r="GK97" s="332"/>
      <c r="GL97" s="332"/>
      <c r="GM97" s="332"/>
      <c r="GN97" s="332"/>
      <c r="GO97" s="332"/>
      <c r="GP97" s="332"/>
      <c r="GQ97" s="332"/>
      <c r="GR97" s="332"/>
      <c r="GS97" s="332"/>
      <c r="GT97" s="332"/>
      <c r="GU97" s="332"/>
      <c r="GV97" s="332"/>
      <c r="GW97" s="332"/>
      <c r="GX97" s="332"/>
      <c r="GY97" s="332"/>
      <c r="GZ97" s="332"/>
      <c r="HA97" s="332"/>
      <c r="HB97" s="332"/>
      <c r="HC97" s="332"/>
      <c r="HD97" s="332"/>
      <c r="HE97" s="332"/>
      <c r="HF97" s="332"/>
      <c r="HG97" s="332"/>
      <c r="HH97" s="332"/>
      <c r="HI97" s="332"/>
      <c r="HJ97" s="332"/>
      <c r="HK97" s="332"/>
      <c r="HL97" s="332"/>
      <c r="HM97" s="332"/>
      <c r="HN97" s="332"/>
      <c r="HO97" s="332"/>
      <c r="HP97" s="332"/>
    </row>
    <row r="98" spans="1:224" s="322" customFormat="1">
      <c r="A98" s="356">
        <v>16</v>
      </c>
      <c r="B98" s="355" t="s">
        <v>486</v>
      </c>
      <c r="C98" s="286" t="s">
        <v>487</v>
      </c>
      <c r="D98" s="356" t="s">
        <v>433</v>
      </c>
      <c r="E98" s="363"/>
      <c r="F98" s="364">
        <v>37.200000000000003</v>
      </c>
      <c r="G98" s="903"/>
      <c r="H98" s="903"/>
      <c r="I98" s="883"/>
      <c r="J98" s="899"/>
      <c r="K98" s="903"/>
      <c r="L98" s="903"/>
      <c r="M98" s="883">
        <f>SUM(M99:M103)</f>
        <v>0</v>
      </c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  <c r="BZ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65"/>
      <c r="CN98" s="365"/>
      <c r="CO98" s="365"/>
      <c r="CP98" s="365"/>
      <c r="CQ98" s="365"/>
      <c r="CR98" s="365"/>
      <c r="CS98" s="365"/>
      <c r="CT98" s="365"/>
      <c r="CU98" s="365"/>
      <c r="CV98" s="365"/>
      <c r="CW98" s="365"/>
      <c r="CX98" s="365"/>
      <c r="CY98" s="365"/>
      <c r="CZ98" s="365"/>
      <c r="DA98" s="365"/>
      <c r="DB98" s="365"/>
      <c r="DC98" s="365"/>
      <c r="DD98" s="365"/>
      <c r="DE98" s="365"/>
      <c r="DF98" s="365"/>
      <c r="DG98" s="365"/>
      <c r="DH98" s="365"/>
      <c r="DI98" s="365"/>
      <c r="DJ98" s="365"/>
      <c r="DK98" s="365"/>
      <c r="DL98" s="365"/>
      <c r="DM98" s="365"/>
      <c r="DN98" s="365"/>
      <c r="DO98" s="365"/>
      <c r="DP98" s="365"/>
      <c r="DQ98" s="365"/>
      <c r="DR98" s="365"/>
      <c r="DS98" s="365"/>
      <c r="DT98" s="365"/>
      <c r="DU98" s="365"/>
      <c r="DV98" s="365"/>
      <c r="DW98" s="365"/>
      <c r="DX98" s="365"/>
      <c r="DY98" s="365"/>
      <c r="DZ98" s="365"/>
      <c r="EA98" s="365"/>
      <c r="EB98" s="365"/>
      <c r="EC98" s="365"/>
      <c r="ED98" s="365"/>
      <c r="EE98" s="365"/>
      <c r="EF98" s="365"/>
      <c r="EG98" s="365"/>
      <c r="EH98" s="365"/>
      <c r="EI98" s="365"/>
      <c r="EJ98" s="365"/>
      <c r="EK98" s="365"/>
      <c r="EL98" s="365"/>
      <c r="EM98" s="365"/>
      <c r="EN98" s="365"/>
      <c r="EO98" s="365"/>
      <c r="EP98" s="365"/>
      <c r="EQ98" s="365"/>
      <c r="ER98" s="365"/>
      <c r="ES98" s="365"/>
      <c r="ET98" s="365"/>
      <c r="EU98" s="365"/>
      <c r="EV98" s="365"/>
      <c r="EW98" s="365"/>
      <c r="EX98" s="365"/>
      <c r="EY98" s="365"/>
      <c r="EZ98" s="365"/>
      <c r="FA98" s="365"/>
      <c r="FB98" s="365"/>
      <c r="FC98" s="365"/>
      <c r="FD98" s="365"/>
      <c r="FE98" s="365"/>
      <c r="FF98" s="365"/>
      <c r="FG98" s="365"/>
      <c r="FH98" s="365"/>
      <c r="FI98" s="365"/>
      <c r="FJ98" s="365"/>
      <c r="FK98" s="365"/>
      <c r="FL98" s="365"/>
      <c r="FM98" s="365"/>
      <c r="FN98" s="365"/>
      <c r="FO98" s="365"/>
      <c r="FP98" s="365"/>
      <c r="FQ98" s="365"/>
      <c r="FR98" s="365"/>
      <c r="FS98" s="365"/>
      <c r="FT98" s="365"/>
      <c r="FU98" s="365"/>
      <c r="FV98" s="365"/>
      <c r="FW98" s="365"/>
      <c r="FX98" s="365"/>
      <c r="FY98" s="365"/>
      <c r="FZ98" s="365"/>
      <c r="GA98" s="365"/>
      <c r="GB98" s="365"/>
      <c r="GC98" s="365"/>
      <c r="GD98" s="365"/>
      <c r="GE98" s="365"/>
      <c r="GF98" s="365"/>
      <c r="GG98" s="365"/>
      <c r="GH98" s="365"/>
      <c r="GI98" s="365"/>
      <c r="GJ98" s="365"/>
      <c r="GK98" s="365"/>
      <c r="GL98" s="365"/>
      <c r="GM98" s="365"/>
      <c r="GN98" s="365"/>
      <c r="GO98" s="365"/>
      <c r="GP98" s="365"/>
      <c r="GQ98" s="365"/>
      <c r="GR98" s="365"/>
      <c r="GS98" s="365"/>
      <c r="GT98" s="365"/>
      <c r="GU98" s="365"/>
      <c r="GV98" s="365"/>
      <c r="GW98" s="365"/>
      <c r="GX98" s="365"/>
      <c r="GY98" s="365"/>
      <c r="GZ98" s="365"/>
      <c r="HA98" s="347"/>
      <c r="HB98" s="347"/>
      <c r="HC98" s="347"/>
      <c r="HD98" s="347"/>
      <c r="HE98" s="347"/>
      <c r="HF98" s="347"/>
      <c r="HG98" s="347"/>
      <c r="HH98" s="347"/>
      <c r="HI98" s="347"/>
      <c r="HJ98" s="347"/>
      <c r="HK98" s="347"/>
      <c r="HL98" s="347"/>
      <c r="HM98" s="347"/>
      <c r="HN98" s="347"/>
      <c r="HO98" s="347"/>
      <c r="HP98" s="347"/>
    </row>
    <row r="99" spans="1:224" s="322" customFormat="1">
      <c r="A99" s="356"/>
      <c r="B99" s="359"/>
      <c r="C99" s="360" t="s">
        <v>416</v>
      </c>
      <c r="D99" s="361" t="s">
        <v>40</v>
      </c>
      <c r="E99" s="328">
        <f>101/100</f>
        <v>1.01</v>
      </c>
      <c r="F99" s="289">
        <f>F98*E99</f>
        <v>37.572000000000003</v>
      </c>
      <c r="G99" s="893"/>
      <c r="H99" s="893"/>
      <c r="I99" s="890">
        <v>0</v>
      </c>
      <c r="J99" s="884">
        <f>I99*F99</f>
        <v>0</v>
      </c>
      <c r="K99" s="902"/>
      <c r="L99" s="902"/>
      <c r="M99" s="884">
        <f t="shared" si="5"/>
        <v>0</v>
      </c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58"/>
      <c r="BE99" s="358"/>
      <c r="BF99" s="358"/>
      <c r="BG99" s="358"/>
      <c r="BH99" s="358"/>
      <c r="BI99" s="358"/>
      <c r="BJ99" s="358"/>
      <c r="BK99" s="358"/>
      <c r="BL99" s="358"/>
      <c r="BM99" s="358"/>
      <c r="BN99" s="358"/>
      <c r="BO99" s="358"/>
      <c r="BP99" s="358"/>
      <c r="BQ99" s="358"/>
      <c r="BR99" s="358"/>
      <c r="BS99" s="358"/>
      <c r="BT99" s="358"/>
      <c r="BU99" s="358"/>
      <c r="BV99" s="358"/>
      <c r="BW99" s="358"/>
      <c r="BX99" s="358"/>
      <c r="BY99" s="358"/>
      <c r="BZ99" s="358"/>
      <c r="CA99" s="358"/>
      <c r="CB99" s="358"/>
      <c r="CC99" s="358"/>
      <c r="CD99" s="358"/>
      <c r="CE99" s="358"/>
      <c r="CF99" s="358"/>
      <c r="CG99" s="358"/>
      <c r="CH99" s="358"/>
      <c r="CI99" s="358"/>
      <c r="CJ99" s="358"/>
      <c r="CK99" s="358"/>
      <c r="CL99" s="358"/>
      <c r="CM99" s="358"/>
      <c r="CN99" s="358"/>
      <c r="CO99" s="358"/>
      <c r="CP99" s="358"/>
      <c r="CQ99" s="358"/>
      <c r="CR99" s="358"/>
      <c r="CS99" s="358"/>
      <c r="CT99" s="358"/>
      <c r="CU99" s="358"/>
      <c r="CV99" s="358"/>
      <c r="CW99" s="358"/>
      <c r="CX99" s="358"/>
      <c r="CY99" s="358"/>
      <c r="CZ99" s="358"/>
      <c r="DA99" s="358"/>
      <c r="DB99" s="358"/>
      <c r="DC99" s="358"/>
      <c r="DD99" s="358"/>
      <c r="DE99" s="358"/>
      <c r="DF99" s="358"/>
      <c r="DG99" s="358"/>
      <c r="DH99" s="358"/>
      <c r="DI99" s="358"/>
      <c r="DJ99" s="358"/>
      <c r="DK99" s="358"/>
      <c r="DL99" s="358"/>
      <c r="DM99" s="358"/>
      <c r="DN99" s="358"/>
      <c r="DO99" s="358"/>
      <c r="DP99" s="358"/>
      <c r="DQ99" s="358"/>
      <c r="DR99" s="358"/>
      <c r="DS99" s="358"/>
      <c r="DT99" s="358"/>
      <c r="DU99" s="358"/>
      <c r="DV99" s="358"/>
      <c r="DW99" s="358"/>
      <c r="DX99" s="358"/>
      <c r="DY99" s="358"/>
      <c r="DZ99" s="358"/>
      <c r="EA99" s="358"/>
      <c r="EB99" s="358"/>
      <c r="EC99" s="358"/>
      <c r="ED99" s="358"/>
      <c r="EE99" s="358"/>
      <c r="EF99" s="358"/>
      <c r="EG99" s="358"/>
      <c r="EH99" s="358"/>
      <c r="EI99" s="358"/>
      <c r="EJ99" s="358"/>
      <c r="EK99" s="358"/>
      <c r="EL99" s="358"/>
      <c r="EM99" s="358"/>
      <c r="EN99" s="358"/>
      <c r="EO99" s="358"/>
      <c r="EP99" s="358"/>
      <c r="EQ99" s="358"/>
      <c r="ER99" s="358"/>
      <c r="ES99" s="358"/>
      <c r="ET99" s="358"/>
      <c r="EU99" s="358"/>
      <c r="EV99" s="358"/>
      <c r="EW99" s="358"/>
      <c r="EX99" s="358"/>
      <c r="EY99" s="358"/>
      <c r="EZ99" s="358"/>
      <c r="FA99" s="358"/>
      <c r="FB99" s="358"/>
      <c r="FC99" s="358"/>
      <c r="FD99" s="358"/>
      <c r="FE99" s="358"/>
      <c r="FF99" s="358"/>
      <c r="FG99" s="358"/>
      <c r="FH99" s="358"/>
      <c r="FI99" s="358"/>
      <c r="FJ99" s="358"/>
      <c r="FK99" s="358"/>
      <c r="FL99" s="358"/>
      <c r="FM99" s="358"/>
      <c r="FN99" s="358"/>
      <c r="FO99" s="358"/>
      <c r="FP99" s="358"/>
      <c r="FQ99" s="358"/>
      <c r="FR99" s="358"/>
      <c r="FS99" s="358"/>
      <c r="FT99" s="358"/>
      <c r="FU99" s="358"/>
      <c r="FV99" s="358"/>
      <c r="FW99" s="358"/>
      <c r="FX99" s="358"/>
      <c r="FY99" s="358"/>
      <c r="FZ99" s="358"/>
      <c r="GA99" s="358"/>
      <c r="GB99" s="358"/>
      <c r="GC99" s="358"/>
      <c r="GD99" s="358"/>
      <c r="GE99" s="358"/>
      <c r="GF99" s="358"/>
      <c r="GG99" s="358"/>
      <c r="GH99" s="358"/>
      <c r="GI99" s="358"/>
      <c r="GJ99" s="358"/>
      <c r="GK99" s="358"/>
      <c r="GL99" s="358"/>
      <c r="GM99" s="358"/>
      <c r="GN99" s="358"/>
      <c r="GO99" s="358"/>
      <c r="GP99" s="358"/>
      <c r="GQ99" s="358"/>
      <c r="GR99" s="358"/>
      <c r="GS99" s="358"/>
      <c r="GT99" s="358"/>
      <c r="GU99" s="358"/>
      <c r="GV99" s="358"/>
      <c r="GW99" s="358"/>
      <c r="GX99" s="358"/>
      <c r="GY99" s="358"/>
      <c r="GZ99" s="358"/>
      <c r="HA99" s="349"/>
      <c r="HB99" s="349"/>
      <c r="HC99" s="349"/>
      <c r="HD99" s="349"/>
      <c r="HE99" s="349"/>
      <c r="HF99" s="349"/>
      <c r="HG99" s="349"/>
      <c r="HH99" s="349"/>
      <c r="HI99" s="349"/>
      <c r="HJ99" s="349"/>
      <c r="HK99" s="349"/>
      <c r="HL99" s="349"/>
      <c r="HM99" s="349"/>
      <c r="HN99" s="349"/>
      <c r="HO99" s="349"/>
      <c r="HP99" s="349"/>
    </row>
    <row r="100" spans="1:224" s="322" customFormat="1">
      <c r="A100" s="356"/>
      <c r="B100" s="362" t="s">
        <v>461</v>
      </c>
      <c r="C100" s="360" t="s">
        <v>462</v>
      </c>
      <c r="D100" s="361" t="s">
        <v>43</v>
      </c>
      <c r="E100" s="366">
        <f>4.1/100</f>
        <v>4.0999999999999995E-2</v>
      </c>
      <c r="F100" s="289">
        <f>F98*E100</f>
        <v>1.5251999999999999</v>
      </c>
      <c r="G100" s="893"/>
      <c r="H100" s="893"/>
      <c r="I100" s="884"/>
      <c r="J100" s="893"/>
      <c r="K100" s="901">
        <v>0</v>
      </c>
      <c r="L100" s="902">
        <f>K100*F100</f>
        <v>0</v>
      </c>
      <c r="M100" s="884">
        <f t="shared" si="5"/>
        <v>0</v>
      </c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358"/>
      <c r="BF100" s="358"/>
      <c r="BG100" s="358"/>
      <c r="BH100" s="358"/>
      <c r="BI100" s="358"/>
      <c r="BJ100" s="358"/>
      <c r="BK100" s="358"/>
      <c r="BL100" s="358"/>
      <c r="BM100" s="358"/>
      <c r="BN100" s="358"/>
      <c r="BO100" s="358"/>
      <c r="BP100" s="358"/>
      <c r="BQ100" s="358"/>
      <c r="BR100" s="358"/>
      <c r="BS100" s="358"/>
      <c r="BT100" s="358"/>
      <c r="BU100" s="358"/>
      <c r="BV100" s="358"/>
      <c r="BW100" s="358"/>
      <c r="BX100" s="358"/>
      <c r="BY100" s="358"/>
      <c r="BZ100" s="358"/>
      <c r="CA100" s="358"/>
      <c r="CB100" s="358"/>
      <c r="CC100" s="358"/>
      <c r="CD100" s="358"/>
      <c r="CE100" s="358"/>
      <c r="CF100" s="358"/>
      <c r="CG100" s="358"/>
      <c r="CH100" s="358"/>
      <c r="CI100" s="358"/>
      <c r="CJ100" s="358"/>
      <c r="CK100" s="358"/>
      <c r="CL100" s="358"/>
      <c r="CM100" s="358"/>
      <c r="CN100" s="358"/>
      <c r="CO100" s="358"/>
      <c r="CP100" s="358"/>
      <c r="CQ100" s="358"/>
      <c r="CR100" s="358"/>
      <c r="CS100" s="358"/>
      <c r="CT100" s="358"/>
      <c r="CU100" s="358"/>
      <c r="CV100" s="358"/>
      <c r="CW100" s="358"/>
      <c r="CX100" s="358"/>
      <c r="CY100" s="358"/>
      <c r="CZ100" s="358"/>
      <c r="DA100" s="358"/>
      <c r="DB100" s="358"/>
      <c r="DC100" s="358"/>
      <c r="DD100" s="358"/>
      <c r="DE100" s="358"/>
      <c r="DF100" s="358"/>
      <c r="DG100" s="358"/>
      <c r="DH100" s="358"/>
      <c r="DI100" s="358"/>
      <c r="DJ100" s="358"/>
      <c r="DK100" s="358"/>
      <c r="DL100" s="358"/>
      <c r="DM100" s="358"/>
      <c r="DN100" s="358"/>
      <c r="DO100" s="358"/>
      <c r="DP100" s="358"/>
      <c r="DQ100" s="358"/>
      <c r="DR100" s="358"/>
      <c r="DS100" s="358"/>
      <c r="DT100" s="358"/>
      <c r="DU100" s="358"/>
      <c r="DV100" s="358"/>
      <c r="DW100" s="358"/>
      <c r="DX100" s="358"/>
      <c r="DY100" s="358"/>
      <c r="DZ100" s="358"/>
      <c r="EA100" s="358"/>
      <c r="EB100" s="358"/>
      <c r="EC100" s="358"/>
      <c r="ED100" s="358"/>
      <c r="EE100" s="358"/>
      <c r="EF100" s="358"/>
      <c r="EG100" s="358"/>
      <c r="EH100" s="358"/>
      <c r="EI100" s="358"/>
      <c r="EJ100" s="358"/>
      <c r="EK100" s="358"/>
      <c r="EL100" s="358"/>
      <c r="EM100" s="358"/>
      <c r="EN100" s="358"/>
      <c r="EO100" s="358"/>
      <c r="EP100" s="358"/>
      <c r="EQ100" s="358"/>
      <c r="ER100" s="358"/>
      <c r="ES100" s="358"/>
      <c r="ET100" s="358"/>
      <c r="EU100" s="358"/>
      <c r="EV100" s="358"/>
      <c r="EW100" s="358"/>
      <c r="EX100" s="358"/>
      <c r="EY100" s="358"/>
      <c r="EZ100" s="358"/>
      <c r="FA100" s="358"/>
      <c r="FB100" s="358"/>
      <c r="FC100" s="358"/>
      <c r="FD100" s="358"/>
      <c r="FE100" s="358"/>
      <c r="FF100" s="358"/>
      <c r="FG100" s="358"/>
      <c r="FH100" s="358"/>
      <c r="FI100" s="358"/>
      <c r="FJ100" s="358"/>
      <c r="FK100" s="358"/>
      <c r="FL100" s="358"/>
      <c r="FM100" s="358"/>
      <c r="FN100" s="358"/>
      <c r="FO100" s="358"/>
      <c r="FP100" s="358"/>
      <c r="FQ100" s="358"/>
      <c r="FR100" s="358"/>
      <c r="FS100" s="358"/>
      <c r="FT100" s="358"/>
      <c r="FU100" s="358"/>
      <c r="FV100" s="358"/>
      <c r="FW100" s="358"/>
      <c r="FX100" s="358"/>
      <c r="FY100" s="358"/>
      <c r="FZ100" s="358"/>
      <c r="GA100" s="358"/>
      <c r="GB100" s="358"/>
      <c r="GC100" s="358"/>
      <c r="GD100" s="358"/>
      <c r="GE100" s="358"/>
      <c r="GF100" s="358"/>
      <c r="GG100" s="358"/>
      <c r="GH100" s="358"/>
      <c r="GI100" s="358"/>
      <c r="GJ100" s="358"/>
      <c r="GK100" s="358"/>
      <c r="GL100" s="358"/>
      <c r="GM100" s="358"/>
      <c r="GN100" s="358"/>
      <c r="GO100" s="358"/>
      <c r="GP100" s="358"/>
      <c r="GQ100" s="358"/>
      <c r="GR100" s="358"/>
      <c r="GS100" s="358"/>
      <c r="GT100" s="358"/>
      <c r="GU100" s="358"/>
      <c r="GV100" s="358"/>
      <c r="GW100" s="358"/>
      <c r="GX100" s="358"/>
      <c r="GY100" s="358"/>
      <c r="GZ100" s="358"/>
      <c r="HA100" s="349"/>
      <c r="HB100" s="349"/>
      <c r="HC100" s="349"/>
      <c r="HD100" s="349"/>
      <c r="HE100" s="349"/>
      <c r="HF100" s="349"/>
      <c r="HG100" s="349"/>
      <c r="HH100" s="349"/>
      <c r="HI100" s="349"/>
      <c r="HJ100" s="349"/>
      <c r="HK100" s="349"/>
      <c r="HL100" s="349"/>
      <c r="HM100" s="349"/>
      <c r="HN100" s="349"/>
      <c r="HO100" s="349"/>
      <c r="HP100" s="349"/>
    </row>
    <row r="101" spans="1:224" s="322" customFormat="1">
      <c r="A101" s="356"/>
      <c r="B101" s="362" t="s">
        <v>463</v>
      </c>
      <c r="C101" s="360" t="s">
        <v>464</v>
      </c>
      <c r="D101" s="361" t="s">
        <v>25</v>
      </c>
      <c r="E101" s="366">
        <f>(2.12+0.26)/100</f>
        <v>2.3799999999999998E-2</v>
      </c>
      <c r="F101" s="289">
        <f>F98*E101</f>
        <v>0.88536000000000004</v>
      </c>
      <c r="G101" s="901">
        <v>0</v>
      </c>
      <c r="H101" s="884">
        <f>G101*F101</f>
        <v>0</v>
      </c>
      <c r="I101" s="884"/>
      <c r="J101" s="884"/>
      <c r="K101" s="902"/>
      <c r="L101" s="902"/>
      <c r="M101" s="884">
        <f t="shared" si="5"/>
        <v>0</v>
      </c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358"/>
      <c r="AG101" s="358"/>
      <c r="AH101" s="358"/>
      <c r="AI101" s="358"/>
      <c r="AJ101" s="358"/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D101" s="358"/>
      <c r="BE101" s="358"/>
      <c r="BF101" s="358"/>
      <c r="BG101" s="358"/>
      <c r="BH101" s="358"/>
      <c r="BI101" s="358"/>
      <c r="BJ101" s="358"/>
      <c r="BK101" s="358"/>
      <c r="BL101" s="358"/>
      <c r="BM101" s="358"/>
      <c r="BN101" s="358"/>
      <c r="BO101" s="358"/>
      <c r="BP101" s="358"/>
      <c r="BQ101" s="358"/>
      <c r="BR101" s="358"/>
      <c r="BS101" s="358"/>
      <c r="BT101" s="358"/>
      <c r="BU101" s="358"/>
      <c r="BV101" s="358"/>
      <c r="BW101" s="358"/>
      <c r="BX101" s="358"/>
      <c r="BY101" s="358"/>
      <c r="BZ101" s="358"/>
      <c r="CA101" s="358"/>
      <c r="CB101" s="358"/>
      <c r="CC101" s="358"/>
      <c r="CD101" s="358"/>
      <c r="CE101" s="358"/>
      <c r="CF101" s="358"/>
      <c r="CG101" s="358"/>
      <c r="CH101" s="358"/>
      <c r="CI101" s="358"/>
      <c r="CJ101" s="358"/>
      <c r="CK101" s="358"/>
      <c r="CL101" s="358"/>
      <c r="CM101" s="358"/>
      <c r="CN101" s="358"/>
      <c r="CO101" s="358"/>
      <c r="CP101" s="358"/>
      <c r="CQ101" s="358"/>
      <c r="CR101" s="358"/>
      <c r="CS101" s="358"/>
      <c r="CT101" s="358"/>
      <c r="CU101" s="358"/>
      <c r="CV101" s="358"/>
      <c r="CW101" s="358"/>
      <c r="CX101" s="358"/>
      <c r="CY101" s="358"/>
      <c r="CZ101" s="358"/>
      <c r="DA101" s="358"/>
      <c r="DB101" s="358"/>
      <c r="DC101" s="358"/>
      <c r="DD101" s="358"/>
      <c r="DE101" s="358"/>
      <c r="DF101" s="358"/>
      <c r="DG101" s="358"/>
      <c r="DH101" s="358"/>
      <c r="DI101" s="358"/>
      <c r="DJ101" s="358"/>
      <c r="DK101" s="358"/>
      <c r="DL101" s="358"/>
      <c r="DM101" s="358"/>
      <c r="DN101" s="358"/>
      <c r="DO101" s="358"/>
      <c r="DP101" s="358"/>
      <c r="DQ101" s="358"/>
      <c r="DR101" s="358"/>
      <c r="DS101" s="358"/>
      <c r="DT101" s="358"/>
      <c r="DU101" s="358"/>
      <c r="DV101" s="358"/>
      <c r="DW101" s="358"/>
      <c r="DX101" s="358"/>
      <c r="DY101" s="358"/>
      <c r="DZ101" s="358"/>
      <c r="EA101" s="358"/>
      <c r="EB101" s="358"/>
      <c r="EC101" s="358"/>
      <c r="ED101" s="358"/>
      <c r="EE101" s="358"/>
      <c r="EF101" s="358"/>
      <c r="EG101" s="358"/>
      <c r="EH101" s="358"/>
      <c r="EI101" s="358"/>
      <c r="EJ101" s="358"/>
      <c r="EK101" s="358"/>
      <c r="EL101" s="358"/>
      <c r="EM101" s="358"/>
      <c r="EN101" s="358"/>
      <c r="EO101" s="358"/>
      <c r="EP101" s="358"/>
      <c r="EQ101" s="358"/>
      <c r="ER101" s="358"/>
      <c r="ES101" s="358"/>
      <c r="ET101" s="358"/>
      <c r="EU101" s="358"/>
      <c r="EV101" s="358"/>
      <c r="EW101" s="358"/>
      <c r="EX101" s="358"/>
      <c r="EY101" s="358"/>
      <c r="EZ101" s="358"/>
      <c r="FA101" s="358"/>
      <c r="FB101" s="358"/>
      <c r="FC101" s="358"/>
      <c r="FD101" s="358"/>
      <c r="FE101" s="358"/>
      <c r="FF101" s="358"/>
      <c r="FG101" s="358"/>
      <c r="FH101" s="358"/>
      <c r="FI101" s="358"/>
      <c r="FJ101" s="358"/>
      <c r="FK101" s="358"/>
      <c r="FL101" s="358"/>
      <c r="FM101" s="358"/>
      <c r="FN101" s="358"/>
      <c r="FO101" s="358"/>
      <c r="FP101" s="358"/>
      <c r="FQ101" s="358"/>
      <c r="FR101" s="358"/>
      <c r="FS101" s="358"/>
      <c r="FT101" s="358"/>
      <c r="FU101" s="358"/>
      <c r="FV101" s="358"/>
      <c r="FW101" s="358"/>
      <c r="FX101" s="358"/>
      <c r="FY101" s="358"/>
      <c r="FZ101" s="358"/>
      <c r="GA101" s="358"/>
      <c r="GB101" s="358"/>
      <c r="GC101" s="358"/>
      <c r="GD101" s="358"/>
      <c r="GE101" s="358"/>
      <c r="GF101" s="358"/>
      <c r="GG101" s="358"/>
      <c r="GH101" s="358"/>
      <c r="GI101" s="358"/>
      <c r="GJ101" s="358"/>
      <c r="GK101" s="358"/>
      <c r="GL101" s="358"/>
      <c r="GM101" s="358"/>
      <c r="GN101" s="358"/>
      <c r="GO101" s="358"/>
      <c r="GP101" s="358"/>
      <c r="GQ101" s="358"/>
      <c r="GR101" s="358"/>
      <c r="GS101" s="358"/>
      <c r="GT101" s="358"/>
      <c r="GU101" s="358"/>
      <c r="GV101" s="358"/>
      <c r="GW101" s="358"/>
      <c r="GX101" s="358"/>
      <c r="GY101" s="358"/>
      <c r="GZ101" s="358"/>
      <c r="HA101" s="349"/>
      <c r="HB101" s="349"/>
      <c r="HC101" s="349"/>
      <c r="HD101" s="349"/>
      <c r="HE101" s="349"/>
      <c r="HF101" s="349"/>
      <c r="HG101" s="349"/>
      <c r="HH101" s="349"/>
      <c r="HI101" s="349"/>
      <c r="HJ101" s="349"/>
      <c r="HK101" s="349"/>
      <c r="HL101" s="349"/>
      <c r="HM101" s="349"/>
      <c r="HN101" s="349"/>
      <c r="HO101" s="349"/>
      <c r="HP101" s="349"/>
    </row>
    <row r="102" spans="1:224" s="322" customFormat="1">
      <c r="A102" s="356"/>
      <c r="B102" s="359"/>
      <c r="C102" s="360" t="s">
        <v>453</v>
      </c>
      <c r="D102" s="361" t="s">
        <v>417</v>
      </c>
      <c r="E102" s="366">
        <f>2.7/100</f>
        <v>2.7000000000000003E-2</v>
      </c>
      <c r="F102" s="289">
        <f>F98*E102</f>
        <v>1.0044000000000002</v>
      </c>
      <c r="G102" s="893"/>
      <c r="H102" s="893"/>
      <c r="I102" s="884"/>
      <c r="J102" s="893"/>
      <c r="K102" s="901">
        <v>0</v>
      </c>
      <c r="L102" s="902">
        <f>K102*F102</f>
        <v>0</v>
      </c>
      <c r="M102" s="884">
        <f t="shared" si="5"/>
        <v>0</v>
      </c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  <c r="AJ102" s="358"/>
      <c r="AK102" s="358"/>
      <c r="AL102" s="358"/>
      <c r="AM102" s="358"/>
      <c r="AN102" s="358"/>
      <c r="AO102" s="358"/>
      <c r="AP102" s="358"/>
      <c r="AQ102" s="358"/>
      <c r="AR102" s="358"/>
      <c r="AS102" s="358"/>
      <c r="AT102" s="358"/>
      <c r="AU102" s="358"/>
      <c r="AV102" s="358"/>
      <c r="AW102" s="358"/>
      <c r="AX102" s="358"/>
      <c r="AY102" s="358"/>
      <c r="AZ102" s="358"/>
      <c r="BA102" s="358"/>
      <c r="BB102" s="358"/>
      <c r="BC102" s="358"/>
      <c r="BD102" s="358"/>
      <c r="BE102" s="358"/>
      <c r="BF102" s="358"/>
      <c r="BG102" s="358"/>
      <c r="BH102" s="358"/>
      <c r="BI102" s="358"/>
      <c r="BJ102" s="358"/>
      <c r="BK102" s="358"/>
      <c r="BL102" s="358"/>
      <c r="BM102" s="358"/>
      <c r="BN102" s="358"/>
      <c r="BO102" s="358"/>
      <c r="BP102" s="358"/>
      <c r="BQ102" s="358"/>
      <c r="BR102" s="358"/>
      <c r="BS102" s="358"/>
      <c r="BT102" s="358"/>
      <c r="BU102" s="358"/>
      <c r="BV102" s="358"/>
      <c r="BW102" s="358"/>
      <c r="BX102" s="358"/>
      <c r="BY102" s="358"/>
      <c r="BZ102" s="358"/>
      <c r="CA102" s="358"/>
      <c r="CB102" s="358"/>
      <c r="CC102" s="358"/>
      <c r="CD102" s="358"/>
      <c r="CE102" s="358"/>
      <c r="CF102" s="358"/>
      <c r="CG102" s="358"/>
      <c r="CH102" s="358"/>
      <c r="CI102" s="358"/>
      <c r="CJ102" s="358"/>
      <c r="CK102" s="358"/>
      <c r="CL102" s="358"/>
      <c r="CM102" s="358"/>
      <c r="CN102" s="358"/>
      <c r="CO102" s="358"/>
      <c r="CP102" s="358"/>
      <c r="CQ102" s="358"/>
      <c r="CR102" s="358"/>
      <c r="CS102" s="358"/>
      <c r="CT102" s="358"/>
      <c r="CU102" s="358"/>
      <c r="CV102" s="358"/>
      <c r="CW102" s="358"/>
      <c r="CX102" s="358"/>
      <c r="CY102" s="358"/>
      <c r="CZ102" s="358"/>
      <c r="DA102" s="358"/>
      <c r="DB102" s="358"/>
      <c r="DC102" s="358"/>
      <c r="DD102" s="358"/>
      <c r="DE102" s="358"/>
      <c r="DF102" s="358"/>
      <c r="DG102" s="358"/>
      <c r="DH102" s="358"/>
      <c r="DI102" s="358"/>
      <c r="DJ102" s="358"/>
      <c r="DK102" s="358"/>
      <c r="DL102" s="358"/>
      <c r="DM102" s="358"/>
      <c r="DN102" s="358"/>
      <c r="DO102" s="358"/>
      <c r="DP102" s="358"/>
      <c r="DQ102" s="358"/>
      <c r="DR102" s="358"/>
      <c r="DS102" s="358"/>
      <c r="DT102" s="358"/>
      <c r="DU102" s="358"/>
      <c r="DV102" s="358"/>
      <c r="DW102" s="358"/>
      <c r="DX102" s="358"/>
      <c r="DY102" s="358"/>
      <c r="DZ102" s="358"/>
      <c r="EA102" s="358"/>
      <c r="EB102" s="358"/>
      <c r="EC102" s="358"/>
      <c r="ED102" s="358"/>
      <c r="EE102" s="358"/>
      <c r="EF102" s="358"/>
      <c r="EG102" s="358"/>
      <c r="EH102" s="358"/>
      <c r="EI102" s="358"/>
      <c r="EJ102" s="358"/>
      <c r="EK102" s="358"/>
      <c r="EL102" s="358"/>
      <c r="EM102" s="358"/>
      <c r="EN102" s="358"/>
      <c r="EO102" s="358"/>
      <c r="EP102" s="358"/>
      <c r="EQ102" s="358"/>
      <c r="ER102" s="358"/>
      <c r="ES102" s="358"/>
      <c r="ET102" s="358"/>
      <c r="EU102" s="358"/>
      <c r="EV102" s="358"/>
      <c r="EW102" s="358"/>
      <c r="EX102" s="358"/>
      <c r="EY102" s="358"/>
      <c r="EZ102" s="358"/>
      <c r="FA102" s="358"/>
      <c r="FB102" s="358"/>
      <c r="FC102" s="358"/>
      <c r="FD102" s="358"/>
      <c r="FE102" s="358"/>
      <c r="FF102" s="358"/>
      <c r="FG102" s="358"/>
      <c r="FH102" s="358"/>
      <c r="FI102" s="358"/>
      <c r="FJ102" s="358"/>
      <c r="FK102" s="358"/>
      <c r="FL102" s="358"/>
      <c r="FM102" s="358"/>
      <c r="FN102" s="358"/>
      <c r="FO102" s="358"/>
      <c r="FP102" s="358"/>
      <c r="FQ102" s="358"/>
      <c r="FR102" s="358"/>
      <c r="FS102" s="358"/>
      <c r="FT102" s="358"/>
      <c r="FU102" s="358"/>
      <c r="FV102" s="358"/>
      <c r="FW102" s="358"/>
      <c r="FX102" s="358"/>
      <c r="FY102" s="358"/>
      <c r="FZ102" s="358"/>
      <c r="GA102" s="358"/>
      <c r="GB102" s="358"/>
      <c r="GC102" s="358"/>
      <c r="GD102" s="358"/>
      <c r="GE102" s="358"/>
      <c r="GF102" s="358"/>
      <c r="GG102" s="358"/>
      <c r="GH102" s="358"/>
      <c r="GI102" s="358"/>
      <c r="GJ102" s="358"/>
      <c r="GK102" s="358"/>
      <c r="GL102" s="358"/>
      <c r="GM102" s="358"/>
      <c r="GN102" s="358"/>
      <c r="GO102" s="358"/>
      <c r="GP102" s="358"/>
      <c r="GQ102" s="358"/>
      <c r="GR102" s="358"/>
      <c r="GS102" s="358"/>
      <c r="GT102" s="358"/>
      <c r="GU102" s="358"/>
      <c r="GV102" s="358"/>
      <c r="GW102" s="358"/>
      <c r="GX102" s="358"/>
      <c r="GY102" s="358"/>
      <c r="GZ102" s="358"/>
      <c r="HA102" s="349"/>
      <c r="HB102" s="349"/>
      <c r="HC102" s="349"/>
      <c r="HD102" s="349"/>
      <c r="HE102" s="349"/>
      <c r="HF102" s="349"/>
      <c r="HG102" s="349"/>
      <c r="HH102" s="349"/>
      <c r="HI102" s="349"/>
      <c r="HJ102" s="349"/>
      <c r="HK102" s="349"/>
      <c r="HL102" s="349"/>
      <c r="HM102" s="349"/>
      <c r="HN102" s="349"/>
      <c r="HO102" s="349"/>
      <c r="HP102" s="349"/>
    </row>
    <row r="103" spans="1:224" s="322" customFormat="1">
      <c r="A103" s="361"/>
      <c r="B103" s="362"/>
      <c r="C103" s="360" t="s">
        <v>458</v>
      </c>
      <c r="D103" s="361" t="s">
        <v>417</v>
      </c>
      <c r="E103" s="366">
        <f>0.3/100</f>
        <v>3.0000000000000001E-3</v>
      </c>
      <c r="F103" s="329">
        <f>F98*E103</f>
        <v>0.1116</v>
      </c>
      <c r="G103" s="901">
        <v>0</v>
      </c>
      <c r="H103" s="884">
        <f>G103*F103</f>
        <v>0</v>
      </c>
      <c r="I103" s="884"/>
      <c r="J103" s="884"/>
      <c r="K103" s="902"/>
      <c r="L103" s="902"/>
      <c r="M103" s="884">
        <f t="shared" si="5"/>
        <v>0</v>
      </c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58"/>
      <c r="BE103" s="358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 s="358"/>
      <c r="BP103" s="358"/>
      <c r="BQ103" s="358"/>
      <c r="BR103" s="358"/>
      <c r="BS103" s="358"/>
      <c r="BT103" s="358"/>
      <c r="BU103" s="358"/>
      <c r="BV103" s="358"/>
      <c r="BW103" s="358"/>
      <c r="BX103" s="358"/>
      <c r="BY103" s="358"/>
      <c r="BZ103" s="358"/>
      <c r="CA103" s="358"/>
      <c r="CB103" s="358"/>
      <c r="CC103" s="358"/>
      <c r="CD103" s="358"/>
      <c r="CE103" s="358"/>
      <c r="CF103" s="358"/>
      <c r="CG103" s="358"/>
      <c r="CH103" s="358"/>
      <c r="CI103" s="358"/>
      <c r="CJ103" s="358"/>
      <c r="CK103" s="358"/>
      <c r="CL103" s="358"/>
      <c r="CM103" s="358"/>
      <c r="CN103" s="358"/>
      <c r="CO103" s="358"/>
      <c r="CP103" s="358"/>
      <c r="CQ103" s="358"/>
      <c r="CR103" s="358"/>
      <c r="CS103" s="358"/>
      <c r="CT103" s="358"/>
      <c r="CU103" s="358"/>
      <c r="CV103" s="358"/>
      <c r="CW103" s="358"/>
      <c r="CX103" s="358"/>
      <c r="CY103" s="358"/>
      <c r="CZ103" s="358"/>
      <c r="DA103" s="358"/>
      <c r="DB103" s="358"/>
      <c r="DC103" s="358"/>
      <c r="DD103" s="358"/>
      <c r="DE103" s="358"/>
      <c r="DF103" s="358"/>
      <c r="DG103" s="358"/>
      <c r="DH103" s="358"/>
      <c r="DI103" s="358"/>
      <c r="DJ103" s="358"/>
      <c r="DK103" s="358"/>
      <c r="DL103" s="358"/>
      <c r="DM103" s="358"/>
      <c r="DN103" s="358"/>
      <c r="DO103" s="358"/>
      <c r="DP103" s="358"/>
      <c r="DQ103" s="358"/>
      <c r="DR103" s="358"/>
      <c r="DS103" s="358"/>
      <c r="DT103" s="358"/>
      <c r="DU103" s="358"/>
      <c r="DV103" s="358"/>
      <c r="DW103" s="358"/>
      <c r="DX103" s="358"/>
      <c r="DY103" s="358"/>
      <c r="DZ103" s="358"/>
      <c r="EA103" s="358"/>
      <c r="EB103" s="358"/>
      <c r="EC103" s="358"/>
      <c r="ED103" s="358"/>
      <c r="EE103" s="358"/>
      <c r="EF103" s="358"/>
      <c r="EG103" s="358"/>
      <c r="EH103" s="358"/>
      <c r="EI103" s="358"/>
      <c r="EJ103" s="358"/>
      <c r="EK103" s="358"/>
      <c r="EL103" s="358"/>
      <c r="EM103" s="358"/>
      <c r="EN103" s="358"/>
      <c r="EO103" s="358"/>
      <c r="EP103" s="358"/>
      <c r="EQ103" s="358"/>
      <c r="ER103" s="358"/>
      <c r="ES103" s="358"/>
      <c r="ET103" s="358"/>
      <c r="EU103" s="358"/>
      <c r="EV103" s="358"/>
      <c r="EW103" s="358"/>
      <c r="EX103" s="358"/>
      <c r="EY103" s="358"/>
      <c r="EZ103" s="358"/>
      <c r="FA103" s="358"/>
      <c r="FB103" s="358"/>
      <c r="FC103" s="358"/>
      <c r="FD103" s="358"/>
      <c r="FE103" s="358"/>
      <c r="FF103" s="358"/>
      <c r="FG103" s="358"/>
      <c r="FH103" s="358"/>
      <c r="FI103" s="358"/>
      <c r="FJ103" s="358"/>
      <c r="FK103" s="358"/>
      <c r="FL103" s="358"/>
      <c r="FM103" s="358"/>
      <c r="FN103" s="358"/>
      <c r="FO103" s="358"/>
      <c r="FP103" s="358"/>
      <c r="FQ103" s="358"/>
      <c r="FR103" s="358"/>
      <c r="FS103" s="358"/>
      <c r="FT103" s="358"/>
      <c r="FU103" s="358"/>
      <c r="FV103" s="358"/>
      <c r="FW103" s="358"/>
      <c r="FX103" s="358"/>
      <c r="FY103" s="358"/>
      <c r="FZ103" s="358"/>
      <c r="GA103" s="358"/>
      <c r="GB103" s="358"/>
      <c r="GC103" s="358"/>
      <c r="GD103" s="358"/>
      <c r="GE103" s="358"/>
      <c r="GF103" s="358"/>
      <c r="GG103" s="358"/>
      <c r="GH103" s="358"/>
      <c r="GI103" s="358"/>
      <c r="GJ103" s="358"/>
      <c r="GK103" s="358"/>
      <c r="GL103" s="358"/>
      <c r="GM103" s="358"/>
      <c r="GN103" s="358"/>
      <c r="GO103" s="358"/>
      <c r="GP103" s="358"/>
      <c r="GQ103" s="358"/>
      <c r="GR103" s="358"/>
      <c r="GS103" s="358"/>
      <c r="GT103" s="358"/>
      <c r="GU103" s="358"/>
      <c r="GV103" s="358"/>
      <c r="GW103" s="358"/>
      <c r="GX103" s="358"/>
      <c r="GY103" s="358"/>
      <c r="GZ103" s="358"/>
      <c r="HA103" s="349"/>
      <c r="HB103" s="349"/>
      <c r="HC103" s="349"/>
      <c r="HD103" s="349"/>
      <c r="HE103" s="349"/>
      <c r="HF103" s="349"/>
      <c r="HG103" s="349"/>
      <c r="HH103" s="349"/>
      <c r="HI103" s="349"/>
      <c r="HJ103" s="349"/>
      <c r="HK103" s="349"/>
      <c r="HL103" s="349"/>
      <c r="HM103" s="349"/>
      <c r="HN103" s="349"/>
      <c r="HO103" s="349"/>
      <c r="HP103" s="349"/>
    </row>
    <row r="104" spans="1:224" s="322" customFormat="1">
      <c r="A104" s="282">
        <v>17</v>
      </c>
      <c r="B104" s="359" t="s">
        <v>488</v>
      </c>
      <c r="C104" s="286" t="s">
        <v>489</v>
      </c>
      <c r="D104" s="284" t="s">
        <v>433</v>
      </c>
      <c r="E104" s="283"/>
      <c r="F104" s="364">
        <f>F98</f>
        <v>37.200000000000003</v>
      </c>
      <c r="G104" s="883"/>
      <c r="H104" s="883"/>
      <c r="I104" s="883"/>
      <c r="J104" s="883"/>
      <c r="K104" s="883"/>
      <c r="L104" s="883"/>
      <c r="M104" s="883">
        <f>SUM(M105:M109)</f>
        <v>0</v>
      </c>
    </row>
    <row r="105" spans="1:224" s="322" customFormat="1">
      <c r="A105" s="356"/>
      <c r="B105" s="359"/>
      <c r="C105" s="360" t="s">
        <v>416</v>
      </c>
      <c r="D105" s="361" t="s">
        <v>40</v>
      </c>
      <c r="E105" s="333">
        <f>65.8/100</f>
        <v>0.65799999999999992</v>
      </c>
      <c r="F105" s="289">
        <f>F104*E105</f>
        <v>24.477599999999999</v>
      </c>
      <c r="G105" s="884"/>
      <c r="H105" s="884"/>
      <c r="I105" s="890">
        <v>0</v>
      </c>
      <c r="J105" s="884">
        <f>F105*I105</f>
        <v>0</v>
      </c>
      <c r="K105" s="884"/>
      <c r="L105" s="884"/>
      <c r="M105" s="884">
        <f t="shared" si="5"/>
        <v>0</v>
      </c>
    </row>
    <row r="106" spans="1:224" s="322" customFormat="1">
      <c r="A106" s="282"/>
      <c r="B106" s="331" t="s">
        <v>467</v>
      </c>
      <c r="C106" s="368" t="s">
        <v>468</v>
      </c>
      <c r="D106" s="361" t="s">
        <v>449</v>
      </c>
      <c r="E106" s="289">
        <f>63/100</f>
        <v>0.63</v>
      </c>
      <c r="F106" s="289">
        <f>F104*E106</f>
        <v>23.436000000000003</v>
      </c>
      <c r="G106" s="901">
        <v>0</v>
      </c>
      <c r="H106" s="884">
        <f>G106*F106</f>
        <v>0</v>
      </c>
      <c r="I106" s="884"/>
      <c r="J106" s="884"/>
      <c r="K106" s="884"/>
      <c r="L106" s="884"/>
      <c r="M106" s="884">
        <f t="shared" si="5"/>
        <v>0</v>
      </c>
    </row>
    <row r="107" spans="1:224" s="322" customFormat="1">
      <c r="A107" s="282"/>
      <c r="B107" s="331" t="s">
        <v>469</v>
      </c>
      <c r="C107" s="360" t="s">
        <v>470</v>
      </c>
      <c r="D107" s="361" t="s">
        <v>449</v>
      </c>
      <c r="E107" s="289">
        <f>79/100</f>
        <v>0.79</v>
      </c>
      <c r="F107" s="289">
        <f>F104*E107</f>
        <v>29.388000000000005</v>
      </c>
      <c r="G107" s="901">
        <v>0</v>
      </c>
      <c r="H107" s="884">
        <f>G107*F107</f>
        <v>0</v>
      </c>
      <c r="I107" s="884"/>
      <c r="J107" s="884"/>
      <c r="K107" s="884"/>
      <c r="L107" s="884"/>
      <c r="M107" s="884">
        <f t="shared" si="5"/>
        <v>0</v>
      </c>
    </row>
    <row r="108" spans="1:224" s="322" customFormat="1">
      <c r="A108" s="282"/>
      <c r="B108" s="331"/>
      <c r="C108" s="360" t="s">
        <v>453</v>
      </c>
      <c r="D108" s="361" t="s">
        <v>417</v>
      </c>
      <c r="E108" s="289">
        <f>1/100</f>
        <v>0.01</v>
      </c>
      <c r="F108" s="289">
        <f>F104*E108</f>
        <v>0.37200000000000005</v>
      </c>
      <c r="G108" s="884"/>
      <c r="H108" s="884"/>
      <c r="I108" s="884"/>
      <c r="J108" s="884"/>
      <c r="K108" s="884">
        <v>0</v>
      </c>
      <c r="L108" s="884">
        <f>F108*K108</f>
        <v>0</v>
      </c>
      <c r="M108" s="884">
        <f t="shared" si="5"/>
        <v>0</v>
      </c>
    </row>
    <row r="109" spans="1:224" s="322" customFormat="1">
      <c r="A109" s="369"/>
      <c r="B109" s="362"/>
      <c r="C109" s="360" t="s">
        <v>458</v>
      </c>
      <c r="D109" s="361" t="s">
        <v>417</v>
      </c>
      <c r="E109" s="333">
        <f>1.6/100</f>
        <v>1.6E-2</v>
      </c>
      <c r="F109" s="289">
        <f>F104*E109</f>
        <v>0.59520000000000006</v>
      </c>
      <c r="G109" s="884">
        <v>0</v>
      </c>
      <c r="H109" s="884">
        <f>G109*F109</f>
        <v>0</v>
      </c>
      <c r="I109" s="884"/>
      <c r="J109" s="884"/>
      <c r="K109" s="884"/>
      <c r="L109" s="884"/>
      <c r="M109" s="884">
        <f t="shared" si="5"/>
        <v>0</v>
      </c>
    </row>
    <row r="110" spans="1:224" s="322" customFormat="1">
      <c r="A110" s="356">
        <v>18</v>
      </c>
      <c r="B110" s="359" t="s">
        <v>486</v>
      </c>
      <c r="C110" s="345" t="s">
        <v>490</v>
      </c>
      <c r="D110" s="356" t="s">
        <v>433</v>
      </c>
      <c r="E110" s="363"/>
      <c r="F110" s="364">
        <v>42</v>
      </c>
      <c r="G110" s="903"/>
      <c r="H110" s="903"/>
      <c r="I110" s="883"/>
      <c r="J110" s="899"/>
      <c r="K110" s="903"/>
      <c r="L110" s="903"/>
      <c r="M110" s="883">
        <f>SUM(M111:M115)</f>
        <v>0</v>
      </c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365"/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65"/>
      <c r="CM110" s="365"/>
      <c r="CN110" s="365"/>
      <c r="CO110" s="365"/>
      <c r="CP110" s="365"/>
      <c r="CQ110" s="365"/>
      <c r="CR110" s="365"/>
      <c r="CS110" s="365"/>
      <c r="CT110" s="365"/>
      <c r="CU110" s="365"/>
      <c r="CV110" s="365"/>
      <c r="CW110" s="365"/>
      <c r="CX110" s="365"/>
      <c r="CY110" s="365"/>
      <c r="CZ110" s="365"/>
      <c r="DA110" s="365"/>
      <c r="DB110" s="365"/>
      <c r="DC110" s="365"/>
      <c r="DD110" s="365"/>
      <c r="DE110" s="365"/>
      <c r="DF110" s="365"/>
      <c r="DG110" s="365"/>
      <c r="DH110" s="365"/>
      <c r="DI110" s="365"/>
      <c r="DJ110" s="365"/>
      <c r="DK110" s="365"/>
      <c r="DL110" s="365"/>
      <c r="DM110" s="365"/>
      <c r="DN110" s="365"/>
      <c r="DO110" s="365"/>
      <c r="DP110" s="365"/>
      <c r="DQ110" s="365"/>
      <c r="DR110" s="365"/>
      <c r="DS110" s="365"/>
      <c r="DT110" s="365"/>
      <c r="DU110" s="365"/>
      <c r="DV110" s="365"/>
      <c r="DW110" s="365"/>
      <c r="DX110" s="365"/>
      <c r="DY110" s="365"/>
      <c r="DZ110" s="365"/>
      <c r="EA110" s="365"/>
      <c r="EB110" s="365"/>
      <c r="EC110" s="365"/>
      <c r="ED110" s="365"/>
      <c r="EE110" s="365"/>
      <c r="EF110" s="365"/>
      <c r="EG110" s="365"/>
      <c r="EH110" s="365"/>
      <c r="EI110" s="365"/>
      <c r="EJ110" s="365"/>
      <c r="EK110" s="365"/>
      <c r="EL110" s="365"/>
      <c r="EM110" s="365"/>
      <c r="EN110" s="365"/>
      <c r="EO110" s="365"/>
      <c r="EP110" s="365"/>
      <c r="EQ110" s="365"/>
      <c r="ER110" s="365"/>
      <c r="ES110" s="365"/>
      <c r="ET110" s="365"/>
      <c r="EU110" s="365"/>
      <c r="EV110" s="365"/>
      <c r="EW110" s="365"/>
      <c r="EX110" s="365"/>
      <c r="EY110" s="365"/>
      <c r="EZ110" s="365"/>
      <c r="FA110" s="365"/>
      <c r="FB110" s="365"/>
      <c r="FC110" s="365"/>
      <c r="FD110" s="365"/>
      <c r="FE110" s="365"/>
      <c r="FF110" s="365"/>
      <c r="FG110" s="365"/>
      <c r="FH110" s="365"/>
      <c r="FI110" s="365"/>
      <c r="FJ110" s="365"/>
      <c r="FK110" s="365"/>
      <c r="FL110" s="365"/>
      <c r="FM110" s="365"/>
      <c r="FN110" s="365"/>
      <c r="FO110" s="365"/>
      <c r="FP110" s="365"/>
      <c r="FQ110" s="365"/>
      <c r="FR110" s="365"/>
      <c r="FS110" s="365"/>
      <c r="FT110" s="365"/>
      <c r="FU110" s="365"/>
      <c r="FV110" s="365"/>
      <c r="FW110" s="365"/>
      <c r="FX110" s="365"/>
      <c r="FY110" s="365"/>
      <c r="FZ110" s="365"/>
      <c r="GA110" s="365"/>
      <c r="GB110" s="365"/>
      <c r="GC110" s="365"/>
      <c r="GD110" s="365"/>
      <c r="GE110" s="365"/>
      <c r="GF110" s="365"/>
      <c r="GG110" s="365"/>
      <c r="GH110" s="365"/>
      <c r="GI110" s="365"/>
      <c r="GJ110" s="365"/>
      <c r="GK110" s="365"/>
      <c r="GL110" s="365"/>
      <c r="GM110" s="365"/>
      <c r="GN110" s="365"/>
      <c r="GO110" s="365"/>
      <c r="GP110" s="365"/>
      <c r="GQ110" s="365"/>
      <c r="GR110" s="365"/>
      <c r="GS110" s="365"/>
      <c r="GT110" s="365"/>
      <c r="GU110" s="365"/>
      <c r="GV110" s="365"/>
      <c r="GW110" s="365"/>
      <c r="GX110" s="365"/>
      <c r="GY110" s="365"/>
      <c r="GZ110" s="365"/>
      <c r="HA110" s="347"/>
      <c r="HB110" s="347"/>
      <c r="HC110" s="347"/>
      <c r="HD110" s="347"/>
      <c r="HE110" s="347"/>
      <c r="HF110" s="347"/>
      <c r="HG110" s="347"/>
      <c r="HH110" s="347"/>
      <c r="HI110" s="347"/>
      <c r="HJ110" s="347"/>
      <c r="HK110" s="347"/>
      <c r="HL110" s="347"/>
      <c r="HM110" s="347"/>
      <c r="HN110" s="347"/>
      <c r="HO110" s="347"/>
      <c r="HP110" s="347"/>
    </row>
    <row r="111" spans="1:224" s="322" customFormat="1">
      <c r="A111" s="356"/>
      <c r="B111" s="359"/>
      <c r="C111" s="360" t="s">
        <v>416</v>
      </c>
      <c r="D111" s="361" t="s">
        <v>40</v>
      </c>
      <c r="E111" s="328">
        <f>101/100</f>
        <v>1.01</v>
      </c>
      <c r="F111" s="289">
        <f>E111*F110</f>
        <v>42.42</v>
      </c>
      <c r="G111" s="893"/>
      <c r="H111" s="893"/>
      <c r="I111" s="890">
        <v>0</v>
      </c>
      <c r="J111" s="884">
        <f>I111*F111</f>
        <v>0</v>
      </c>
      <c r="K111" s="902"/>
      <c r="L111" s="902"/>
      <c r="M111" s="884">
        <f t="shared" si="5"/>
        <v>0</v>
      </c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358"/>
      <c r="AN111" s="358"/>
      <c r="AO111" s="358"/>
      <c r="AP111" s="358"/>
      <c r="AQ111" s="358"/>
      <c r="AR111" s="358"/>
      <c r="AS111" s="358"/>
      <c r="AT111" s="358"/>
      <c r="AU111" s="358"/>
      <c r="AV111" s="358"/>
      <c r="AW111" s="358"/>
      <c r="AX111" s="358"/>
      <c r="AY111" s="358"/>
      <c r="AZ111" s="358"/>
      <c r="BA111" s="358"/>
      <c r="BB111" s="358"/>
      <c r="BC111" s="358"/>
      <c r="BD111" s="358"/>
      <c r="BE111" s="358"/>
      <c r="BF111" s="358"/>
      <c r="BG111" s="358"/>
      <c r="BH111" s="358"/>
      <c r="BI111" s="358"/>
      <c r="BJ111" s="358"/>
      <c r="BK111" s="358"/>
      <c r="BL111" s="358"/>
      <c r="BM111" s="358"/>
      <c r="BN111" s="358"/>
      <c r="BO111" s="358"/>
      <c r="BP111" s="358"/>
      <c r="BQ111" s="358"/>
      <c r="BR111" s="358"/>
      <c r="BS111" s="358"/>
      <c r="BT111" s="358"/>
      <c r="BU111" s="358"/>
      <c r="BV111" s="358"/>
      <c r="BW111" s="358"/>
      <c r="BX111" s="358"/>
      <c r="BY111" s="358"/>
      <c r="BZ111" s="358"/>
      <c r="CA111" s="358"/>
      <c r="CB111" s="358"/>
      <c r="CC111" s="358"/>
      <c r="CD111" s="358"/>
      <c r="CE111" s="358"/>
      <c r="CF111" s="358"/>
      <c r="CG111" s="358"/>
      <c r="CH111" s="358"/>
      <c r="CI111" s="358"/>
      <c r="CJ111" s="358"/>
      <c r="CK111" s="358"/>
      <c r="CL111" s="358"/>
      <c r="CM111" s="358"/>
      <c r="CN111" s="358"/>
      <c r="CO111" s="358"/>
      <c r="CP111" s="358"/>
      <c r="CQ111" s="358"/>
      <c r="CR111" s="358"/>
      <c r="CS111" s="358"/>
      <c r="CT111" s="358"/>
      <c r="CU111" s="358"/>
      <c r="CV111" s="358"/>
      <c r="CW111" s="358"/>
      <c r="CX111" s="358"/>
      <c r="CY111" s="358"/>
      <c r="CZ111" s="358"/>
      <c r="DA111" s="358"/>
      <c r="DB111" s="358"/>
      <c r="DC111" s="358"/>
      <c r="DD111" s="358"/>
      <c r="DE111" s="358"/>
      <c r="DF111" s="358"/>
      <c r="DG111" s="358"/>
      <c r="DH111" s="358"/>
      <c r="DI111" s="358"/>
      <c r="DJ111" s="358"/>
      <c r="DK111" s="358"/>
      <c r="DL111" s="358"/>
      <c r="DM111" s="358"/>
      <c r="DN111" s="358"/>
      <c r="DO111" s="358"/>
      <c r="DP111" s="358"/>
      <c r="DQ111" s="358"/>
      <c r="DR111" s="358"/>
      <c r="DS111" s="358"/>
      <c r="DT111" s="358"/>
      <c r="DU111" s="358"/>
      <c r="DV111" s="358"/>
      <c r="DW111" s="358"/>
      <c r="DX111" s="358"/>
      <c r="DY111" s="358"/>
      <c r="DZ111" s="358"/>
      <c r="EA111" s="358"/>
      <c r="EB111" s="358"/>
      <c r="EC111" s="358"/>
      <c r="ED111" s="358"/>
      <c r="EE111" s="358"/>
      <c r="EF111" s="358"/>
      <c r="EG111" s="358"/>
      <c r="EH111" s="358"/>
      <c r="EI111" s="358"/>
      <c r="EJ111" s="358"/>
      <c r="EK111" s="358"/>
      <c r="EL111" s="358"/>
      <c r="EM111" s="358"/>
      <c r="EN111" s="358"/>
      <c r="EO111" s="358"/>
      <c r="EP111" s="358"/>
      <c r="EQ111" s="358"/>
      <c r="ER111" s="358"/>
      <c r="ES111" s="358"/>
      <c r="ET111" s="358"/>
      <c r="EU111" s="358"/>
      <c r="EV111" s="358"/>
      <c r="EW111" s="358"/>
      <c r="EX111" s="358"/>
      <c r="EY111" s="358"/>
      <c r="EZ111" s="358"/>
      <c r="FA111" s="358"/>
      <c r="FB111" s="358"/>
      <c r="FC111" s="358"/>
      <c r="FD111" s="358"/>
      <c r="FE111" s="358"/>
      <c r="FF111" s="358"/>
      <c r="FG111" s="358"/>
      <c r="FH111" s="358"/>
      <c r="FI111" s="358"/>
      <c r="FJ111" s="358"/>
      <c r="FK111" s="358"/>
      <c r="FL111" s="358"/>
      <c r="FM111" s="358"/>
      <c r="FN111" s="358"/>
      <c r="FO111" s="358"/>
      <c r="FP111" s="358"/>
      <c r="FQ111" s="358"/>
      <c r="FR111" s="358"/>
      <c r="FS111" s="358"/>
      <c r="FT111" s="358"/>
      <c r="FU111" s="358"/>
      <c r="FV111" s="358"/>
      <c r="FW111" s="358"/>
      <c r="FX111" s="358"/>
      <c r="FY111" s="358"/>
      <c r="FZ111" s="358"/>
      <c r="GA111" s="358"/>
      <c r="GB111" s="358"/>
      <c r="GC111" s="358"/>
      <c r="GD111" s="358"/>
      <c r="GE111" s="358"/>
      <c r="GF111" s="358"/>
      <c r="GG111" s="358"/>
      <c r="GH111" s="358"/>
      <c r="GI111" s="358"/>
      <c r="GJ111" s="358"/>
      <c r="GK111" s="358"/>
      <c r="GL111" s="358"/>
      <c r="GM111" s="358"/>
      <c r="GN111" s="358"/>
      <c r="GO111" s="358"/>
      <c r="GP111" s="358"/>
      <c r="GQ111" s="358"/>
      <c r="GR111" s="358"/>
      <c r="GS111" s="358"/>
      <c r="GT111" s="358"/>
      <c r="GU111" s="358"/>
      <c r="GV111" s="358"/>
      <c r="GW111" s="358"/>
      <c r="GX111" s="358"/>
      <c r="GY111" s="358"/>
      <c r="GZ111" s="358"/>
      <c r="HA111" s="349"/>
      <c r="HB111" s="349"/>
      <c r="HC111" s="349"/>
      <c r="HD111" s="349"/>
      <c r="HE111" s="349"/>
      <c r="HF111" s="349"/>
      <c r="HG111" s="349"/>
      <c r="HH111" s="349"/>
      <c r="HI111" s="349"/>
      <c r="HJ111" s="349"/>
      <c r="HK111" s="349"/>
      <c r="HL111" s="349"/>
      <c r="HM111" s="349"/>
      <c r="HN111" s="349"/>
      <c r="HO111" s="349"/>
      <c r="HP111" s="349"/>
    </row>
    <row r="112" spans="1:224" s="322" customFormat="1">
      <c r="A112" s="356"/>
      <c r="B112" s="362" t="s">
        <v>461</v>
      </c>
      <c r="C112" s="360" t="s">
        <v>462</v>
      </c>
      <c r="D112" s="361" t="s">
        <v>43</v>
      </c>
      <c r="E112" s="328">
        <f>4.1/100</f>
        <v>4.0999999999999995E-2</v>
      </c>
      <c r="F112" s="289">
        <f>E112*F110</f>
        <v>1.7219999999999998</v>
      </c>
      <c r="G112" s="893"/>
      <c r="H112" s="893"/>
      <c r="I112" s="884"/>
      <c r="J112" s="893"/>
      <c r="K112" s="901">
        <v>0</v>
      </c>
      <c r="L112" s="902">
        <f>K112*F112</f>
        <v>0</v>
      </c>
      <c r="M112" s="884">
        <f t="shared" si="5"/>
        <v>0</v>
      </c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8"/>
      <c r="AN112" s="358"/>
      <c r="AO112" s="358"/>
      <c r="AP112" s="358"/>
      <c r="AQ112" s="358"/>
      <c r="AR112" s="358"/>
      <c r="AS112" s="358"/>
      <c r="AT112" s="358"/>
      <c r="AU112" s="358"/>
      <c r="AV112" s="358"/>
      <c r="AW112" s="358"/>
      <c r="AX112" s="358"/>
      <c r="AY112" s="358"/>
      <c r="AZ112" s="358"/>
      <c r="BA112" s="358"/>
      <c r="BB112" s="358"/>
      <c r="BC112" s="358"/>
      <c r="BD112" s="358"/>
      <c r="BE112" s="358"/>
      <c r="BF112" s="358"/>
      <c r="BG112" s="358"/>
      <c r="BH112" s="358"/>
      <c r="BI112" s="358"/>
      <c r="BJ112" s="358"/>
      <c r="BK112" s="358"/>
      <c r="BL112" s="358"/>
      <c r="BM112" s="358"/>
      <c r="BN112" s="358"/>
      <c r="BO112" s="358"/>
      <c r="BP112" s="358"/>
      <c r="BQ112" s="358"/>
      <c r="BR112" s="358"/>
      <c r="BS112" s="358"/>
      <c r="BT112" s="358"/>
      <c r="BU112" s="358"/>
      <c r="BV112" s="358"/>
      <c r="BW112" s="358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58"/>
      <c r="CJ112" s="358"/>
      <c r="CK112" s="358"/>
      <c r="CL112" s="358"/>
      <c r="CM112" s="358"/>
      <c r="CN112" s="358"/>
      <c r="CO112" s="358"/>
      <c r="CP112" s="358"/>
      <c r="CQ112" s="358"/>
      <c r="CR112" s="358"/>
      <c r="CS112" s="358"/>
      <c r="CT112" s="358"/>
      <c r="CU112" s="358"/>
      <c r="CV112" s="358"/>
      <c r="CW112" s="358"/>
      <c r="CX112" s="358"/>
      <c r="CY112" s="358"/>
      <c r="CZ112" s="358"/>
      <c r="DA112" s="358"/>
      <c r="DB112" s="358"/>
      <c r="DC112" s="358"/>
      <c r="DD112" s="358"/>
      <c r="DE112" s="358"/>
      <c r="DF112" s="358"/>
      <c r="DG112" s="358"/>
      <c r="DH112" s="358"/>
      <c r="DI112" s="358"/>
      <c r="DJ112" s="358"/>
      <c r="DK112" s="358"/>
      <c r="DL112" s="358"/>
      <c r="DM112" s="358"/>
      <c r="DN112" s="358"/>
      <c r="DO112" s="358"/>
      <c r="DP112" s="358"/>
      <c r="DQ112" s="358"/>
      <c r="DR112" s="358"/>
      <c r="DS112" s="358"/>
      <c r="DT112" s="358"/>
      <c r="DU112" s="358"/>
      <c r="DV112" s="358"/>
      <c r="DW112" s="358"/>
      <c r="DX112" s="358"/>
      <c r="DY112" s="358"/>
      <c r="DZ112" s="358"/>
      <c r="EA112" s="358"/>
      <c r="EB112" s="358"/>
      <c r="EC112" s="358"/>
      <c r="ED112" s="358"/>
      <c r="EE112" s="358"/>
      <c r="EF112" s="358"/>
      <c r="EG112" s="358"/>
      <c r="EH112" s="358"/>
      <c r="EI112" s="358"/>
      <c r="EJ112" s="358"/>
      <c r="EK112" s="358"/>
      <c r="EL112" s="358"/>
      <c r="EM112" s="358"/>
      <c r="EN112" s="358"/>
      <c r="EO112" s="358"/>
      <c r="EP112" s="358"/>
      <c r="EQ112" s="358"/>
      <c r="ER112" s="358"/>
      <c r="ES112" s="358"/>
      <c r="ET112" s="358"/>
      <c r="EU112" s="358"/>
      <c r="EV112" s="358"/>
      <c r="EW112" s="358"/>
      <c r="EX112" s="358"/>
      <c r="EY112" s="358"/>
      <c r="EZ112" s="358"/>
      <c r="FA112" s="358"/>
      <c r="FB112" s="358"/>
      <c r="FC112" s="358"/>
      <c r="FD112" s="358"/>
      <c r="FE112" s="358"/>
      <c r="FF112" s="358"/>
      <c r="FG112" s="358"/>
      <c r="FH112" s="358"/>
      <c r="FI112" s="358"/>
      <c r="FJ112" s="358"/>
      <c r="FK112" s="358"/>
      <c r="FL112" s="358"/>
      <c r="FM112" s="358"/>
      <c r="FN112" s="358"/>
      <c r="FO112" s="358"/>
      <c r="FP112" s="358"/>
      <c r="FQ112" s="358"/>
      <c r="FR112" s="358"/>
      <c r="FS112" s="358"/>
      <c r="FT112" s="358"/>
      <c r="FU112" s="358"/>
      <c r="FV112" s="358"/>
      <c r="FW112" s="358"/>
      <c r="FX112" s="358"/>
      <c r="FY112" s="358"/>
      <c r="FZ112" s="358"/>
      <c r="GA112" s="358"/>
      <c r="GB112" s="358"/>
      <c r="GC112" s="358"/>
      <c r="GD112" s="358"/>
      <c r="GE112" s="358"/>
      <c r="GF112" s="358"/>
      <c r="GG112" s="358"/>
      <c r="GH112" s="358"/>
      <c r="GI112" s="358"/>
      <c r="GJ112" s="358"/>
      <c r="GK112" s="358"/>
      <c r="GL112" s="358"/>
      <c r="GM112" s="358"/>
      <c r="GN112" s="358"/>
      <c r="GO112" s="358"/>
      <c r="GP112" s="358"/>
      <c r="GQ112" s="358"/>
      <c r="GR112" s="358"/>
      <c r="GS112" s="358"/>
      <c r="GT112" s="358"/>
      <c r="GU112" s="358"/>
      <c r="GV112" s="358"/>
      <c r="GW112" s="358"/>
      <c r="GX112" s="358"/>
      <c r="GY112" s="358"/>
      <c r="GZ112" s="358"/>
      <c r="HA112" s="349"/>
      <c r="HB112" s="349"/>
      <c r="HC112" s="349"/>
      <c r="HD112" s="349"/>
      <c r="HE112" s="349"/>
      <c r="HF112" s="349"/>
      <c r="HG112" s="349"/>
      <c r="HH112" s="349"/>
      <c r="HI112" s="349"/>
      <c r="HJ112" s="349"/>
      <c r="HK112" s="349"/>
      <c r="HL112" s="349"/>
      <c r="HM112" s="349"/>
      <c r="HN112" s="349"/>
      <c r="HO112" s="349"/>
      <c r="HP112" s="349"/>
    </row>
    <row r="113" spans="1:224" s="322" customFormat="1">
      <c r="A113" s="356"/>
      <c r="B113" s="362" t="s">
        <v>463</v>
      </c>
      <c r="C113" s="360" t="s">
        <v>464</v>
      </c>
      <c r="D113" s="361" t="s">
        <v>25</v>
      </c>
      <c r="E113" s="328">
        <f>(2.12+0.26)/100</f>
        <v>2.3799999999999998E-2</v>
      </c>
      <c r="F113" s="289">
        <f>E113*F110</f>
        <v>0.99959999999999993</v>
      </c>
      <c r="G113" s="901">
        <v>0</v>
      </c>
      <c r="H113" s="884">
        <f>G113*F113</f>
        <v>0</v>
      </c>
      <c r="I113" s="884"/>
      <c r="J113" s="884"/>
      <c r="K113" s="902"/>
      <c r="L113" s="902"/>
      <c r="M113" s="884">
        <f t="shared" si="5"/>
        <v>0</v>
      </c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358"/>
      <c r="AQ113" s="358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58"/>
      <c r="BE113" s="358"/>
      <c r="BF113" s="358"/>
      <c r="BG113" s="358"/>
      <c r="BH113" s="358"/>
      <c r="BI113" s="358"/>
      <c r="BJ113" s="358"/>
      <c r="BK113" s="358"/>
      <c r="BL113" s="358"/>
      <c r="BM113" s="358"/>
      <c r="BN113" s="358"/>
      <c r="BO113" s="358"/>
      <c r="BP113" s="358"/>
      <c r="BQ113" s="358"/>
      <c r="BR113" s="358"/>
      <c r="BS113" s="358"/>
      <c r="BT113" s="358"/>
      <c r="BU113" s="358"/>
      <c r="BV113" s="358"/>
      <c r="BW113" s="358"/>
      <c r="BX113" s="358"/>
      <c r="BY113" s="358"/>
      <c r="BZ113" s="358"/>
      <c r="CA113" s="358"/>
      <c r="CB113" s="358"/>
      <c r="CC113" s="358"/>
      <c r="CD113" s="358"/>
      <c r="CE113" s="358"/>
      <c r="CF113" s="358"/>
      <c r="CG113" s="358"/>
      <c r="CH113" s="358"/>
      <c r="CI113" s="358"/>
      <c r="CJ113" s="358"/>
      <c r="CK113" s="358"/>
      <c r="CL113" s="358"/>
      <c r="CM113" s="358"/>
      <c r="CN113" s="358"/>
      <c r="CO113" s="358"/>
      <c r="CP113" s="358"/>
      <c r="CQ113" s="358"/>
      <c r="CR113" s="358"/>
      <c r="CS113" s="358"/>
      <c r="CT113" s="358"/>
      <c r="CU113" s="358"/>
      <c r="CV113" s="358"/>
      <c r="CW113" s="358"/>
      <c r="CX113" s="358"/>
      <c r="CY113" s="358"/>
      <c r="CZ113" s="358"/>
      <c r="DA113" s="358"/>
      <c r="DB113" s="358"/>
      <c r="DC113" s="358"/>
      <c r="DD113" s="358"/>
      <c r="DE113" s="358"/>
      <c r="DF113" s="358"/>
      <c r="DG113" s="358"/>
      <c r="DH113" s="358"/>
      <c r="DI113" s="358"/>
      <c r="DJ113" s="358"/>
      <c r="DK113" s="358"/>
      <c r="DL113" s="358"/>
      <c r="DM113" s="358"/>
      <c r="DN113" s="358"/>
      <c r="DO113" s="358"/>
      <c r="DP113" s="358"/>
      <c r="DQ113" s="358"/>
      <c r="DR113" s="358"/>
      <c r="DS113" s="358"/>
      <c r="DT113" s="358"/>
      <c r="DU113" s="358"/>
      <c r="DV113" s="358"/>
      <c r="DW113" s="358"/>
      <c r="DX113" s="358"/>
      <c r="DY113" s="358"/>
      <c r="DZ113" s="358"/>
      <c r="EA113" s="358"/>
      <c r="EB113" s="358"/>
      <c r="EC113" s="358"/>
      <c r="ED113" s="358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358"/>
      <c r="EV113" s="358"/>
      <c r="EW113" s="358"/>
      <c r="EX113" s="358"/>
      <c r="EY113" s="358"/>
      <c r="EZ113" s="358"/>
      <c r="FA113" s="358"/>
      <c r="FB113" s="358"/>
      <c r="FC113" s="358"/>
      <c r="FD113" s="358"/>
      <c r="FE113" s="358"/>
      <c r="FF113" s="358"/>
      <c r="FG113" s="358"/>
      <c r="FH113" s="358"/>
      <c r="FI113" s="358"/>
      <c r="FJ113" s="358"/>
      <c r="FK113" s="358"/>
      <c r="FL113" s="358"/>
      <c r="FM113" s="358"/>
      <c r="FN113" s="358"/>
      <c r="FO113" s="358"/>
      <c r="FP113" s="358"/>
      <c r="FQ113" s="358"/>
      <c r="FR113" s="358"/>
      <c r="FS113" s="358"/>
      <c r="FT113" s="358"/>
      <c r="FU113" s="358"/>
      <c r="FV113" s="358"/>
      <c r="FW113" s="358"/>
      <c r="FX113" s="358"/>
      <c r="FY113" s="358"/>
      <c r="FZ113" s="358"/>
      <c r="GA113" s="358"/>
      <c r="GB113" s="358"/>
      <c r="GC113" s="358"/>
      <c r="GD113" s="358"/>
      <c r="GE113" s="358"/>
      <c r="GF113" s="358"/>
      <c r="GG113" s="358"/>
      <c r="GH113" s="358"/>
      <c r="GI113" s="358"/>
      <c r="GJ113" s="358"/>
      <c r="GK113" s="358"/>
      <c r="GL113" s="358"/>
      <c r="GM113" s="358"/>
      <c r="GN113" s="358"/>
      <c r="GO113" s="358"/>
      <c r="GP113" s="358"/>
      <c r="GQ113" s="358"/>
      <c r="GR113" s="358"/>
      <c r="GS113" s="358"/>
      <c r="GT113" s="358"/>
      <c r="GU113" s="358"/>
      <c r="GV113" s="358"/>
      <c r="GW113" s="358"/>
      <c r="GX113" s="358"/>
      <c r="GY113" s="358"/>
      <c r="GZ113" s="358"/>
      <c r="HA113" s="349"/>
      <c r="HB113" s="349"/>
      <c r="HC113" s="349"/>
      <c r="HD113" s="349"/>
      <c r="HE113" s="349"/>
      <c r="HF113" s="349"/>
      <c r="HG113" s="349"/>
      <c r="HH113" s="349"/>
      <c r="HI113" s="349"/>
      <c r="HJ113" s="349"/>
      <c r="HK113" s="349"/>
      <c r="HL113" s="349"/>
      <c r="HM113" s="349"/>
      <c r="HN113" s="349"/>
      <c r="HO113" s="349"/>
      <c r="HP113" s="349"/>
    </row>
    <row r="114" spans="1:224" s="322" customFormat="1">
      <c r="A114" s="356"/>
      <c r="B114" s="359"/>
      <c r="C114" s="360" t="s">
        <v>453</v>
      </c>
      <c r="D114" s="361" t="s">
        <v>417</v>
      </c>
      <c r="E114" s="328">
        <v>0.03</v>
      </c>
      <c r="F114" s="289">
        <f>E114*F110</f>
        <v>1.26</v>
      </c>
      <c r="G114" s="893"/>
      <c r="H114" s="893"/>
      <c r="I114" s="884"/>
      <c r="J114" s="893"/>
      <c r="K114" s="901">
        <v>0</v>
      </c>
      <c r="L114" s="902">
        <f>K114*F114</f>
        <v>0</v>
      </c>
      <c r="M114" s="884">
        <f t="shared" si="5"/>
        <v>0</v>
      </c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58"/>
      <c r="AO114" s="358"/>
      <c r="AP114" s="358"/>
      <c r="AQ114" s="358"/>
      <c r="AR114" s="358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8"/>
      <c r="BL114" s="358"/>
      <c r="BM114" s="358"/>
      <c r="BN114" s="358"/>
      <c r="BO114" s="358"/>
      <c r="BP114" s="358"/>
      <c r="BQ114" s="358"/>
      <c r="BR114" s="358"/>
      <c r="BS114" s="358"/>
      <c r="BT114" s="358"/>
      <c r="BU114" s="358"/>
      <c r="BV114" s="358"/>
      <c r="BW114" s="358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358"/>
      <c r="CH114" s="358"/>
      <c r="CI114" s="358"/>
      <c r="CJ114" s="358"/>
      <c r="CK114" s="358"/>
      <c r="CL114" s="358"/>
      <c r="CM114" s="358"/>
      <c r="CN114" s="358"/>
      <c r="CO114" s="358"/>
      <c r="CP114" s="358"/>
      <c r="CQ114" s="358"/>
      <c r="CR114" s="358"/>
      <c r="CS114" s="358"/>
      <c r="CT114" s="358"/>
      <c r="CU114" s="358"/>
      <c r="CV114" s="358"/>
      <c r="CW114" s="358"/>
      <c r="CX114" s="358"/>
      <c r="CY114" s="358"/>
      <c r="CZ114" s="358"/>
      <c r="DA114" s="358"/>
      <c r="DB114" s="358"/>
      <c r="DC114" s="358"/>
      <c r="DD114" s="358"/>
      <c r="DE114" s="358"/>
      <c r="DF114" s="358"/>
      <c r="DG114" s="358"/>
      <c r="DH114" s="358"/>
      <c r="DI114" s="358"/>
      <c r="DJ114" s="358"/>
      <c r="DK114" s="358"/>
      <c r="DL114" s="358"/>
      <c r="DM114" s="358"/>
      <c r="DN114" s="358"/>
      <c r="DO114" s="358"/>
      <c r="DP114" s="358"/>
      <c r="DQ114" s="358"/>
      <c r="DR114" s="358"/>
      <c r="DS114" s="358"/>
      <c r="DT114" s="358"/>
      <c r="DU114" s="358"/>
      <c r="DV114" s="358"/>
      <c r="DW114" s="358"/>
      <c r="DX114" s="358"/>
      <c r="DY114" s="358"/>
      <c r="DZ114" s="358"/>
      <c r="EA114" s="358"/>
      <c r="EB114" s="358"/>
      <c r="EC114" s="358"/>
      <c r="ED114" s="358"/>
      <c r="EE114" s="358"/>
      <c r="EF114" s="358"/>
      <c r="EG114" s="358"/>
      <c r="EH114" s="358"/>
      <c r="EI114" s="358"/>
      <c r="EJ114" s="358"/>
      <c r="EK114" s="358"/>
      <c r="EL114" s="358"/>
      <c r="EM114" s="358"/>
      <c r="EN114" s="358"/>
      <c r="EO114" s="358"/>
      <c r="EP114" s="358"/>
      <c r="EQ114" s="358"/>
      <c r="ER114" s="358"/>
      <c r="ES114" s="358"/>
      <c r="ET114" s="358"/>
      <c r="EU114" s="358"/>
      <c r="EV114" s="358"/>
      <c r="EW114" s="358"/>
      <c r="EX114" s="358"/>
      <c r="EY114" s="358"/>
      <c r="EZ114" s="358"/>
      <c r="FA114" s="358"/>
      <c r="FB114" s="358"/>
      <c r="FC114" s="358"/>
      <c r="FD114" s="358"/>
      <c r="FE114" s="358"/>
      <c r="FF114" s="358"/>
      <c r="FG114" s="358"/>
      <c r="FH114" s="358"/>
      <c r="FI114" s="358"/>
      <c r="FJ114" s="358"/>
      <c r="FK114" s="358"/>
      <c r="FL114" s="358"/>
      <c r="FM114" s="358"/>
      <c r="FN114" s="358"/>
      <c r="FO114" s="358"/>
      <c r="FP114" s="358"/>
      <c r="FQ114" s="358"/>
      <c r="FR114" s="358"/>
      <c r="FS114" s="358"/>
      <c r="FT114" s="358"/>
      <c r="FU114" s="358"/>
      <c r="FV114" s="358"/>
      <c r="FW114" s="358"/>
      <c r="FX114" s="358"/>
      <c r="FY114" s="358"/>
      <c r="FZ114" s="358"/>
      <c r="GA114" s="358"/>
      <c r="GB114" s="358"/>
      <c r="GC114" s="358"/>
      <c r="GD114" s="358"/>
      <c r="GE114" s="358"/>
      <c r="GF114" s="358"/>
      <c r="GG114" s="358"/>
      <c r="GH114" s="358"/>
      <c r="GI114" s="358"/>
      <c r="GJ114" s="358"/>
      <c r="GK114" s="358"/>
      <c r="GL114" s="358"/>
      <c r="GM114" s="358"/>
      <c r="GN114" s="358"/>
      <c r="GO114" s="358"/>
      <c r="GP114" s="358"/>
      <c r="GQ114" s="358"/>
      <c r="GR114" s="358"/>
      <c r="GS114" s="358"/>
      <c r="GT114" s="358"/>
      <c r="GU114" s="358"/>
      <c r="GV114" s="358"/>
      <c r="GW114" s="358"/>
      <c r="GX114" s="358"/>
      <c r="GY114" s="358"/>
      <c r="GZ114" s="358"/>
      <c r="HA114" s="349"/>
      <c r="HB114" s="349"/>
      <c r="HC114" s="349"/>
      <c r="HD114" s="349"/>
      <c r="HE114" s="349"/>
      <c r="HF114" s="349"/>
      <c r="HG114" s="349"/>
      <c r="HH114" s="349"/>
      <c r="HI114" s="349"/>
      <c r="HJ114" s="349"/>
      <c r="HK114" s="349"/>
      <c r="HL114" s="349"/>
      <c r="HM114" s="349"/>
      <c r="HN114" s="349"/>
      <c r="HO114" s="349"/>
      <c r="HP114" s="349"/>
    </row>
    <row r="115" spans="1:224" s="322" customFormat="1">
      <c r="A115" s="361"/>
      <c r="B115" s="362"/>
      <c r="C115" s="360" t="s">
        <v>458</v>
      </c>
      <c r="D115" s="361" t="s">
        <v>417</v>
      </c>
      <c r="E115" s="328">
        <v>0.3</v>
      </c>
      <c r="F115" s="329">
        <f>E115*F110</f>
        <v>12.6</v>
      </c>
      <c r="G115" s="901">
        <v>0</v>
      </c>
      <c r="H115" s="884">
        <f>G115*F115</f>
        <v>0</v>
      </c>
      <c r="I115" s="884"/>
      <c r="J115" s="884"/>
      <c r="K115" s="902"/>
      <c r="L115" s="902"/>
      <c r="M115" s="884">
        <f t="shared" si="5"/>
        <v>0</v>
      </c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358"/>
      <c r="AN115" s="358"/>
      <c r="AO115" s="358"/>
      <c r="AP115" s="358"/>
      <c r="AQ115" s="358"/>
      <c r="AR115" s="358"/>
      <c r="AS115" s="358"/>
      <c r="AT115" s="358"/>
      <c r="AU115" s="358"/>
      <c r="AV115" s="358"/>
      <c r="AW115" s="358"/>
      <c r="AX115" s="358"/>
      <c r="AY115" s="358"/>
      <c r="AZ115" s="358"/>
      <c r="BA115" s="358"/>
      <c r="BB115" s="358"/>
      <c r="BC115" s="358"/>
      <c r="BD115" s="358"/>
      <c r="BE115" s="358"/>
      <c r="BF115" s="358"/>
      <c r="BG115" s="358"/>
      <c r="BH115" s="358"/>
      <c r="BI115" s="358"/>
      <c r="BJ115" s="358"/>
      <c r="BK115" s="358"/>
      <c r="BL115" s="358"/>
      <c r="BM115" s="358"/>
      <c r="BN115" s="358"/>
      <c r="BO115" s="358"/>
      <c r="BP115" s="358"/>
      <c r="BQ115" s="358"/>
      <c r="BR115" s="358"/>
      <c r="BS115" s="358"/>
      <c r="BT115" s="358"/>
      <c r="BU115" s="358"/>
      <c r="BV115" s="358"/>
      <c r="BW115" s="358"/>
      <c r="BX115" s="358"/>
      <c r="BY115" s="358"/>
      <c r="BZ115" s="358"/>
      <c r="CA115" s="358"/>
      <c r="CB115" s="358"/>
      <c r="CC115" s="358"/>
      <c r="CD115" s="358"/>
      <c r="CE115" s="358"/>
      <c r="CF115" s="358"/>
      <c r="CG115" s="358"/>
      <c r="CH115" s="358"/>
      <c r="CI115" s="358"/>
      <c r="CJ115" s="358"/>
      <c r="CK115" s="358"/>
      <c r="CL115" s="358"/>
      <c r="CM115" s="358"/>
      <c r="CN115" s="358"/>
      <c r="CO115" s="358"/>
      <c r="CP115" s="358"/>
      <c r="CQ115" s="358"/>
      <c r="CR115" s="358"/>
      <c r="CS115" s="358"/>
      <c r="CT115" s="358"/>
      <c r="CU115" s="358"/>
      <c r="CV115" s="358"/>
      <c r="CW115" s="358"/>
      <c r="CX115" s="358"/>
      <c r="CY115" s="358"/>
      <c r="CZ115" s="358"/>
      <c r="DA115" s="358"/>
      <c r="DB115" s="358"/>
      <c r="DC115" s="358"/>
      <c r="DD115" s="358"/>
      <c r="DE115" s="358"/>
      <c r="DF115" s="358"/>
      <c r="DG115" s="358"/>
      <c r="DH115" s="358"/>
      <c r="DI115" s="358"/>
      <c r="DJ115" s="358"/>
      <c r="DK115" s="358"/>
      <c r="DL115" s="358"/>
      <c r="DM115" s="358"/>
      <c r="DN115" s="358"/>
      <c r="DO115" s="358"/>
      <c r="DP115" s="358"/>
      <c r="DQ115" s="358"/>
      <c r="DR115" s="358"/>
      <c r="DS115" s="358"/>
      <c r="DT115" s="358"/>
      <c r="DU115" s="358"/>
      <c r="DV115" s="358"/>
      <c r="DW115" s="358"/>
      <c r="DX115" s="358"/>
      <c r="DY115" s="358"/>
      <c r="DZ115" s="358"/>
      <c r="EA115" s="358"/>
      <c r="EB115" s="358"/>
      <c r="EC115" s="358"/>
      <c r="ED115" s="358"/>
      <c r="EE115" s="358"/>
      <c r="EF115" s="358"/>
      <c r="EG115" s="358"/>
      <c r="EH115" s="358"/>
      <c r="EI115" s="358"/>
      <c r="EJ115" s="358"/>
      <c r="EK115" s="358"/>
      <c r="EL115" s="358"/>
      <c r="EM115" s="358"/>
      <c r="EN115" s="358"/>
      <c r="EO115" s="358"/>
      <c r="EP115" s="358"/>
      <c r="EQ115" s="358"/>
      <c r="ER115" s="358"/>
      <c r="ES115" s="358"/>
      <c r="ET115" s="358"/>
      <c r="EU115" s="358"/>
      <c r="EV115" s="358"/>
      <c r="EW115" s="358"/>
      <c r="EX115" s="358"/>
      <c r="EY115" s="358"/>
      <c r="EZ115" s="358"/>
      <c r="FA115" s="358"/>
      <c r="FB115" s="358"/>
      <c r="FC115" s="358"/>
      <c r="FD115" s="358"/>
      <c r="FE115" s="358"/>
      <c r="FF115" s="358"/>
      <c r="FG115" s="358"/>
      <c r="FH115" s="358"/>
      <c r="FI115" s="358"/>
      <c r="FJ115" s="358"/>
      <c r="FK115" s="358"/>
      <c r="FL115" s="358"/>
      <c r="FM115" s="358"/>
      <c r="FN115" s="358"/>
      <c r="FO115" s="358"/>
      <c r="FP115" s="358"/>
      <c r="FQ115" s="358"/>
      <c r="FR115" s="358"/>
      <c r="FS115" s="358"/>
      <c r="FT115" s="358"/>
      <c r="FU115" s="358"/>
      <c r="FV115" s="358"/>
      <c r="FW115" s="358"/>
      <c r="FX115" s="358"/>
      <c r="FY115" s="358"/>
      <c r="FZ115" s="358"/>
      <c r="GA115" s="358"/>
      <c r="GB115" s="358"/>
      <c r="GC115" s="358"/>
      <c r="GD115" s="358"/>
      <c r="GE115" s="358"/>
      <c r="GF115" s="358"/>
      <c r="GG115" s="358"/>
      <c r="GH115" s="358"/>
      <c r="GI115" s="358"/>
      <c r="GJ115" s="358"/>
      <c r="GK115" s="358"/>
      <c r="GL115" s="358"/>
      <c r="GM115" s="358"/>
      <c r="GN115" s="358"/>
      <c r="GO115" s="358"/>
      <c r="GP115" s="358"/>
      <c r="GQ115" s="358"/>
      <c r="GR115" s="358"/>
      <c r="GS115" s="358"/>
      <c r="GT115" s="358"/>
      <c r="GU115" s="358"/>
      <c r="GV115" s="358"/>
      <c r="GW115" s="358"/>
      <c r="GX115" s="358"/>
      <c r="GY115" s="358"/>
      <c r="GZ115" s="358"/>
      <c r="HA115" s="349"/>
      <c r="HB115" s="349"/>
      <c r="HC115" s="349"/>
      <c r="HD115" s="349"/>
      <c r="HE115" s="349"/>
      <c r="HF115" s="349"/>
      <c r="HG115" s="349"/>
      <c r="HH115" s="349"/>
      <c r="HI115" s="349"/>
      <c r="HJ115" s="349"/>
      <c r="HK115" s="349"/>
      <c r="HL115" s="349"/>
      <c r="HM115" s="349"/>
      <c r="HN115" s="349"/>
      <c r="HO115" s="349"/>
      <c r="HP115" s="349"/>
    </row>
    <row r="116" spans="1:224" s="322" customFormat="1">
      <c r="A116" s="282">
        <v>19</v>
      </c>
      <c r="B116" s="359" t="s">
        <v>488</v>
      </c>
      <c r="C116" s="286" t="s">
        <v>491</v>
      </c>
      <c r="D116" s="284" t="s">
        <v>433</v>
      </c>
      <c r="E116" s="283"/>
      <c r="F116" s="364">
        <f>F110</f>
        <v>42</v>
      </c>
      <c r="G116" s="883"/>
      <c r="H116" s="883"/>
      <c r="I116" s="883"/>
      <c r="J116" s="883"/>
      <c r="K116" s="883"/>
      <c r="L116" s="883"/>
      <c r="M116" s="883">
        <f>SUM(M117:M121)</f>
        <v>0</v>
      </c>
    </row>
    <row r="117" spans="1:224" s="322" customFormat="1">
      <c r="A117" s="356"/>
      <c r="B117" s="359"/>
      <c r="C117" s="360" t="s">
        <v>416</v>
      </c>
      <c r="D117" s="361" t="s">
        <v>40</v>
      </c>
      <c r="E117" s="289">
        <f>65.8/100</f>
        <v>0.65799999999999992</v>
      </c>
      <c r="F117" s="289">
        <f>F116*E117</f>
        <v>27.635999999999996</v>
      </c>
      <c r="G117" s="884"/>
      <c r="H117" s="884"/>
      <c r="I117" s="890">
        <v>0</v>
      </c>
      <c r="J117" s="884">
        <f>F117*I117</f>
        <v>0</v>
      </c>
      <c r="K117" s="884"/>
      <c r="L117" s="884"/>
      <c r="M117" s="884">
        <f t="shared" si="5"/>
        <v>0</v>
      </c>
    </row>
    <row r="118" spans="1:224" s="322" customFormat="1">
      <c r="A118" s="282"/>
      <c r="B118" s="331" t="s">
        <v>467</v>
      </c>
      <c r="C118" s="368" t="s">
        <v>468</v>
      </c>
      <c r="D118" s="361" t="s">
        <v>449</v>
      </c>
      <c r="E118" s="289">
        <f>63/100</f>
        <v>0.63</v>
      </c>
      <c r="F118" s="289">
        <f>F116*E118</f>
        <v>26.46</v>
      </c>
      <c r="G118" s="901">
        <v>0</v>
      </c>
      <c r="H118" s="884">
        <f>G118*F118</f>
        <v>0</v>
      </c>
      <c r="I118" s="884"/>
      <c r="J118" s="884"/>
      <c r="K118" s="884"/>
      <c r="L118" s="884"/>
      <c r="M118" s="884">
        <f t="shared" si="5"/>
        <v>0</v>
      </c>
    </row>
    <row r="119" spans="1:224" s="322" customFormat="1">
      <c r="A119" s="282"/>
      <c r="B119" s="331" t="s">
        <v>469</v>
      </c>
      <c r="C119" s="360" t="s">
        <v>470</v>
      </c>
      <c r="D119" s="361" t="s">
        <v>449</v>
      </c>
      <c r="E119" s="289">
        <f>79/100</f>
        <v>0.79</v>
      </c>
      <c r="F119" s="289">
        <f>F116*E119</f>
        <v>33.18</v>
      </c>
      <c r="G119" s="901">
        <v>0</v>
      </c>
      <c r="H119" s="884">
        <f>G119*F119</f>
        <v>0</v>
      </c>
      <c r="I119" s="884"/>
      <c r="J119" s="884"/>
      <c r="K119" s="884"/>
      <c r="L119" s="884"/>
      <c r="M119" s="884">
        <f t="shared" si="5"/>
        <v>0</v>
      </c>
    </row>
    <row r="120" spans="1:224" s="322" customFormat="1">
      <c r="A120" s="282"/>
      <c r="B120" s="359"/>
      <c r="C120" s="360" t="s">
        <v>453</v>
      </c>
      <c r="D120" s="361" t="s">
        <v>417</v>
      </c>
      <c r="E120" s="289">
        <f>1/100</f>
        <v>0.01</v>
      </c>
      <c r="F120" s="289">
        <f>F116*E120</f>
        <v>0.42</v>
      </c>
      <c r="G120" s="884"/>
      <c r="H120" s="884"/>
      <c r="I120" s="884"/>
      <c r="J120" s="884"/>
      <c r="K120" s="884">
        <v>0</v>
      </c>
      <c r="L120" s="884">
        <f>F120*K120</f>
        <v>0</v>
      </c>
      <c r="M120" s="884">
        <f t="shared" si="5"/>
        <v>0</v>
      </c>
    </row>
    <row r="121" spans="1:224" s="322" customFormat="1">
      <c r="A121" s="369"/>
      <c r="B121" s="362"/>
      <c r="C121" s="360" t="s">
        <v>458</v>
      </c>
      <c r="D121" s="361" t="s">
        <v>417</v>
      </c>
      <c r="E121" s="289">
        <f>1.6/100</f>
        <v>1.6E-2</v>
      </c>
      <c r="F121" s="289">
        <f>F116*E121</f>
        <v>0.67200000000000004</v>
      </c>
      <c r="G121" s="884">
        <v>0</v>
      </c>
      <c r="H121" s="884">
        <f>G121*F121</f>
        <v>0</v>
      </c>
      <c r="I121" s="884"/>
      <c r="J121" s="884"/>
      <c r="K121" s="884"/>
      <c r="L121" s="884"/>
      <c r="M121" s="884">
        <f t="shared" si="5"/>
        <v>0</v>
      </c>
    </row>
    <row r="122" spans="1:224" s="322" customFormat="1">
      <c r="A122" s="284">
        <v>20</v>
      </c>
      <c r="B122" s="285" t="s">
        <v>492</v>
      </c>
      <c r="C122" s="286" t="s">
        <v>759</v>
      </c>
      <c r="D122" s="284" t="s">
        <v>433</v>
      </c>
      <c r="E122" s="376"/>
      <c r="F122" s="288">
        <v>4.2</v>
      </c>
      <c r="G122" s="883"/>
      <c r="H122" s="883"/>
      <c r="I122" s="883"/>
      <c r="J122" s="883"/>
      <c r="K122" s="886"/>
      <c r="L122" s="886"/>
      <c r="M122" s="883">
        <f>SUM(M123:M126)</f>
        <v>0</v>
      </c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6"/>
      <c r="BE122" s="316"/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6"/>
      <c r="BQ122" s="316"/>
      <c r="BR122" s="316"/>
      <c r="BS122" s="316"/>
      <c r="BT122" s="316"/>
      <c r="BU122" s="316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6"/>
      <c r="CU122" s="316"/>
      <c r="CV122" s="316"/>
      <c r="CW122" s="316"/>
      <c r="CX122" s="316"/>
      <c r="CY122" s="316"/>
      <c r="CZ122" s="316"/>
      <c r="DA122" s="316"/>
      <c r="DB122" s="316"/>
      <c r="DC122" s="316"/>
      <c r="DD122" s="316"/>
      <c r="DE122" s="316"/>
      <c r="DF122" s="316"/>
      <c r="DG122" s="316"/>
      <c r="DH122" s="316"/>
      <c r="DI122" s="316"/>
      <c r="DJ122" s="316"/>
      <c r="DK122" s="316"/>
      <c r="DL122" s="316"/>
      <c r="DM122" s="316"/>
      <c r="DN122" s="316"/>
      <c r="DO122" s="316"/>
      <c r="DP122" s="316"/>
      <c r="DQ122" s="316"/>
      <c r="DR122" s="316"/>
      <c r="DS122" s="316"/>
      <c r="DT122" s="316"/>
      <c r="DU122" s="316"/>
      <c r="DV122" s="316"/>
      <c r="DW122" s="316"/>
      <c r="DX122" s="316"/>
      <c r="DY122" s="316"/>
      <c r="DZ122" s="316"/>
      <c r="EA122" s="316"/>
      <c r="EB122" s="316"/>
      <c r="EC122" s="316"/>
      <c r="ED122" s="316"/>
      <c r="EE122" s="316"/>
      <c r="EF122" s="316"/>
      <c r="EG122" s="316"/>
      <c r="EH122" s="316"/>
      <c r="EI122" s="316"/>
      <c r="EJ122" s="316"/>
      <c r="EK122" s="316"/>
      <c r="EL122" s="316"/>
      <c r="EM122" s="316"/>
      <c r="EN122" s="316"/>
      <c r="EO122" s="316"/>
      <c r="EP122" s="316"/>
      <c r="EQ122" s="316"/>
      <c r="ER122" s="316"/>
      <c r="ES122" s="316"/>
      <c r="ET122" s="316"/>
      <c r="EU122" s="316"/>
      <c r="EV122" s="316"/>
      <c r="EW122" s="316"/>
      <c r="EX122" s="316"/>
      <c r="EY122" s="316"/>
      <c r="EZ122" s="316"/>
      <c r="FA122" s="316"/>
      <c r="FB122" s="316"/>
      <c r="FC122" s="316"/>
      <c r="FD122" s="316"/>
      <c r="FE122" s="316"/>
      <c r="FF122" s="316"/>
      <c r="FG122" s="316"/>
      <c r="FH122" s="316"/>
      <c r="FI122" s="316"/>
      <c r="FJ122" s="316"/>
      <c r="FK122" s="316"/>
      <c r="FL122" s="316"/>
      <c r="FM122" s="316"/>
      <c r="FN122" s="316"/>
      <c r="FO122" s="316"/>
      <c r="FP122" s="316"/>
      <c r="FQ122" s="316"/>
      <c r="FR122" s="316"/>
      <c r="FS122" s="316"/>
      <c r="FT122" s="316"/>
      <c r="FU122" s="316"/>
      <c r="FV122" s="316"/>
      <c r="FW122" s="316"/>
      <c r="FX122" s="316"/>
      <c r="FY122" s="316"/>
      <c r="FZ122" s="316"/>
      <c r="GA122" s="316"/>
      <c r="GB122" s="316"/>
      <c r="GC122" s="316"/>
      <c r="GD122" s="316"/>
      <c r="GE122" s="316"/>
      <c r="GF122" s="316"/>
      <c r="GG122" s="316"/>
      <c r="GH122" s="316"/>
      <c r="GI122" s="316"/>
      <c r="GJ122" s="316"/>
      <c r="GK122" s="316"/>
      <c r="GL122" s="316"/>
      <c r="GM122" s="316"/>
      <c r="GN122" s="316"/>
      <c r="GO122" s="316"/>
      <c r="GP122" s="316"/>
      <c r="GQ122" s="316"/>
      <c r="GR122" s="316"/>
      <c r="GS122" s="316"/>
      <c r="GT122" s="316"/>
      <c r="GU122" s="316"/>
      <c r="GV122" s="316"/>
      <c r="GW122" s="316"/>
      <c r="GX122" s="316"/>
      <c r="GY122" s="316"/>
      <c r="GZ122" s="316"/>
      <c r="HA122" s="316"/>
      <c r="HB122" s="316"/>
      <c r="HC122" s="316"/>
      <c r="HD122" s="316"/>
      <c r="HE122" s="316"/>
      <c r="HF122" s="316"/>
      <c r="HG122" s="316"/>
      <c r="HH122" s="316"/>
      <c r="HI122" s="316"/>
      <c r="HJ122" s="316"/>
      <c r="HK122" s="316"/>
      <c r="HL122" s="316"/>
      <c r="HM122" s="316"/>
      <c r="HN122" s="316"/>
      <c r="HO122" s="316"/>
      <c r="HP122" s="316"/>
    </row>
    <row r="123" spans="1:224" s="322" customFormat="1">
      <c r="A123" s="356"/>
      <c r="B123" s="359"/>
      <c r="C123" s="360" t="s">
        <v>416</v>
      </c>
      <c r="D123" s="361" t="s">
        <v>40</v>
      </c>
      <c r="E123" s="289">
        <v>0.83</v>
      </c>
      <c r="F123" s="289">
        <f>F122*E123</f>
        <v>3.4859999999999998</v>
      </c>
      <c r="G123" s="884"/>
      <c r="H123" s="884"/>
      <c r="I123" s="890">
        <v>0</v>
      </c>
      <c r="J123" s="884">
        <f>F123*I123</f>
        <v>0</v>
      </c>
      <c r="K123" s="884"/>
      <c r="L123" s="884"/>
      <c r="M123" s="884">
        <f t="shared" si="5"/>
        <v>0</v>
      </c>
    </row>
    <row r="124" spans="1:224" s="322" customFormat="1">
      <c r="A124" s="282"/>
      <c r="B124" s="331" t="s">
        <v>493</v>
      </c>
      <c r="C124" s="368" t="s">
        <v>758</v>
      </c>
      <c r="D124" s="361" t="s">
        <v>81</v>
      </c>
      <c r="E124" s="289">
        <v>1.17</v>
      </c>
      <c r="F124" s="289">
        <f>F122*E124</f>
        <v>4.9139999999999997</v>
      </c>
      <c r="G124" s="901">
        <v>0</v>
      </c>
      <c r="H124" s="884">
        <f>G124*F124</f>
        <v>0</v>
      </c>
      <c r="I124" s="884"/>
      <c r="J124" s="884"/>
      <c r="K124" s="884"/>
      <c r="L124" s="884"/>
      <c r="M124" s="884">
        <f t="shared" si="5"/>
        <v>0</v>
      </c>
    </row>
    <row r="125" spans="1:224" s="322" customFormat="1">
      <c r="A125" s="282"/>
      <c r="B125" s="359"/>
      <c r="C125" s="360" t="s">
        <v>453</v>
      </c>
      <c r="D125" s="361" t="s">
        <v>417</v>
      </c>
      <c r="E125" s="297">
        <v>4.1000000000000003E-3</v>
      </c>
      <c r="F125" s="289">
        <f>F122*E125</f>
        <v>1.7220000000000003E-2</v>
      </c>
      <c r="G125" s="884"/>
      <c r="H125" s="884"/>
      <c r="I125" s="884"/>
      <c r="J125" s="884"/>
      <c r="K125" s="884">
        <v>0</v>
      </c>
      <c r="L125" s="884">
        <f>F125*K125</f>
        <v>0</v>
      </c>
      <c r="M125" s="884">
        <f t="shared" si="5"/>
        <v>0</v>
      </c>
    </row>
    <row r="126" spans="1:224" s="322" customFormat="1">
      <c r="A126" s="369"/>
      <c r="B126" s="362"/>
      <c r="C126" s="360" t="s">
        <v>458</v>
      </c>
      <c r="D126" s="361" t="s">
        <v>417</v>
      </c>
      <c r="E126" s="333">
        <v>7.8E-2</v>
      </c>
      <c r="F126" s="289">
        <f>F122*E126</f>
        <v>0.3276</v>
      </c>
      <c r="G126" s="884">
        <v>0</v>
      </c>
      <c r="H126" s="884">
        <f>G126*F126</f>
        <v>0</v>
      </c>
      <c r="I126" s="884"/>
      <c r="J126" s="884"/>
      <c r="K126" s="884"/>
      <c r="L126" s="884"/>
      <c r="M126" s="884">
        <f t="shared" si="5"/>
        <v>0</v>
      </c>
    </row>
    <row r="127" spans="1:224" s="322" customFormat="1" ht="30">
      <c r="A127" s="282">
        <v>21</v>
      </c>
      <c r="B127" s="359" t="s">
        <v>494</v>
      </c>
      <c r="C127" s="345" t="s">
        <v>495</v>
      </c>
      <c r="D127" s="284" t="s">
        <v>496</v>
      </c>
      <c r="E127" s="283"/>
      <c r="F127" s="364">
        <v>5.4</v>
      </c>
      <c r="G127" s="883"/>
      <c r="H127" s="883"/>
      <c r="I127" s="883"/>
      <c r="J127" s="883"/>
      <c r="K127" s="883"/>
      <c r="L127" s="883"/>
      <c r="M127" s="883">
        <f>SUM(M128:M136)</f>
        <v>0</v>
      </c>
    </row>
    <row r="128" spans="1:224" s="322" customFormat="1">
      <c r="A128" s="356"/>
      <c r="B128" s="359"/>
      <c r="C128" s="360" t="s">
        <v>416</v>
      </c>
      <c r="D128" s="361" t="s">
        <v>40</v>
      </c>
      <c r="E128" s="289">
        <f>74/100</f>
        <v>0.74</v>
      </c>
      <c r="F128" s="289">
        <f>F127*E128</f>
        <v>3.996</v>
      </c>
      <c r="G128" s="884"/>
      <c r="H128" s="884"/>
      <c r="I128" s="890">
        <v>0</v>
      </c>
      <c r="J128" s="884">
        <f>F128*I128</f>
        <v>0</v>
      </c>
      <c r="K128" s="884"/>
      <c r="L128" s="884"/>
      <c r="M128" s="884">
        <f t="shared" si="5"/>
        <v>0</v>
      </c>
    </row>
    <row r="129" spans="1:224" s="322" customFormat="1">
      <c r="A129" s="282"/>
      <c r="B129" s="331" t="s">
        <v>497</v>
      </c>
      <c r="C129" s="368" t="s">
        <v>498</v>
      </c>
      <c r="D129" s="361" t="s">
        <v>72</v>
      </c>
      <c r="E129" s="289" t="s">
        <v>499</v>
      </c>
      <c r="F129" s="289">
        <v>2</v>
      </c>
      <c r="G129" s="901">
        <v>0</v>
      </c>
      <c r="H129" s="884">
        <f>G129*F129</f>
        <v>0</v>
      </c>
      <c r="I129" s="884"/>
      <c r="J129" s="884"/>
      <c r="K129" s="884"/>
      <c r="L129" s="884"/>
      <c r="M129" s="884">
        <f t="shared" si="5"/>
        <v>0</v>
      </c>
    </row>
    <row r="130" spans="1:224" s="322" customFormat="1">
      <c r="A130" s="282"/>
      <c r="B130" s="331" t="s">
        <v>500</v>
      </c>
      <c r="C130" s="360" t="s">
        <v>501</v>
      </c>
      <c r="D130" s="361" t="s">
        <v>496</v>
      </c>
      <c r="E130" s="289" t="s">
        <v>499</v>
      </c>
      <c r="F130" s="289">
        <v>5.4</v>
      </c>
      <c r="G130" s="901">
        <v>0</v>
      </c>
      <c r="H130" s="884">
        <f>G130*F130</f>
        <v>0</v>
      </c>
      <c r="I130" s="884"/>
      <c r="J130" s="884"/>
      <c r="K130" s="884"/>
      <c r="L130" s="884"/>
      <c r="M130" s="884">
        <f t="shared" si="5"/>
        <v>0</v>
      </c>
    </row>
    <row r="131" spans="1:224" s="322" customFormat="1" ht="17.399999999999999">
      <c r="A131" s="282"/>
      <c r="B131" s="331" t="s">
        <v>502</v>
      </c>
      <c r="C131" s="360" t="s">
        <v>503</v>
      </c>
      <c r="D131" s="361" t="s">
        <v>72</v>
      </c>
      <c r="E131" s="289" t="s">
        <v>499</v>
      </c>
      <c r="F131" s="289">
        <v>2</v>
      </c>
      <c r="G131" s="901">
        <v>0</v>
      </c>
      <c r="H131" s="884">
        <f>G131*F131</f>
        <v>0</v>
      </c>
      <c r="I131" s="884"/>
      <c r="J131" s="884"/>
      <c r="K131" s="884"/>
      <c r="L131" s="884"/>
      <c r="M131" s="884">
        <f t="shared" si="5"/>
        <v>0</v>
      </c>
    </row>
    <row r="132" spans="1:224" s="322" customFormat="1">
      <c r="A132" s="282"/>
      <c r="B132" s="331" t="s">
        <v>504</v>
      </c>
      <c r="C132" s="360" t="s">
        <v>505</v>
      </c>
      <c r="D132" s="361" t="s">
        <v>449</v>
      </c>
      <c r="E132" s="289">
        <v>4.0599999999999996</v>
      </c>
      <c r="F132" s="289">
        <f>F127*E132</f>
        <v>21.923999999999999</v>
      </c>
      <c r="G132" s="901">
        <v>0</v>
      </c>
      <c r="H132" s="884">
        <f t="shared" ref="H132:H134" si="8">G132*F132</f>
        <v>0</v>
      </c>
      <c r="I132" s="884"/>
      <c r="J132" s="884"/>
      <c r="K132" s="884"/>
      <c r="L132" s="884"/>
      <c r="M132" s="884">
        <f t="shared" si="5"/>
        <v>0</v>
      </c>
    </row>
    <row r="133" spans="1:224" s="322" customFormat="1">
      <c r="A133" s="282"/>
      <c r="B133" s="331" t="s">
        <v>506</v>
      </c>
      <c r="C133" s="360" t="s">
        <v>507</v>
      </c>
      <c r="D133" s="361" t="s">
        <v>449</v>
      </c>
      <c r="E133" s="289">
        <v>0.128</v>
      </c>
      <c r="F133" s="289">
        <f>F127*E133</f>
        <v>0.69120000000000004</v>
      </c>
      <c r="G133" s="901">
        <v>0</v>
      </c>
      <c r="H133" s="884">
        <f t="shared" si="8"/>
        <v>0</v>
      </c>
      <c r="I133" s="884"/>
      <c r="J133" s="884"/>
      <c r="K133" s="884"/>
      <c r="L133" s="884"/>
      <c r="M133" s="884">
        <f t="shared" si="5"/>
        <v>0</v>
      </c>
    </row>
    <row r="134" spans="1:224" s="322" customFormat="1">
      <c r="A134" s="282"/>
      <c r="B134" s="331" t="s">
        <v>508</v>
      </c>
      <c r="C134" s="360" t="s">
        <v>509</v>
      </c>
      <c r="D134" s="361" t="s">
        <v>449</v>
      </c>
      <c r="E134" s="289">
        <v>0.128</v>
      </c>
      <c r="F134" s="289">
        <f>F127*E134</f>
        <v>0.69120000000000004</v>
      </c>
      <c r="G134" s="901">
        <v>0</v>
      </c>
      <c r="H134" s="884">
        <f t="shared" si="8"/>
        <v>0</v>
      </c>
      <c r="I134" s="884"/>
      <c r="J134" s="884"/>
      <c r="K134" s="884"/>
      <c r="L134" s="884"/>
      <c r="M134" s="884">
        <f t="shared" ref="M134:M148" si="9">L134+J134+H134</f>
        <v>0</v>
      </c>
    </row>
    <row r="135" spans="1:224" s="322" customFormat="1">
      <c r="A135" s="282"/>
      <c r="B135" s="359"/>
      <c r="C135" s="360" t="s">
        <v>453</v>
      </c>
      <c r="D135" s="361" t="s">
        <v>417</v>
      </c>
      <c r="E135" s="297">
        <f>6.62/100</f>
        <v>6.6199999999999995E-2</v>
      </c>
      <c r="F135" s="289">
        <f>F127*E135</f>
        <v>0.35748000000000002</v>
      </c>
      <c r="G135" s="884"/>
      <c r="H135" s="884"/>
      <c r="I135" s="884"/>
      <c r="J135" s="884"/>
      <c r="K135" s="884">
        <v>0</v>
      </c>
      <c r="L135" s="884">
        <f>F135*K135</f>
        <v>0</v>
      </c>
      <c r="M135" s="884">
        <f t="shared" si="9"/>
        <v>0</v>
      </c>
    </row>
    <row r="136" spans="1:224" s="322" customFormat="1">
      <c r="A136" s="369"/>
      <c r="B136" s="362"/>
      <c r="C136" s="360" t="s">
        <v>458</v>
      </c>
      <c r="D136" s="361" t="s">
        <v>417</v>
      </c>
      <c r="E136" s="333">
        <f>13.3/100</f>
        <v>0.13300000000000001</v>
      </c>
      <c r="F136" s="289">
        <f>F127*E136</f>
        <v>0.71820000000000006</v>
      </c>
      <c r="G136" s="884">
        <v>0</v>
      </c>
      <c r="H136" s="884">
        <f>G136*F136</f>
        <v>0</v>
      </c>
      <c r="I136" s="884"/>
      <c r="J136" s="884"/>
      <c r="K136" s="884"/>
      <c r="L136" s="884"/>
      <c r="M136" s="884">
        <f t="shared" si="9"/>
        <v>0</v>
      </c>
    </row>
    <row r="137" spans="1:224" s="322" customFormat="1" ht="30">
      <c r="A137" s="284">
        <v>22</v>
      </c>
      <c r="B137" s="285" t="s">
        <v>510</v>
      </c>
      <c r="C137" s="377" t="s">
        <v>511</v>
      </c>
      <c r="D137" s="284" t="s">
        <v>25</v>
      </c>
      <c r="E137" s="288"/>
      <c r="F137" s="288">
        <v>9.52</v>
      </c>
      <c r="G137" s="883"/>
      <c r="H137" s="883"/>
      <c r="I137" s="883"/>
      <c r="J137" s="883"/>
      <c r="K137" s="883"/>
      <c r="L137" s="883"/>
      <c r="M137" s="883">
        <f>SUM(M138:M142)</f>
        <v>0</v>
      </c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6"/>
      <c r="BE137" s="316"/>
      <c r="BF137" s="316"/>
      <c r="BG137" s="316"/>
      <c r="BH137" s="316"/>
      <c r="BI137" s="316"/>
      <c r="BJ137" s="316"/>
      <c r="BK137" s="316"/>
      <c r="BL137" s="316"/>
      <c r="BM137" s="316"/>
      <c r="BN137" s="316"/>
      <c r="BO137" s="316"/>
      <c r="BP137" s="316"/>
      <c r="BQ137" s="316"/>
      <c r="BR137" s="316"/>
      <c r="BS137" s="316"/>
      <c r="BT137" s="316"/>
      <c r="BU137" s="316"/>
      <c r="BV137" s="316"/>
      <c r="BW137" s="316"/>
      <c r="BX137" s="316"/>
      <c r="BY137" s="316"/>
      <c r="BZ137" s="316"/>
      <c r="CA137" s="316"/>
      <c r="CB137" s="316"/>
      <c r="CC137" s="316"/>
      <c r="CD137" s="316"/>
      <c r="CE137" s="316"/>
      <c r="CF137" s="316"/>
      <c r="CG137" s="316"/>
      <c r="CH137" s="316"/>
      <c r="CI137" s="316"/>
      <c r="CJ137" s="316"/>
      <c r="CK137" s="316"/>
      <c r="CL137" s="316"/>
      <c r="CM137" s="316"/>
      <c r="CN137" s="316"/>
      <c r="CO137" s="316"/>
      <c r="CP137" s="316"/>
      <c r="CQ137" s="316"/>
      <c r="CR137" s="316"/>
      <c r="CS137" s="316"/>
      <c r="CT137" s="316"/>
      <c r="CU137" s="316"/>
      <c r="CV137" s="316"/>
      <c r="CW137" s="316"/>
      <c r="CX137" s="316"/>
      <c r="CY137" s="316"/>
      <c r="CZ137" s="316"/>
      <c r="DA137" s="316"/>
      <c r="DB137" s="316"/>
      <c r="DC137" s="316"/>
      <c r="DD137" s="316"/>
      <c r="DE137" s="316"/>
      <c r="DF137" s="316"/>
      <c r="DG137" s="316"/>
      <c r="DH137" s="316"/>
      <c r="DI137" s="316"/>
      <c r="DJ137" s="316"/>
      <c r="DK137" s="316"/>
      <c r="DL137" s="316"/>
      <c r="DM137" s="316"/>
      <c r="DN137" s="316"/>
      <c r="DO137" s="316"/>
      <c r="DP137" s="316"/>
      <c r="DQ137" s="316"/>
      <c r="DR137" s="316"/>
      <c r="DS137" s="316"/>
      <c r="DT137" s="316"/>
      <c r="DU137" s="316"/>
      <c r="DV137" s="316"/>
      <c r="DW137" s="316"/>
      <c r="DX137" s="316"/>
      <c r="DY137" s="316"/>
      <c r="DZ137" s="316"/>
      <c r="EA137" s="316"/>
      <c r="EB137" s="316"/>
      <c r="EC137" s="316"/>
      <c r="ED137" s="316"/>
      <c r="EE137" s="316"/>
      <c r="EF137" s="316"/>
      <c r="EG137" s="316"/>
      <c r="EH137" s="316"/>
      <c r="EI137" s="316"/>
      <c r="EJ137" s="316"/>
      <c r="EK137" s="316"/>
      <c r="EL137" s="316"/>
      <c r="EM137" s="316"/>
      <c r="EN137" s="316"/>
      <c r="EO137" s="316"/>
      <c r="EP137" s="316"/>
      <c r="EQ137" s="316"/>
      <c r="ER137" s="316"/>
      <c r="ES137" s="316"/>
      <c r="ET137" s="316"/>
      <c r="EU137" s="316"/>
      <c r="EV137" s="316"/>
      <c r="EW137" s="316"/>
      <c r="EX137" s="316"/>
      <c r="EY137" s="316"/>
      <c r="EZ137" s="316"/>
      <c r="FA137" s="316"/>
      <c r="FB137" s="316"/>
      <c r="FC137" s="316"/>
      <c r="FD137" s="316"/>
      <c r="FE137" s="316"/>
      <c r="FF137" s="316"/>
      <c r="FG137" s="316"/>
      <c r="FH137" s="316"/>
      <c r="FI137" s="316"/>
      <c r="FJ137" s="316"/>
      <c r="FK137" s="316"/>
      <c r="FL137" s="316"/>
      <c r="FM137" s="316"/>
      <c r="FN137" s="316"/>
      <c r="FO137" s="316"/>
      <c r="FP137" s="316"/>
      <c r="FQ137" s="316"/>
      <c r="FR137" s="316"/>
      <c r="FS137" s="316"/>
      <c r="FT137" s="316"/>
      <c r="FU137" s="316"/>
      <c r="FV137" s="316"/>
      <c r="FW137" s="316"/>
      <c r="FX137" s="316"/>
      <c r="FY137" s="316"/>
      <c r="FZ137" s="316"/>
      <c r="GA137" s="316"/>
      <c r="GB137" s="316"/>
      <c r="GC137" s="316"/>
      <c r="GD137" s="316"/>
      <c r="GE137" s="316"/>
      <c r="GF137" s="316"/>
      <c r="GG137" s="316"/>
      <c r="GH137" s="316"/>
      <c r="GI137" s="316"/>
      <c r="GJ137" s="316"/>
      <c r="GK137" s="316"/>
      <c r="GL137" s="316"/>
      <c r="GM137" s="316"/>
      <c r="GN137" s="316"/>
      <c r="GO137" s="316"/>
      <c r="GP137" s="316"/>
      <c r="GQ137" s="316"/>
      <c r="GR137" s="316"/>
      <c r="GS137" s="316"/>
      <c r="GT137" s="316"/>
      <c r="GU137" s="316"/>
      <c r="GV137" s="316"/>
      <c r="GW137" s="316"/>
      <c r="GX137" s="316"/>
      <c r="GY137" s="316"/>
      <c r="GZ137" s="316"/>
      <c r="HA137" s="316"/>
      <c r="HB137" s="316"/>
      <c r="HC137" s="316"/>
      <c r="HD137" s="316"/>
      <c r="HE137" s="316"/>
      <c r="HF137" s="316"/>
      <c r="HG137" s="316"/>
      <c r="HH137" s="316"/>
      <c r="HI137" s="316"/>
      <c r="HJ137" s="316"/>
      <c r="HK137" s="316"/>
      <c r="HL137" s="316"/>
      <c r="HM137" s="316"/>
      <c r="HN137" s="316"/>
      <c r="HO137" s="316"/>
      <c r="HP137" s="316"/>
    </row>
    <row r="138" spans="1:224" s="322" customFormat="1">
      <c r="A138" s="356"/>
      <c r="B138" s="359"/>
      <c r="C138" s="360" t="s">
        <v>416</v>
      </c>
      <c r="D138" s="361" t="s">
        <v>40</v>
      </c>
      <c r="E138" s="289">
        <v>3.36</v>
      </c>
      <c r="F138" s="289">
        <f>F137*E138</f>
        <v>31.987199999999998</v>
      </c>
      <c r="G138" s="884"/>
      <c r="H138" s="884"/>
      <c r="I138" s="890">
        <v>0</v>
      </c>
      <c r="J138" s="893">
        <f>I138*F138</f>
        <v>0</v>
      </c>
      <c r="K138" s="893"/>
      <c r="L138" s="893"/>
      <c r="M138" s="884">
        <f t="shared" si="9"/>
        <v>0</v>
      </c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W138" s="332"/>
      <c r="BX138" s="332"/>
      <c r="BY138" s="332"/>
      <c r="BZ138" s="332"/>
      <c r="CA138" s="332"/>
      <c r="CB138" s="332"/>
      <c r="CC138" s="332"/>
      <c r="CD138" s="332"/>
      <c r="CE138" s="332"/>
      <c r="CF138" s="332"/>
      <c r="CG138" s="332"/>
      <c r="CH138" s="332"/>
      <c r="CI138" s="332"/>
      <c r="CJ138" s="332"/>
      <c r="CK138" s="332"/>
      <c r="CL138" s="332"/>
      <c r="CM138" s="332"/>
      <c r="CN138" s="332"/>
      <c r="CO138" s="332"/>
      <c r="CP138" s="332"/>
      <c r="CQ138" s="332"/>
      <c r="CR138" s="332"/>
      <c r="CS138" s="332"/>
      <c r="CT138" s="332"/>
      <c r="CU138" s="332"/>
      <c r="CV138" s="332"/>
      <c r="CW138" s="332"/>
      <c r="CX138" s="332"/>
      <c r="CY138" s="332"/>
      <c r="CZ138" s="332"/>
      <c r="DA138" s="332"/>
      <c r="DB138" s="332"/>
      <c r="DC138" s="332"/>
      <c r="DD138" s="332"/>
      <c r="DE138" s="332"/>
      <c r="DF138" s="332"/>
      <c r="DG138" s="332"/>
      <c r="DH138" s="332"/>
      <c r="DI138" s="332"/>
      <c r="DJ138" s="332"/>
      <c r="DK138" s="332"/>
      <c r="DL138" s="332"/>
      <c r="DM138" s="332"/>
      <c r="DN138" s="332"/>
      <c r="DO138" s="332"/>
      <c r="DP138" s="332"/>
      <c r="DQ138" s="332"/>
      <c r="DR138" s="332"/>
      <c r="DS138" s="332"/>
      <c r="DT138" s="332"/>
      <c r="DU138" s="332"/>
      <c r="DV138" s="332"/>
      <c r="DW138" s="332"/>
      <c r="DX138" s="332"/>
      <c r="DY138" s="332"/>
      <c r="DZ138" s="332"/>
      <c r="EA138" s="332"/>
      <c r="EB138" s="332"/>
      <c r="EC138" s="332"/>
      <c r="ED138" s="332"/>
      <c r="EE138" s="332"/>
      <c r="EF138" s="332"/>
      <c r="EG138" s="332"/>
      <c r="EH138" s="332"/>
      <c r="EI138" s="332"/>
      <c r="EJ138" s="332"/>
      <c r="EK138" s="332"/>
      <c r="EL138" s="332"/>
      <c r="EM138" s="332"/>
      <c r="EN138" s="332"/>
      <c r="EO138" s="332"/>
      <c r="EP138" s="332"/>
      <c r="EQ138" s="332"/>
      <c r="ER138" s="332"/>
      <c r="ES138" s="332"/>
      <c r="ET138" s="332"/>
      <c r="EU138" s="332"/>
      <c r="EV138" s="332"/>
      <c r="EW138" s="332"/>
      <c r="EX138" s="332"/>
      <c r="EY138" s="332"/>
      <c r="EZ138" s="332"/>
      <c r="FA138" s="332"/>
      <c r="FB138" s="332"/>
      <c r="FC138" s="332"/>
      <c r="FD138" s="332"/>
      <c r="FE138" s="332"/>
      <c r="FF138" s="332"/>
      <c r="FG138" s="332"/>
      <c r="FH138" s="332"/>
      <c r="FI138" s="332"/>
      <c r="FJ138" s="332"/>
      <c r="FK138" s="332"/>
      <c r="FL138" s="332"/>
      <c r="FM138" s="332"/>
      <c r="FN138" s="332"/>
      <c r="FO138" s="332"/>
      <c r="FP138" s="332"/>
      <c r="FQ138" s="332"/>
      <c r="FR138" s="332"/>
      <c r="FS138" s="332"/>
      <c r="FT138" s="332"/>
      <c r="FU138" s="332"/>
      <c r="FV138" s="332"/>
      <c r="FW138" s="332"/>
      <c r="FX138" s="332"/>
      <c r="FY138" s="332"/>
      <c r="FZ138" s="332"/>
      <c r="GA138" s="332"/>
      <c r="GB138" s="332"/>
      <c r="GC138" s="332"/>
      <c r="GD138" s="332"/>
      <c r="GE138" s="332"/>
      <c r="GF138" s="332"/>
      <c r="GG138" s="332"/>
      <c r="GH138" s="332"/>
      <c r="GI138" s="332"/>
      <c r="GJ138" s="332"/>
      <c r="GK138" s="332"/>
      <c r="GL138" s="332"/>
      <c r="GM138" s="332"/>
      <c r="GN138" s="332"/>
      <c r="GO138" s="332"/>
      <c r="GP138" s="332"/>
      <c r="GQ138" s="332"/>
      <c r="GR138" s="332"/>
      <c r="GS138" s="332"/>
      <c r="GT138" s="332"/>
      <c r="GU138" s="332"/>
      <c r="GV138" s="332"/>
      <c r="GW138" s="332"/>
      <c r="GX138" s="332"/>
      <c r="GY138" s="332"/>
      <c r="GZ138" s="332"/>
      <c r="HA138" s="332"/>
      <c r="HB138" s="332"/>
      <c r="HC138" s="332"/>
      <c r="HD138" s="332"/>
      <c r="HE138" s="332"/>
      <c r="HF138" s="332"/>
      <c r="HG138" s="332"/>
      <c r="HH138" s="332"/>
      <c r="HI138" s="332"/>
      <c r="HJ138" s="332"/>
      <c r="HK138" s="332"/>
      <c r="HL138" s="332"/>
      <c r="HM138" s="332"/>
      <c r="HN138" s="332"/>
      <c r="HO138" s="332"/>
      <c r="HP138" s="332"/>
    </row>
    <row r="139" spans="1:224" s="322" customFormat="1">
      <c r="A139" s="284"/>
      <c r="B139" s="378"/>
      <c r="C139" s="360" t="s">
        <v>453</v>
      </c>
      <c r="D139" s="361" t="s">
        <v>417</v>
      </c>
      <c r="E139" s="289">
        <v>0.92</v>
      </c>
      <c r="F139" s="289">
        <f>E139*F137</f>
        <v>8.7584</v>
      </c>
      <c r="G139" s="884"/>
      <c r="H139" s="884"/>
      <c r="I139" s="884"/>
      <c r="J139" s="884"/>
      <c r="K139" s="884">
        <v>0</v>
      </c>
      <c r="L139" s="884">
        <f>F139*K139</f>
        <v>0</v>
      </c>
      <c r="M139" s="884">
        <f t="shared" si="9"/>
        <v>0</v>
      </c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 s="379"/>
      <c r="BP139" s="379"/>
      <c r="BQ139" s="379"/>
      <c r="BR139" s="379"/>
      <c r="BS139" s="379"/>
      <c r="BT139" s="379"/>
      <c r="BU139" s="379"/>
      <c r="BV139" s="379"/>
      <c r="BW139" s="379"/>
      <c r="BX139" s="379"/>
      <c r="BY139" s="379"/>
      <c r="BZ139" s="379"/>
      <c r="CA139" s="379"/>
      <c r="CB139" s="379"/>
      <c r="CC139" s="379"/>
      <c r="CD139" s="379"/>
      <c r="CE139" s="379"/>
      <c r="CF139" s="379"/>
      <c r="CG139" s="379"/>
      <c r="CH139" s="379"/>
      <c r="CI139" s="379"/>
      <c r="CJ139" s="379"/>
      <c r="CK139" s="379"/>
      <c r="CL139" s="379"/>
      <c r="CM139" s="379"/>
      <c r="CN139" s="379"/>
      <c r="CO139" s="379"/>
      <c r="CP139" s="379"/>
      <c r="CQ139" s="379"/>
      <c r="CR139" s="379"/>
      <c r="CS139" s="379"/>
      <c r="CT139" s="379"/>
      <c r="CU139" s="379"/>
      <c r="CV139" s="379"/>
      <c r="CW139" s="379"/>
      <c r="CX139" s="379"/>
      <c r="CY139" s="379"/>
      <c r="CZ139" s="379"/>
      <c r="DA139" s="379"/>
      <c r="DB139" s="379"/>
      <c r="DC139" s="379"/>
      <c r="DD139" s="379"/>
      <c r="DE139" s="379"/>
      <c r="DF139" s="379"/>
      <c r="DG139" s="379"/>
      <c r="DH139" s="379"/>
      <c r="DI139" s="379"/>
      <c r="DJ139" s="379"/>
      <c r="DK139" s="379"/>
      <c r="DL139" s="379"/>
      <c r="DM139" s="379"/>
      <c r="DN139" s="379"/>
      <c r="DO139" s="379"/>
      <c r="DP139" s="379"/>
      <c r="DQ139" s="379"/>
      <c r="DR139" s="379"/>
      <c r="DS139" s="379"/>
      <c r="DT139" s="379"/>
      <c r="DU139" s="379"/>
      <c r="DV139" s="379"/>
      <c r="DW139" s="379"/>
      <c r="DX139" s="379"/>
      <c r="DY139" s="379"/>
      <c r="DZ139" s="379"/>
      <c r="EA139" s="379"/>
      <c r="EB139" s="379"/>
      <c r="EC139" s="379"/>
      <c r="ED139" s="379"/>
      <c r="EE139" s="379"/>
      <c r="EF139" s="379"/>
      <c r="EG139" s="379"/>
      <c r="EH139" s="379"/>
      <c r="EI139" s="379"/>
      <c r="EJ139" s="379"/>
      <c r="EK139" s="379"/>
      <c r="EL139" s="379"/>
      <c r="EM139" s="379"/>
      <c r="EN139" s="379"/>
      <c r="EO139" s="379"/>
      <c r="EP139" s="379"/>
      <c r="EQ139" s="379"/>
      <c r="ER139" s="379"/>
      <c r="ES139" s="379"/>
      <c r="ET139" s="379"/>
      <c r="EU139" s="379"/>
      <c r="EV139" s="379"/>
      <c r="EW139" s="379"/>
      <c r="EX139" s="379"/>
      <c r="EY139" s="379"/>
      <c r="EZ139" s="379"/>
      <c r="FA139" s="379"/>
      <c r="FB139" s="379"/>
      <c r="FC139" s="379"/>
      <c r="FD139" s="379"/>
      <c r="FE139" s="379"/>
      <c r="FF139" s="379"/>
      <c r="FG139" s="379"/>
      <c r="FH139" s="379"/>
      <c r="FI139" s="379"/>
      <c r="FJ139" s="379"/>
      <c r="FK139" s="379"/>
      <c r="FL139" s="379"/>
      <c r="FM139" s="379"/>
      <c r="FN139" s="379"/>
      <c r="FO139" s="379"/>
      <c r="FP139" s="379"/>
      <c r="FQ139" s="379"/>
      <c r="FR139" s="379"/>
      <c r="FS139" s="379"/>
      <c r="FT139" s="379"/>
      <c r="FU139" s="379"/>
      <c r="FV139" s="379"/>
      <c r="FW139" s="379"/>
      <c r="FX139" s="379"/>
      <c r="FY139" s="379"/>
      <c r="FZ139" s="379"/>
      <c r="GA139" s="379"/>
      <c r="GB139" s="379"/>
      <c r="GC139" s="379"/>
      <c r="GD139" s="379"/>
      <c r="GE139" s="379"/>
      <c r="GF139" s="379"/>
      <c r="GG139" s="379"/>
      <c r="GH139" s="379"/>
      <c r="GI139" s="379"/>
      <c r="GJ139" s="379"/>
      <c r="GK139" s="379"/>
      <c r="GL139" s="379"/>
      <c r="GM139" s="379"/>
      <c r="GN139" s="379"/>
      <c r="GO139" s="379"/>
      <c r="GP139" s="379"/>
      <c r="GQ139" s="379"/>
      <c r="GR139" s="379"/>
      <c r="GS139" s="379"/>
      <c r="GT139" s="379"/>
      <c r="GU139" s="379"/>
      <c r="GV139" s="379"/>
      <c r="GW139" s="379"/>
      <c r="GX139" s="379"/>
      <c r="GY139" s="379"/>
      <c r="GZ139" s="379"/>
      <c r="HA139" s="379"/>
      <c r="HB139" s="379"/>
      <c r="HC139" s="379"/>
      <c r="HD139" s="379"/>
      <c r="HE139" s="379"/>
      <c r="HF139" s="379"/>
      <c r="HG139" s="379"/>
      <c r="HH139" s="379"/>
      <c r="HI139" s="379"/>
      <c r="HJ139" s="379"/>
      <c r="HK139" s="379"/>
      <c r="HL139" s="379"/>
      <c r="HM139" s="379"/>
      <c r="HN139" s="379"/>
      <c r="HO139" s="379"/>
      <c r="HP139" s="379"/>
    </row>
    <row r="140" spans="1:224" s="322" customFormat="1">
      <c r="A140" s="284"/>
      <c r="B140" s="331" t="s">
        <v>512</v>
      </c>
      <c r="C140" s="360" t="s">
        <v>513</v>
      </c>
      <c r="D140" s="380" t="s">
        <v>25</v>
      </c>
      <c r="E140" s="289">
        <v>0.11</v>
      </c>
      <c r="F140" s="289">
        <f>F137*E140</f>
        <v>1.0471999999999999</v>
      </c>
      <c r="G140" s="897">
        <v>0</v>
      </c>
      <c r="H140" s="884">
        <f>G140*F140</f>
        <v>0</v>
      </c>
      <c r="I140" s="884"/>
      <c r="J140" s="884"/>
      <c r="K140" s="884"/>
      <c r="L140" s="884"/>
      <c r="M140" s="884">
        <f t="shared" si="9"/>
        <v>0</v>
      </c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32"/>
      <c r="AX140" s="332"/>
      <c r="AY140" s="332"/>
      <c r="AZ140" s="332"/>
      <c r="BA140" s="332"/>
      <c r="BB140" s="332"/>
      <c r="BC140" s="332"/>
      <c r="BD140" s="332"/>
      <c r="BE140" s="332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 s="332"/>
      <c r="BP140" s="332"/>
      <c r="BQ140" s="332"/>
      <c r="BR140" s="332"/>
      <c r="BS140" s="332"/>
      <c r="BT140" s="332"/>
      <c r="BU140" s="332"/>
      <c r="BV140" s="332"/>
      <c r="BW140" s="332"/>
      <c r="BX140" s="332"/>
      <c r="BY140" s="332"/>
      <c r="BZ140" s="332"/>
      <c r="CA140" s="332"/>
      <c r="CB140" s="332"/>
      <c r="CC140" s="332"/>
      <c r="CD140" s="332"/>
      <c r="CE140" s="332"/>
      <c r="CF140" s="332"/>
      <c r="CG140" s="332"/>
      <c r="CH140" s="332"/>
      <c r="CI140" s="332"/>
      <c r="CJ140" s="332"/>
      <c r="CK140" s="332"/>
      <c r="CL140" s="332"/>
      <c r="CM140" s="332"/>
      <c r="CN140" s="332"/>
      <c r="CO140" s="332"/>
      <c r="CP140" s="332"/>
      <c r="CQ140" s="332"/>
      <c r="CR140" s="332"/>
      <c r="CS140" s="332"/>
      <c r="CT140" s="332"/>
      <c r="CU140" s="332"/>
      <c r="CV140" s="332"/>
      <c r="CW140" s="332"/>
      <c r="CX140" s="332"/>
      <c r="CY140" s="332"/>
      <c r="CZ140" s="332"/>
      <c r="DA140" s="332"/>
      <c r="DB140" s="332"/>
      <c r="DC140" s="332"/>
      <c r="DD140" s="332"/>
      <c r="DE140" s="332"/>
      <c r="DF140" s="332"/>
      <c r="DG140" s="332"/>
      <c r="DH140" s="332"/>
      <c r="DI140" s="332"/>
      <c r="DJ140" s="332"/>
      <c r="DK140" s="332"/>
      <c r="DL140" s="332"/>
      <c r="DM140" s="332"/>
      <c r="DN140" s="332"/>
      <c r="DO140" s="332"/>
      <c r="DP140" s="332"/>
      <c r="DQ140" s="332"/>
      <c r="DR140" s="332"/>
      <c r="DS140" s="332"/>
      <c r="DT140" s="332"/>
      <c r="DU140" s="332"/>
      <c r="DV140" s="332"/>
      <c r="DW140" s="332"/>
      <c r="DX140" s="332"/>
      <c r="DY140" s="332"/>
      <c r="DZ140" s="332"/>
      <c r="EA140" s="332"/>
      <c r="EB140" s="332"/>
      <c r="EC140" s="332"/>
      <c r="ED140" s="332"/>
      <c r="EE140" s="332"/>
      <c r="EF140" s="332"/>
      <c r="EG140" s="332"/>
      <c r="EH140" s="332"/>
      <c r="EI140" s="332"/>
      <c r="EJ140" s="332"/>
      <c r="EK140" s="332"/>
      <c r="EL140" s="332"/>
      <c r="EM140" s="332"/>
      <c r="EN140" s="332"/>
      <c r="EO140" s="332"/>
      <c r="EP140" s="332"/>
      <c r="EQ140" s="332"/>
      <c r="ER140" s="332"/>
      <c r="ES140" s="332"/>
      <c r="ET140" s="332"/>
      <c r="EU140" s="332"/>
      <c r="EV140" s="332"/>
      <c r="EW140" s="332"/>
      <c r="EX140" s="332"/>
      <c r="EY140" s="332"/>
      <c r="EZ140" s="332"/>
      <c r="FA140" s="332"/>
      <c r="FB140" s="332"/>
      <c r="FC140" s="332"/>
      <c r="FD140" s="332"/>
      <c r="FE140" s="332"/>
      <c r="FF140" s="332"/>
      <c r="FG140" s="332"/>
      <c r="FH140" s="332"/>
      <c r="FI140" s="332"/>
      <c r="FJ140" s="332"/>
      <c r="FK140" s="332"/>
      <c r="FL140" s="332"/>
      <c r="FM140" s="332"/>
      <c r="FN140" s="332"/>
      <c r="FO140" s="332"/>
      <c r="FP140" s="332"/>
      <c r="FQ140" s="332"/>
      <c r="FR140" s="332"/>
      <c r="FS140" s="332"/>
      <c r="FT140" s="332"/>
      <c r="FU140" s="332"/>
      <c r="FV140" s="332"/>
      <c r="FW140" s="332"/>
      <c r="FX140" s="332"/>
      <c r="FY140" s="332"/>
      <c r="FZ140" s="332"/>
      <c r="GA140" s="332"/>
      <c r="GB140" s="332"/>
      <c r="GC140" s="332"/>
      <c r="GD140" s="332"/>
      <c r="GE140" s="332"/>
      <c r="GF140" s="332"/>
      <c r="GG140" s="332"/>
      <c r="GH140" s="332"/>
      <c r="GI140" s="332"/>
      <c r="GJ140" s="332"/>
      <c r="GK140" s="332"/>
      <c r="GL140" s="332"/>
      <c r="GM140" s="332"/>
      <c r="GN140" s="332"/>
      <c r="GO140" s="332"/>
      <c r="GP140" s="332"/>
      <c r="GQ140" s="332"/>
      <c r="GR140" s="332"/>
      <c r="GS140" s="332"/>
      <c r="GT140" s="332"/>
      <c r="GU140" s="332"/>
      <c r="GV140" s="332"/>
      <c r="GW140" s="332"/>
      <c r="GX140" s="332"/>
      <c r="GY140" s="332"/>
      <c r="GZ140" s="332"/>
      <c r="HA140" s="332"/>
      <c r="HB140" s="332"/>
      <c r="HC140" s="332"/>
      <c r="HD140" s="332"/>
      <c r="HE140" s="332"/>
      <c r="HF140" s="332"/>
      <c r="HG140" s="332"/>
      <c r="HH140" s="332"/>
      <c r="HI140" s="332"/>
      <c r="HJ140" s="332"/>
      <c r="HK140" s="332"/>
      <c r="HL140" s="332"/>
      <c r="HM140" s="332"/>
      <c r="HN140" s="332"/>
      <c r="HO140" s="332"/>
      <c r="HP140" s="332"/>
    </row>
    <row r="141" spans="1:224" s="322" customFormat="1">
      <c r="A141" s="284"/>
      <c r="B141" s="378" t="s">
        <v>514</v>
      </c>
      <c r="C141" s="381" t="s">
        <v>515</v>
      </c>
      <c r="D141" s="380" t="s">
        <v>72</v>
      </c>
      <c r="E141" s="289">
        <v>62.5</v>
      </c>
      <c r="F141" s="289">
        <f>ROUND(F137*E141,0)</f>
        <v>595</v>
      </c>
      <c r="G141" s="897">
        <v>0</v>
      </c>
      <c r="H141" s="884">
        <f>G141*F141</f>
        <v>0</v>
      </c>
      <c r="I141" s="884"/>
      <c r="J141" s="884"/>
      <c r="K141" s="884"/>
      <c r="L141" s="884"/>
      <c r="M141" s="884">
        <f t="shared" si="9"/>
        <v>0</v>
      </c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79"/>
      <c r="BT141" s="379"/>
      <c r="BU141" s="379"/>
      <c r="BV141" s="379"/>
      <c r="BW141" s="379"/>
      <c r="BX141" s="379"/>
      <c r="BY141" s="379"/>
      <c r="BZ141" s="379"/>
      <c r="CA141" s="379"/>
      <c r="CB141" s="379"/>
      <c r="CC141" s="379"/>
      <c r="CD141" s="379"/>
      <c r="CE141" s="379"/>
      <c r="CF141" s="379"/>
      <c r="CG141" s="379"/>
      <c r="CH141" s="379"/>
      <c r="CI141" s="379"/>
      <c r="CJ141" s="379"/>
      <c r="CK141" s="379"/>
      <c r="CL141" s="379"/>
      <c r="CM141" s="379"/>
      <c r="CN141" s="379"/>
      <c r="CO141" s="379"/>
      <c r="CP141" s="379"/>
      <c r="CQ141" s="379"/>
      <c r="CR141" s="379"/>
      <c r="CS141" s="379"/>
      <c r="CT141" s="379"/>
      <c r="CU141" s="379"/>
      <c r="CV141" s="379"/>
      <c r="CW141" s="379"/>
      <c r="CX141" s="379"/>
      <c r="CY141" s="379"/>
      <c r="CZ141" s="379"/>
      <c r="DA141" s="379"/>
      <c r="DB141" s="379"/>
      <c r="DC141" s="379"/>
      <c r="DD141" s="379"/>
      <c r="DE141" s="379"/>
      <c r="DF141" s="379"/>
      <c r="DG141" s="379"/>
      <c r="DH141" s="379"/>
      <c r="DI141" s="379"/>
      <c r="DJ141" s="379"/>
      <c r="DK141" s="379"/>
      <c r="DL141" s="379"/>
      <c r="DM141" s="379"/>
      <c r="DN141" s="379"/>
      <c r="DO141" s="379"/>
      <c r="DP141" s="379"/>
      <c r="DQ141" s="379"/>
      <c r="DR141" s="379"/>
      <c r="DS141" s="379"/>
      <c r="DT141" s="379"/>
      <c r="DU141" s="379"/>
      <c r="DV141" s="379"/>
      <c r="DW141" s="379"/>
      <c r="DX141" s="379"/>
      <c r="DY141" s="379"/>
      <c r="DZ141" s="379"/>
      <c r="EA141" s="379"/>
      <c r="EB141" s="379"/>
      <c r="EC141" s="379"/>
      <c r="ED141" s="379"/>
      <c r="EE141" s="379"/>
      <c r="EF141" s="379"/>
      <c r="EG141" s="379"/>
      <c r="EH141" s="379"/>
      <c r="EI141" s="379"/>
      <c r="EJ141" s="379"/>
      <c r="EK141" s="379"/>
      <c r="EL141" s="379"/>
      <c r="EM141" s="379"/>
      <c r="EN141" s="379"/>
      <c r="EO141" s="379"/>
      <c r="EP141" s="379"/>
      <c r="EQ141" s="379"/>
      <c r="ER141" s="379"/>
      <c r="ES141" s="379"/>
      <c r="ET141" s="379"/>
      <c r="EU141" s="379"/>
      <c r="EV141" s="379"/>
      <c r="EW141" s="379"/>
      <c r="EX141" s="379"/>
      <c r="EY141" s="379"/>
      <c r="EZ141" s="379"/>
      <c r="FA141" s="379"/>
      <c r="FB141" s="379"/>
      <c r="FC141" s="379"/>
      <c r="FD141" s="379"/>
      <c r="FE141" s="379"/>
      <c r="FF141" s="379"/>
      <c r="FG141" s="379"/>
      <c r="FH141" s="379"/>
      <c r="FI141" s="379"/>
      <c r="FJ141" s="379"/>
      <c r="FK141" s="379"/>
      <c r="FL141" s="379"/>
      <c r="FM141" s="379"/>
      <c r="FN141" s="379"/>
      <c r="FO141" s="379"/>
      <c r="FP141" s="379"/>
      <c r="FQ141" s="379"/>
      <c r="FR141" s="379"/>
      <c r="FS141" s="379"/>
      <c r="FT141" s="379"/>
      <c r="FU141" s="379"/>
      <c r="FV141" s="379"/>
      <c r="FW141" s="379"/>
      <c r="FX141" s="379"/>
      <c r="FY141" s="379"/>
      <c r="FZ141" s="379"/>
      <c r="GA141" s="379"/>
      <c r="GB141" s="379"/>
      <c r="GC141" s="379"/>
      <c r="GD141" s="379"/>
      <c r="GE141" s="379"/>
      <c r="GF141" s="379"/>
      <c r="GG141" s="379"/>
      <c r="GH141" s="379"/>
      <c r="GI141" s="379"/>
      <c r="GJ141" s="379"/>
      <c r="GK141" s="379"/>
      <c r="GL141" s="379"/>
      <c r="GM141" s="379"/>
      <c r="GN141" s="379"/>
      <c r="GO141" s="379"/>
      <c r="GP141" s="379"/>
      <c r="GQ141" s="379"/>
      <c r="GR141" s="379"/>
      <c r="GS141" s="379"/>
      <c r="GT141" s="379"/>
      <c r="GU141" s="379"/>
      <c r="GV141" s="379"/>
      <c r="GW141" s="379"/>
      <c r="GX141" s="379"/>
      <c r="GY141" s="379"/>
      <c r="GZ141" s="379"/>
      <c r="HA141" s="379"/>
      <c r="HB141" s="379"/>
      <c r="HC141" s="379"/>
      <c r="HD141" s="379"/>
      <c r="HE141" s="379"/>
      <c r="HF141" s="379"/>
      <c r="HG141" s="379"/>
      <c r="HH141" s="379"/>
      <c r="HI141" s="379"/>
      <c r="HJ141" s="379"/>
      <c r="HK141" s="379"/>
      <c r="HL141" s="379"/>
      <c r="HM141" s="379"/>
      <c r="HN141" s="379"/>
      <c r="HO141" s="379"/>
      <c r="HP141" s="379"/>
    </row>
    <row r="142" spans="1:224" s="322" customFormat="1">
      <c r="A142" s="291"/>
      <c r="B142" s="378"/>
      <c r="C142" s="360" t="s">
        <v>458</v>
      </c>
      <c r="D142" s="361" t="s">
        <v>417</v>
      </c>
      <c r="E142" s="289">
        <v>0.16</v>
      </c>
      <c r="F142" s="341">
        <f>E142*F137</f>
        <v>1.5231999999999999</v>
      </c>
      <c r="G142" s="884">
        <v>0</v>
      </c>
      <c r="H142" s="884">
        <f>G142*F142</f>
        <v>0</v>
      </c>
      <c r="I142" s="884"/>
      <c r="J142" s="884"/>
      <c r="K142" s="884"/>
      <c r="L142" s="884"/>
      <c r="M142" s="884">
        <f t="shared" si="9"/>
        <v>0</v>
      </c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79"/>
      <c r="BX142" s="379"/>
      <c r="BY142" s="379"/>
      <c r="BZ142" s="379"/>
      <c r="CA142" s="379"/>
      <c r="CB142" s="379"/>
      <c r="CC142" s="379"/>
      <c r="CD142" s="379"/>
      <c r="CE142" s="379"/>
      <c r="CF142" s="379"/>
      <c r="CG142" s="379"/>
      <c r="CH142" s="379"/>
      <c r="CI142" s="379"/>
      <c r="CJ142" s="379"/>
      <c r="CK142" s="379"/>
      <c r="CL142" s="379"/>
      <c r="CM142" s="379"/>
      <c r="CN142" s="379"/>
      <c r="CO142" s="379"/>
      <c r="CP142" s="379"/>
      <c r="CQ142" s="379"/>
      <c r="CR142" s="379"/>
      <c r="CS142" s="379"/>
      <c r="CT142" s="379"/>
      <c r="CU142" s="379"/>
      <c r="CV142" s="379"/>
      <c r="CW142" s="379"/>
      <c r="CX142" s="379"/>
      <c r="CY142" s="379"/>
      <c r="CZ142" s="379"/>
      <c r="DA142" s="379"/>
      <c r="DB142" s="379"/>
      <c r="DC142" s="379"/>
      <c r="DD142" s="379"/>
      <c r="DE142" s="379"/>
      <c r="DF142" s="379"/>
      <c r="DG142" s="379"/>
      <c r="DH142" s="379"/>
      <c r="DI142" s="379"/>
      <c r="DJ142" s="379"/>
      <c r="DK142" s="379"/>
      <c r="DL142" s="379"/>
      <c r="DM142" s="379"/>
      <c r="DN142" s="379"/>
      <c r="DO142" s="379"/>
      <c r="DP142" s="379"/>
      <c r="DQ142" s="379"/>
      <c r="DR142" s="379"/>
      <c r="DS142" s="379"/>
      <c r="DT142" s="379"/>
      <c r="DU142" s="379"/>
      <c r="DV142" s="379"/>
      <c r="DW142" s="379"/>
      <c r="DX142" s="379"/>
      <c r="DY142" s="379"/>
      <c r="DZ142" s="379"/>
      <c r="EA142" s="379"/>
      <c r="EB142" s="379"/>
      <c r="EC142" s="379"/>
      <c r="ED142" s="379"/>
      <c r="EE142" s="379"/>
      <c r="EF142" s="379"/>
      <c r="EG142" s="379"/>
      <c r="EH142" s="379"/>
      <c r="EI142" s="379"/>
      <c r="EJ142" s="379"/>
      <c r="EK142" s="379"/>
      <c r="EL142" s="379"/>
      <c r="EM142" s="379"/>
      <c r="EN142" s="379"/>
      <c r="EO142" s="379"/>
      <c r="EP142" s="379"/>
      <c r="EQ142" s="379"/>
      <c r="ER142" s="379"/>
      <c r="ES142" s="379"/>
      <c r="ET142" s="379"/>
      <c r="EU142" s="379"/>
      <c r="EV142" s="379"/>
      <c r="EW142" s="379"/>
      <c r="EX142" s="379"/>
      <c r="EY142" s="379"/>
      <c r="EZ142" s="379"/>
      <c r="FA142" s="379"/>
      <c r="FB142" s="379"/>
      <c r="FC142" s="379"/>
      <c r="FD142" s="379"/>
      <c r="FE142" s="379"/>
      <c r="FF142" s="379"/>
      <c r="FG142" s="379"/>
      <c r="FH142" s="379"/>
      <c r="FI142" s="379"/>
      <c r="FJ142" s="379"/>
      <c r="FK142" s="379"/>
      <c r="FL142" s="379"/>
      <c r="FM142" s="379"/>
      <c r="FN142" s="379"/>
      <c r="FO142" s="379"/>
      <c r="FP142" s="379"/>
      <c r="FQ142" s="379"/>
      <c r="FR142" s="379"/>
      <c r="FS142" s="379"/>
      <c r="FT142" s="379"/>
      <c r="FU142" s="379"/>
      <c r="FV142" s="379"/>
      <c r="FW142" s="379"/>
      <c r="FX142" s="379"/>
      <c r="FY142" s="379"/>
      <c r="FZ142" s="379"/>
      <c r="GA142" s="379"/>
      <c r="GB142" s="379"/>
      <c r="GC142" s="379"/>
      <c r="GD142" s="379"/>
      <c r="GE142" s="379"/>
      <c r="GF142" s="379"/>
      <c r="GG142" s="379"/>
      <c r="GH142" s="379"/>
      <c r="GI142" s="379"/>
      <c r="GJ142" s="379"/>
      <c r="GK142" s="379"/>
      <c r="GL142" s="379"/>
      <c r="GM142" s="379"/>
      <c r="GN142" s="379"/>
      <c r="GO142" s="379"/>
      <c r="GP142" s="379"/>
      <c r="GQ142" s="379"/>
      <c r="GR142" s="379"/>
      <c r="GS142" s="379"/>
      <c r="GT142" s="379"/>
      <c r="GU142" s="379"/>
      <c r="GV142" s="379"/>
      <c r="GW142" s="379"/>
      <c r="GX142" s="379"/>
      <c r="GY142" s="379"/>
      <c r="GZ142" s="379"/>
      <c r="HA142" s="379"/>
      <c r="HB142" s="379"/>
      <c r="HC142" s="379"/>
      <c r="HD142" s="379"/>
      <c r="HE142" s="379"/>
      <c r="HF142" s="379"/>
      <c r="HG142" s="379"/>
      <c r="HH142" s="379"/>
      <c r="HI142" s="379"/>
      <c r="HJ142" s="379"/>
      <c r="HK142" s="379"/>
      <c r="HL142" s="379"/>
      <c r="HM142" s="379"/>
      <c r="HN142" s="379"/>
      <c r="HO142" s="379"/>
      <c r="HP142" s="379"/>
    </row>
    <row r="143" spans="1:224" s="322" customFormat="1">
      <c r="A143" s="284">
        <v>23</v>
      </c>
      <c r="B143" s="285" t="s">
        <v>492</v>
      </c>
      <c r="C143" s="286" t="s">
        <v>761</v>
      </c>
      <c r="D143" s="284" t="s">
        <v>433</v>
      </c>
      <c r="E143" s="376"/>
      <c r="F143" s="288">
        <v>9.35</v>
      </c>
      <c r="G143" s="883"/>
      <c r="H143" s="883"/>
      <c r="I143" s="883"/>
      <c r="J143" s="883"/>
      <c r="K143" s="886"/>
      <c r="L143" s="886"/>
      <c r="M143" s="883">
        <f>SUM(M144:M148)</f>
        <v>0</v>
      </c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  <c r="AG143" s="316"/>
      <c r="AH143" s="316"/>
      <c r="AI143" s="316"/>
      <c r="AJ143" s="316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  <c r="AU143" s="316"/>
      <c r="AV143" s="316"/>
      <c r="AW143" s="316"/>
      <c r="AX143" s="316"/>
      <c r="AY143" s="316"/>
      <c r="AZ143" s="316"/>
      <c r="BA143" s="316"/>
      <c r="BB143" s="316"/>
      <c r="BC143" s="316"/>
      <c r="BD143" s="316"/>
      <c r="BE143" s="316"/>
      <c r="BF143" s="316"/>
      <c r="BG143" s="316"/>
      <c r="BH143" s="316"/>
      <c r="BI143" s="316"/>
      <c r="BJ143" s="316"/>
      <c r="BK143" s="316"/>
      <c r="BL143" s="316"/>
      <c r="BM143" s="316"/>
      <c r="BN143" s="316"/>
      <c r="BO143" s="316"/>
      <c r="BP143" s="316"/>
      <c r="BQ143" s="316"/>
      <c r="BR143" s="316"/>
      <c r="BS143" s="316"/>
      <c r="BT143" s="316"/>
      <c r="BU143" s="316"/>
      <c r="BV143" s="316"/>
      <c r="BW143" s="316"/>
      <c r="BX143" s="316"/>
      <c r="BY143" s="316"/>
      <c r="BZ143" s="316"/>
      <c r="CA143" s="316"/>
      <c r="CB143" s="316"/>
      <c r="CC143" s="316"/>
      <c r="CD143" s="316"/>
      <c r="CE143" s="316"/>
      <c r="CF143" s="316"/>
      <c r="CG143" s="316"/>
      <c r="CH143" s="316"/>
      <c r="CI143" s="316"/>
      <c r="CJ143" s="316"/>
      <c r="CK143" s="316"/>
      <c r="CL143" s="316"/>
      <c r="CM143" s="316"/>
      <c r="CN143" s="316"/>
      <c r="CO143" s="316"/>
      <c r="CP143" s="316"/>
      <c r="CQ143" s="316"/>
      <c r="CR143" s="316"/>
      <c r="CS143" s="316"/>
      <c r="CT143" s="316"/>
      <c r="CU143" s="316"/>
      <c r="CV143" s="316"/>
      <c r="CW143" s="316"/>
      <c r="CX143" s="316"/>
      <c r="CY143" s="316"/>
      <c r="CZ143" s="316"/>
      <c r="DA143" s="316"/>
      <c r="DB143" s="316"/>
      <c r="DC143" s="316"/>
      <c r="DD143" s="316"/>
      <c r="DE143" s="316"/>
      <c r="DF143" s="316"/>
      <c r="DG143" s="316"/>
      <c r="DH143" s="316"/>
      <c r="DI143" s="316"/>
      <c r="DJ143" s="316"/>
      <c r="DK143" s="316"/>
      <c r="DL143" s="316"/>
      <c r="DM143" s="316"/>
      <c r="DN143" s="316"/>
      <c r="DO143" s="316"/>
      <c r="DP143" s="316"/>
      <c r="DQ143" s="316"/>
      <c r="DR143" s="316"/>
      <c r="DS143" s="316"/>
      <c r="DT143" s="316"/>
      <c r="DU143" s="316"/>
      <c r="DV143" s="316"/>
      <c r="DW143" s="316"/>
      <c r="DX143" s="316"/>
      <c r="DY143" s="316"/>
      <c r="DZ143" s="316"/>
      <c r="EA143" s="316"/>
      <c r="EB143" s="316"/>
      <c r="EC143" s="316"/>
      <c r="ED143" s="316"/>
      <c r="EE143" s="316"/>
      <c r="EF143" s="316"/>
      <c r="EG143" s="316"/>
      <c r="EH143" s="316"/>
      <c r="EI143" s="316"/>
      <c r="EJ143" s="316"/>
      <c r="EK143" s="316"/>
      <c r="EL143" s="316"/>
      <c r="EM143" s="316"/>
      <c r="EN143" s="316"/>
      <c r="EO143" s="316"/>
      <c r="EP143" s="316"/>
      <c r="EQ143" s="316"/>
      <c r="ER143" s="316"/>
      <c r="ES143" s="316"/>
      <c r="ET143" s="316"/>
      <c r="EU143" s="316"/>
      <c r="EV143" s="316"/>
      <c r="EW143" s="316"/>
      <c r="EX143" s="316"/>
      <c r="EY143" s="316"/>
      <c r="EZ143" s="316"/>
      <c r="FA143" s="316"/>
      <c r="FB143" s="316"/>
      <c r="FC143" s="316"/>
      <c r="FD143" s="316"/>
      <c r="FE143" s="316"/>
      <c r="FF143" s="316"/>
      <c r="FG143" s="316"/>
      <c r="FH143" s="316"/>
      <c r="FI143" s="316"/>
      <c r="FJ143" s="316"/>
      <c r="FK143" s="316"/>
      <c r="FL143" s="316"/>
      <c r="FM143" s="316"/>
      <c r="FN143" s="316"/>
      <c r="FO143" s="316"/>
      <c r="FP143" s="316"/>
      <c r="FQ143" s="316"/>
      <c r="FR143" s="316"/>
      <c r="FS143" s="316"/>
      <c r="FT143" s="316"/>
      <c r="FU143" s="316"/>
      <c r="FV143" s="316"/>
      <c r="FW143" s="316"/>
      <c r="FX143" s="316"/>
      <c r="FY143" s="316"/>
      <c r="FZ143" s="316"/>
      <c r="GA143" s="316"/>
      <c r="GB143" s="316"/>
      <c r="GC143" s="316"/>
      <c r="GD143" s="316"/>
      <c r="GE143" s="316"/>
      <c r="GF143" s="316"/>
      <c r="GG143" s="316"/>
      <c r="GH143" s="316"/>
      <c r="GI143" s="316"/>
      <c r="GJ143" s="316"/>
      <c r="GK143" s="316"/>
      <c r="GL143" s="316"/>
      <c r="GM143" s="316"/>
      <c r="GN143" s="316"/>
      <c r="GO143" s="316"/>
      <c r="GP143" s="316"/>
      <c r="GQ143" s="316"/>
      <c r="GR143" s="316"/>
      <c r="GS143" s="316"/>
      <c r="GT143" s="316"/>
      <c r="GU143" s="316"/>
      <c r="GV143" s="316"/>
      <c r="GW143" s="316"/>
      <c r="GX143" s="316"/>
      <c r="GY143" s="316"/>
      <c r="GZ143" s="316"/>
      <c r="HA143" s="316"/>
      <c r="HB143" s="316"/>
      <c r="HC143" s="316"/>
      <c r="HD143" s="316"/>
      <c r="HE143" s="316"/>
      <c r="HF143" s="316"/>
      <c r="HG143" s="316"/>
      <c r="HH143" s="316"/>
      <c r="HI143" s="316"/>
      <c r="HJ143" s="316"/>
      <c r="HK143" s="316"/>
      <c r="HL143" s="316"/>
      <c r="HM143" s="316"/>
      <c r="HN143" s="316"/>
      <c r="HO143" s="316"/>
      <c r="HP143" s="316"/>
    </row>
    <row r="144" spans="1:224" s="322" customFormat="1">
      <c r="A144" s="356"/>
      <c r="B144" s="359"/>
      <c r="C144" s="360" t="s">
        <v>416</v>
      </c>
      <c r="D144" s="361" t="s">
        <v>40</v>
      </c>
      <c r="E144" s="289">
        <v>0.83</v>
      </c>
      <c r="F144" s="289">
        <f>F143*E144</f>
        <v>7.7604999999999995</v>
      </c>
      <c r="G144" s="884"/>
      <c r="H144" s="884"/>
      <c r="I144" s="890">
        <v>0</v>
      </c>
      <c r="J144" s="884">
        <f>F144*I144</f>
        <v>0</v>
      </c>
      <c r="K144" s="884"/>
      <c r="L144" s="884"/>
      <c r="M144" s="884">
        <f t="shared" si="9"/>
        <v>0</v>
      </c>
    </row>
    <row r="145" spans="1:13" s="322" customFormat="1">
      <c r="A145" s="282"/>
      <c r="B145" s="331" t="s">
        <v>493</v>
      </c>
      <c r="C145" s="368" t="s">
        <v>760</v>
      </c>
      <c r="D145" s="361" t="s">
        <v>449</v>
      </c>
      <c r="E145" s="289">
        <v>1.17</v>
      </c>
      <c r="F145" s="289">
        <f>F143*E145</f>
        <v>10.939499999999999</v>
      </c>
      <c r="G145" s="901">
        <v>0</v>
      </c>
      <c r="H145" s="884">
        <f>G145*F145</f>
        <v>0</v>
      </c>
      <c r="I145" s="884"/>
      <c r="J145" s="884"/>
      <c r="K145" s="884"/>
      <c r="L145" s="884"/>
      <c r="M145" s="884">
        <f t="shared" si="9"/>
        <v>0</v>
      </c>
    </row>
    <row r="146" spans="1:13" s="322" customFormat="1">
      <c r="A146" s="282"/>
      <c r="B146" s="342" t="s">
        <v>516</v>
      </c>
      <c r="C146" s="368" t="s">
        <v>517</v>
      </c>
      <c r="D146" s="361" t="s">
        <v>6</v>
      </c>
      <c r="E146" s="289" t="s">
        <v>518</v>
      </c>
      <c r="F146" s="289">
        <v>0.48</v>
      </c>
      <c r="G146" s="901">
        <v>0</v>
      </c>
      <c r="H146" s="884">
        <f>G146*F146</f>
        <v>0</v>
      </c>
      <c r="I146" s="884"/>
      <c r="J146" s="884"/>
      <c r="K146" s="884"/>
      <c r="L146" s="884"/>
      <c r="M146" s="884">
        <f t="shared" si="9"/>
        <v>0</v>
      </c>
    </row>
    <row r="147" spans="1:13" s="322" customFormat="1">
      <c r="A147" s="282"/>
      <c r="B147" s="359"/>
      <c r="C147" s="360" t="s">
        <v>453</v>
      </c>
      <c r="D147" s="361" t="s">
        <v>417</v>
      </c>
      <c r="E147" s="297">
        <v>4.1000000000000003E-3</v>
      </c>
      <c r="F147" s="289">
        <f>F143*E147</f>
        <v>3.8335000000000001E-2</v>
      </c>
      <c r="G147" s="884"/>
      <c r="H147" s="884"/>
      <c r="I147" s="884"/>
      <c r="J147" s="884"/>
      <c r="K147" s="884">
        <v>0</v>
      </c>
      <c r="L147" s="884">
        <f>F147*K147</f>
        <v>0</v>
      </c>
      <c r="M147" s="884">
        <f t="shared" si="9"/>
        <v>0</v>
      </c>
    </row>
    <row r="148" spans="1:13" s="322" customFormat="1">
      <c r="A148" s="369"/>
      <c r="B148" s="362"/>
      <c r="C148" s="360" t="s">
        <v>458</v>
      </c>
      <c r="D148" s="361" t="s">
        <v>417</v>
      </c>
      <c r="E148" s="297">
        <v>7.8E-2</v>
      </c>
      <c r="F148" s="289">
        <f>F143*E148</f>
        <v>0.72929999999999995</v>
      </c>
      <c r="G148" s="884">
        <v>0</v>
      </c>
      <c r="H148" s="884">
        <f>G148*F148</f>
        <v>0</v>
      </c>
      <c r="I148" s="884"/>
      <c r="J148" s="884"/>
      <c r="K148" s="884"/>
      <c r="L148" s="884"/>
      <c r="M148" s="884">
        <f t="shared" si="9"/>
        <v>0</v>
      </c>
    </row>
    <row r="149" spans="1:13">
      <c r="A149" s="282"/>
      <c r="B149" s="282"/>
      <c r="C149" s="382" t="s">
        <v>519</v>
      </c>
      <c r="D149" s="282"/>
      <c r="E149" s="283"/>
      <c r="F149" s="283"/>
      <c r="G149" s="899"/>
      <c r="H149" s="899"/>
      <c r="I149" s="899"/>
      <c r="J149" s="899"/>
      <c r="K149" s="899"/>
      <c r="L149" s="899"/>
      <c r="M149" s="899"/>
    </row>
    <row r="150" spans="1:13">
      <c r="A150" s="282">
        <v>24</v>
      </c>
      <c r="B150" s="383" t="s">
        <v>520</v>
      </c>
      <c r="C150" s="384" t="s">
        <v>521</v>
      </c>
      <c r="D150" s="385" t="s">
        <v>522</v>
      </c>
      <c r="E150" s="386"/>
      <c r="F150" s="387">
        <v>1</v>
      </c>
      <c r="G150" s="905"/>
      <c r="H150" s="905"/>
      <c r="I150" s="906"/>
      <c r="J150" s="905"/>
      <c r="K150" s="907"/>
      <c r="L150" s="908"/>
      <c r="M150" s="909">
        <f>SUM(M151:M154)</f>
        <v>0</v>
      </c>
    </row>
    <row r="151" spans="1:13">
      <c r="A151" s="282"/>
      <c r="B151" s="389"/>
      <c r="C151" s="390" t="s">
        <v>63</v>
      </c>
      <c r="D151" s="391" t="s">
        <v>5</v>
      </c>
      <c r="E151" s="392">
        <v>2.19</v>
      </c>
      <c r="F151" s="393">
        <f>F150*E151</f>
        <v>2.19</v>
      </c>
      <c r="G151" s="910"/>
      <c r="H151" s="910"/>
      <c r="I151" s="884">
        <v>0</v>
      </c>
      <c r="J151" s="911">
        <f>F151*I151</f>
        <v>0</v>
      </c>
      <c r="K151" s="912"/>
      <c r="L151" s="911"/>
      <c r="M151" s="911">
        <f>J151</f>
        <v>0</v>
      </c>
    </row>
    <row r="152" spans="1:13">
      <c r="A152" s="282"/>
      <c r="B152" s="395"/>
      <c r="C152" s="390" t="s">
        <v>59</v>
      </c>
      <c r="D152" s="391" t="s">
        <v>7</v>
      </c>
      <c r="E152" s="392">
        <v>7.0000000000000007E-2</v>
      </c>
      <c r="F152" s="393">
        <f>F150*E152</f>
        <v>7.0000000000000007E-2</v>
      </c>
      <c r="G152" s="911"/>
      <c r="H152" s="913"/>
      <c r="I152" s="912"/>
      <c r="J152" s="912"/>
      <c r="K152" s="911">
        <v>0</v>
      </c>
      <c r="L152" s="911">
        <f>F152*K152</f>
        <v>0</v>
      </c>
      <c r="M152" s="911">
        <f>L152</f>
        <v>0</v>
      </c>
    </row>
    <row r="153" spans="1:13">
      <c r="A153" s="282"/>
      <c r="B153" s="396" t="s">
        <v>523</v>
      </c>
      <c r="C153" s="390" t="s">
        <v>524</v>
      </c>
      <c r="D153" s="391" t="s">
        <v>522</v>
      </c>
      <c r="E153" s="392">
        <v>1</v>
      </c>
      <c r="F153" s="393">
        <f>F150*E153</f>
        <v>1</v>
      </c>
      <c r="G153" s="913">
        <v>0</v>
      </c>
      <c r="H153" s="911">
        <f>F153*G153</f>
        <v>0</v>
      </c>
      <c r="I153" s="910"/>
      <c r="J153" s="910"/>
      <c r="K153" s="911"/>
      <c r="L153" s="911"/>
      <c r="M153" s="911">
        <f>H153</f>
        <v>0</v>
      </c>
    </row>
    <row r="154" spans="1:13">
      <c r="A154" s="282"/>
      <c r="B154" s="395"/>
      <c r="C154" s="397" t="s">
        <v>68</v>
      </c>
      <c r="D154" s="391" t="s">
        <v>7</v>
      </c>
      <c r="E154" s="392">
        <v>0.37</v>
      </c>
      <c r="F154" s="393">
        <f>F150*E154</f>
        <v>0.37</v>
      </c>
      <c r="G154" s="911">
        <v>0</v>
      </c>
      <c r="H154" s="911">
        <f>F154*G154</f>
        <v>0</v>
      </c>
      <c r="I154" s="910"/>
      <c r="J154" s="910"/>
      <c r="K154" s="912"/>
      <c r="L154" s="911"/>
      <c r="M154" s="911">
        <f>H154</f>
        <v>0</v>
      </c>
    </row>
    <row r="155" spans="1:13">
      <c r="A155" s="282">
        <v>25</v>
      </c>
      <c r="B155" s="398" t="s">
        <v>525</v>
      </c>
      <c r="C155" s="399" t="s">
        <v>526</v>
      </c>
      <c r="D155" s="400" t="s">
        <v>522</v>
      </c>
      <c r="E155" s="401"/>
      <c r="F155" s="401">
        <v>1</v>
      </c>
      <c r="G155" s="914"/>
      <c r="H155" s="915"/>
      <c r="I155" s="915"/>
      <c r="J155" s="915"/>
      <c r="K155" s="914"/>
      <c r="L155" s="915"/>
      <c r="M155" s="916">
        <f>SUM(M156:M160)</f>
        <v>0</v>
      </c>
    </row>
    <row r="156" spans="1:13">
      <c r="A156" s="282"/>
      <c r="B156" s="282"/>
      <c r="C156" s="402" t="s">
        <v>63</v>
      </c>
      <c r="D156" s="403" t="s">
        <v>5</v>
      </c>
      <c r="E156" s="404">
        <v>1.51</v>
      </c>
      <c r="F156" s="404">
        <f>F155*E156</f>
        <v>1.51</v>
      </c>
      <c r="G156" s="910"/>
      <c r="H156" s="910"/>
      <c r="I156" s="884">
        <v>0</v>
      </c>
      <c r="J156" s="917">
        <f>F156*I156</f>
        <v>0</v>
      </c>
      <c r="K156" s="918"/>
      <c r="L156" s="917"/>
      <c r="M156" s="917">
        <f>J156</f>
        <v>0</v>
      </c>
    </row>
    <row r="157" spans="1:13">
      <c r="A157" s="282"/>
      <c r="B157" s="282"/>
      <c r="C157" s="402" t="s">
        <v>59</v>
      </c>
      <c r="D157" s="403" t="s">
        <v>7</v>
      </c>
      <c r="E157" s="404">
        <v>0.13</v>
      </c>
      <c r="F157" s="404">
        <f>F155*E157</f>
        <v>0.13</v>
      </c>
      <c r="G157" s="917"/>
      <c r="H157" s="917"/>
      <c r="I157" s="918"/>
      <c r="J157" s="917"/>
      <c r="K157" s="917">
        <v>0</v>
      </c>
      <c r="L157" s="917">
        <f>F157*K157</f>
        <v>0</v>
      </c>
      <c r="M157" s="917">
        <f>L157</f>
        <v>0</v>
      </c>
    </row>
    <row r="158" spans="1:13">
      <c r="A158" s="282"/>
      <c r="B158" s="282" t="s">
        <v>527</v>
      </c>
      <c r="C158" s="402" t="s">
        <v>528</v>
      </c>
      <c r="D158" s="403" t="s">
        <v>522</v>
      </c>
      <c r="E158" s="404">
        <v>1</v>
      </c>
      <c r="F158" s="404">
        <f>F155*E158</f>
        <v>1</v>
      </c>
      <c r="G158" s="917">
        <v>0</v>
      </c>
      <c r="H158" s="917">
        <f>F158*G158</f>
        <v>0</v>
      </c>
      <c r="I158" s="910"/>
      <c r="J158" s="910"/>
      <c r="K158" s="917"/>
      <c r="L158" s="917"/>
      <c r="M158" s="917">
        <f>H158</f>
        <v>0</v>
      </c>
    </row>
    <row r="159" spans="1:13">
      <c r="A159" s="282"/>
      <c r="B159" s="331" t="s">
        <v>508</v>
      </c>
      <c r="C159" s="402" t="s">
        <v>529</v>
      </c>
      <c r="D159" s="403" t="s">
        <v>70</v>
      </c>
      <c r="E159" s="404">
        <v>1.1000000000000001</v>
      </c>
      <c r="F159" s="404">
        <f>F155*E159</f>
        <v>1.1000000000000001</v>
      </c>
      <c r="G159" s="917">
        <v>0</v>
      </c>
      <c r="H159" s="917">
        <f>F159*G159</f>
        <v>0</v>
      </c>
      <c r="I159" s="910"/>
      <c r="J159" s="910"/>
      <c r="K159" s="918"/>
      <c r="L159" s="917"/>
      <c r="M159" s="917">
        <f>H159</f>
        <v>0</v>
      </c>
    </row>
    <row r="160" spans="1:13">
      <c r="A160" s="282"/>
      <c r="B160" s="282"/>
      <c r="C160" s="397" t="s">
        <v>68</v>
      </c>
      <c r="D160" s="403" t="s">
        <v>7</v>
      </c>
      <c r="E160" s="404">
        <v>7.0000000000000007E-2</v>
      </c>
      <c r="F160" s="404">
        <f>F155*E160</f>
        <v>7.0000000000000007E-2</v>
      </c>
      <c r="G160" s="917">
        <v>0</v>
      </c>
      <c r="H160" s="917">
        <f>F160*G160</f>
        <v>0</v>
      </c>
      <c r="I160" s="910"/>
      <c r="J160" s="910"/>
      <c r="K160" s="918"/>
      <c r="L160" s="917"/>
      <c r="M160" s="917">
        <f>H160</f>
        <v>0</v>
      </c>
    </row>
    <row r="161" spans="1:13">
      <c r="A161" s="282">
        <v>26</v>
      </c>
      <c r="B161" s="405">
        <v>37211</v>
      </c>
      <c r="C161" s="406" t="s">
        <v>530</v>
      </c>
      <c r="D161" s="407" t="s">
        <v>522</v>
      </c>
      <c r="E161" s="408"/>
      <c r="F161" s="408">
        <v>1</v>
      </c>
      <c r="G161" s="919"/>
      <c r="H161" s="920"/>
      <c r="I161" s="920"/>
      <c r="J161" s="920"/>
      <c r="K161" s="919"/>
      <c r="L161" s="920"/>
      <c r="M161" s="921">
        <f>SUM(M162:M165)</f>
        <v>0</v>
      </c>
    </row>
    <row r="162" spans="1:13">
      <c r="A162" s="282"/>
      <c r="B162" s="282"/>
      <c r="C162" s="397" t="s">
        <v>63</v>
      </c>
      <c r="D162" s="409" t="s">
        <v>5</v>
      </c>
      <c r="E162" s="410">
        <v>0.92</v>
      </c>
      <c r="F162" s="410">
        <f>F161*E162</f>
        <v>0.92</v>
      </c>
      <c r="G162" s="910"/>
      <c r="H162" s="910"/>
      <c r="I162" s="884">
        <v>0</v>
      </c>
      <c r="J162" s="922">
        <f>F162*I162</f>
        <v>0</v>
      </c>
      <c r="K162" s="923"/>
      <c r="L162" s="922"/>
      <c r="M162" s="922">
        <f>J162</f>
        <v>0</v>
      </c>
    </row>
    <row r="163" spans="1:13">
      <c r="A163" s="282"/>
      <c r="B163" s="282"/>
      <c r="C163" s="397" t="s">
        <v>59</v>
      </c>
      <c r="D163" s="409" t="s">
        <v>7</v>
      </c>
      <c r="E163" s="410">
        <v>0.12</v>
      </c>
      <c r="F163" s="410">
        <f>F161*E163</f>
        <v>0.12</v>
      </c>
      <c r="G163" s="922"/>
      <c r="H163" s="922"/>
      <c r="I163" s="923"/>
      <c r="J163" s="922"/>
      <c r="K163" s="922">
        <v>0</v>
      </c>
      <c r="L163" s="922">
        <f>F163*K163</f>
        <v>0</v>
      </c>
      <c r="M163" s="922">
        <f>L163</f>
        <v>0</v>
      </c>
    </row>
    <row r="164" spans="1:13">
      <c r="A164" s="282"/>
      <c r="B164" s="282"/>
      <c r="C164" s="411" t="s">
        <v>531</v>
      </c>
      <c r="D164" s="412" t="s">
        <v>522</v>
      </c>
      <c r="E164" s="413">
        <v>1</v>
      </c>
      <c r="F164" s="413">
        <f>F161*E164</f>
        <v>1</v>
      </c>
      <c r="G164" s="924">
        <v>0</v>
      </c>
      <c r="H164" s="924">
        <f>F164*G164</f>
        <v>0</v>
      </c>
      <c r="I164" s="910"/>
      <c r="J164" s="910"/>
      <c r="K164" s="924"/>
      <c r="L164" s="924"/>
      <c r="M164" s="924">
        <f>H164</f>
        <v>0</v>
      </c>
    </row>
    <row r="165" spans="1:13">
      <c r="A165" s="282"/>
      <c r="B165" s="282"/>
      <c r="C165" s="397" t="s">
        <v>68</v>
      </c>
      <c r="D165" s="409" t="s">
        <v>7</v>
      </c>
      <c r="E165" s="410">
        <v>7.0000000000000007E-2</v>
      </c>
      <c r="F165" s="410">
        <f>F161*E165</f>
        <v>7.0000000000000007E-2</v>
      </c>
      <c r="G165" s="922">
        <v>0</v>
      </c>
      <c r="H165" s="922">
        <f>F165*G165</f>
        <v>0</v>
      </c>
      <c r="I165" s="910"/>
      <c r="J165" s="910"/>
      <c r="K165" s="923"/>
      <c r="L165" s="922"/>
      <c r="M165" s="922">
        <f>H165</f>
        <v>0</v>
      </c>
    </row>
    <row r="166" spans="1:13" ht="30">
      <c r="A166" s="282">
        <v>27</v>
      </c>
      <c r="B166" s="414" t="s">
        <v>532</v>
      </c>
      <c r="C166" s="399" t="s">
        <v>533</v>
      </c>
      <c r="D166" s="415" t="s">
        <v>351</v>
      </c>
      <c r="E166" s="416"/>
      <c r="F166" s="417">
        <v>15</v>
      </c>
      <c r="G166" s="925"/>
      <c r="H166" s="925"/>
      <c r="I166" s="926"/>
      <c r="J166" s="926"/>
      <c r="K166" s="925"/>
      <c r="L166" s="925"/>
      <c r="M166" s="927">
        <f>SUM(M167:M171)</f>
        <v>0</v>
      </c>
    </row>
    <row r="167" spans="1:13">
      <c r="A167" s="282"/>
      <c r="B167" s="282"/>
      <c r="C167" s="418" t="s">
        <v>63</v>
      </c>
      <c r="D167" s="419" t="s">
        <v>5</v>
      </c>
      <c r="E167" s="420">
        <v>0.60899999999999999</v>
      </c>
      <c r="F167" s="421">
        <f>F166*E167</f>
        <v>9.1349999999999998</v>
      </c>
      <c r="G167" s="910"/>
      <c r="H167" s="910"/>
      <c r="I167" s="884">
        <v>0</v>
      </c>
      <c r="J167" s="928">
        <f>F167*I167</f>
        <v>0</v>
      </c>
      <c r="K167" s="929"/>
      <c r="L167" s="928"/>
      <c r="M167" s="928">
        <f>J167</f>
        <v>0</v>
      </c>
    </row>
    <row r="168" spans="1:13">
      <c r="A168" s="282"/>
      <c r="B168" s="282"/>
      <c r="C168" s="418" t="s">
        <v>59</v>
      </c>
      <c r="D168" s="422" t="s">
        <v>7</v>
      </c>
      <c r="E168" s="423">
        <v>2.0999999999999999E-3</v>
      </c>
      <c r="F168" s="421">
        <f>F166*E168</f>
        <v>3.15E-2</v>
      </c>
      <c r="G168" s="928"/>
      <c r="H168" s="928"/>
      <c r="I168" s="929"/>
      <c r="J168" s="929"/>
      <c r="K168" s="928">
        <v>0</v>
      </c>
      <c r="L168" s="928">
        <f>F168*K168</f>
        <v>0</v>
      </c>
      <c r="M168" s="928">
        <f>L168</f>
        <v>0</v>
      </c>
    </row>
    <row r="169" spans="1:13">
      <c r="A169" s="282"/>
      <c r="B169" s="282" t="s">
        <v>534</v>
      </c>
      <c r="C169" s="411" t="s">
        <v>535</v>
      </c>
      <c r="D169" s="422" t="s">
        <v>351</v>
      </c>
      <c r="E169" s="421" t="s">
        <v>518</v>
      </c>
      <c r="F169" s="421">
        <f>F166</f>
        <v>15</v>
      </c>
      <c r="G169" s="928">
        <v>0</v>
      </c>
      <c r="H169" s="928">
        <f>F169*G169</f>
        <v>0</v>
      </c>
      <c r="I169" s="910"/>
      <c r="J169" s="910"/>
      <c r="K169" s="928"/>
      <c r="L169" s="928"/>
      <c r="M169" s="928">
        <f>H169</f>
        <v>0</v>
      </c>
    </row>
    <row r="170" spans="1:13">
      <c r="A170" s="282"/>
      <c r="B170" s="369" t="s">
        <v>536</v>
      </c>
      <c r="C170" s="418" t="s">
        <v>537</v>
      </c>
      <c r="D170" s="422" t="s">
        <v>70</v>
      </c>
      <c r="E170" s="424">
        <v>0.14000000000000001</v>
      </c>
      <c r="F170" s="421">
        <f>F166*E170</f>
        <v>2.1</v>
      </c>
      <c r="G170" s="928">
        <v>0</v>
      </c>
      <c r="H170" s="928">
        <f>F170*G170</f>
        <v>0</v>
      </c>
      <c r="I170" s="910"/>
      <c r="J170" s="910"/>
      <c r="K170" s="928"/>
      <c r="L170" s="928"/>
      <c r="M170" s="928">
        <f>H170</f>
        <v>0</v>
      </c>
    </row>
    <row r="171" spans="1:13">
      <c r="A171" s="282"/>
      <c r="B171" s="282"/>
      <c r="C171" s="397" t="s">
        <v>68</v>
      </c>
      <c r="D171" s="422" t="s">
        <v>7</v>
      </c>
      <c r="E171" s="424">
        <v>0.156</v>
      </c>
      <c r="F171" s="421">
        <f>F166*E171</f>
        <v>2.34</v>
      </c>
      <c r="G171" s="928">
        <v>0</v>
      </c>
      <c r="H171" s="930">
        <f>F171*G171</f>
        <v>0</v>
      </c>
      <c r="I171" s="910"/>
      <c r="J171" s="910"/>
      <c r="K171" s="928"/>
      <c r="L171" s="928"/>
      <c r="M171" s="928">
        <f>H171</f>
        <v>0</v>
      </c>
    </row>
    <row r="172" spans="1:13">
      <c r="A172" s="282">
        <v>28</v>
      </c>
      <c r="B172" s="383" t="s">
        <v>538</v>
      </c>
      <c r="C172" s="384" t="s">
        <v>539</v>
      </c>
      <c r="D172" s="385" t="s">
        <v>522</v>
      </c>
      <c r="E172" s="386"/>
      <c r="F172" s="388">
        <f>SUM(F175:F177)</f>
        <v>20</v>
      </c>
      <c r="G172" s="906"/>
      <c r="H172" s="906"/>
      <c r="I172" s="906"/>
      <c r="J172" s="906"/>
      <c r="K172" s="905"/>
      <c r="L172" s="906"/>
      <c r="M172" s="909">
        <f>SUM(M173:M178)</f>
        <v>0</v>
      </c>
    </row>
    <row r="173" spans="1:13">
      <c r="A173" s="282"/>
      <c r="B173" s="394"/>
      <c r="C173" s="390" t="s">
        <v>63</v>
      </c>
      <c r="D173" s="391" t="s">
        <v>5</v>
      </c>
      <c r="E173" s="392">
        <f>3.89/10</f>
        <v>0.38900000000000001</v>
      </c>
      <c r="F173" s="393">
        <f>F172*E173</f>
        <v>7.78</v>
      </c>
      <c r="G173" s="910"/>
      <c r="H173" s="910"/>
      <c r="I173" s="884">
        <v>0</v>
      </c>
      <c r="J173" s="911">
        <f>F173*I173</f>
        <v>0</v>
      </c>
      <c r="K173" s="912"/>
      <c r="L173" s="911"/>
      <c r="M173" s="911">
        <f>J173</f>
        <v>0</v>
      </c>
    </row>
    <row r="174" spans="1:13">
      <c r="A174" s="317"/>
      <c r="B174" s="330"/>
      <c r="C174" s="390" t="s">
        <v>59</v>
      </c>
      <c r="D174" s="391" t="s">
        <v>7</v>
      </c>
      <c r="E174" s="392">
        <f>1.51/10</f>
        <v>0.151</v>
      </c>
      <c r="F174" s="393">
        <f>F172*E174</f>
        <v>3.02</v>
      </c>
      <c r="G174" s="911"/>
      <c r="H174" s="911"/>
      <c r="I174" s="912"/>
      <c r="J174" s="911"/>
      <c r="K174" s="911">
        <v>0</v>
      </c>
      <c r="L174" s="911">
        <f>F174*K174</f>
        <v>0</v>
      </c>
      <c r="M174" s="911">
        <f>L174</f>
        <v>0</v>
      </c>
    </row>
    <row r="175" spans="1:13">
      <c r="A175" s="317"/>
      <c r="B175" s="291" t="s">
        <v>540</v>
      </c>
      <c r="C175" s="411" t="s">
        <v>541</v>
      </c>
      <c r="D175" s="391" t="s">
        <v>522</v>
      </c>
      <c r="E175" s="393" t="s">
        <v>518</v>
      </c>
      <c r="F175" s="393">
        <v>1</v>
      </c>
      <c r="G175" s="911">
        <v>0</v>
      </c>
      <c r="H175" s="911">
        <f>F175*G175</f>
        <v>0</v>
      </c>
      <c r="I175" s="931"/>
      <c r="J175" s="931"/>
      <c r="K175" s="911"/>
      <c r="L175" s="911"/>
      <c r="M175" s="911">
        <f>H175</f>
        <v>0</v>
      </c>
    </row>
    <row r="176" spans="1:13">
      <c r="A176" s="425"/>
      <c r="B176" s="291" t="s">
        <v>540</v>
      </c>
      <c r="C176" s="411" t="s">
        <v>542</v>
      </c>
      <c r="D176" s="391" t="s">
        <v>522</v>
      </c>
      <c r="E176" s="393" t="s">
        <v>518</v>
      </c>
      <c r="F176" s="393">
        <v>5</v>
      </c>
      <c r="G176" s="911">
        <v>0</v>
      </c>
      <c r="H176" s="911">
        <f>F176*G176</f>
        <v>0</v>
      </c>
      <c r="I176" s="931"/>
      <c r="J176" s="931"/>
      <c r="K176" s="911"/>
      <c r="L176" s="911"/>
      <c r="M176" s="911">
        <f>H176</f>
        <v>0</v>
      </c>
    </row>
    <row r="177" spans="1:13">
      <c r="A177" s="317"/>
      <c r="B177" s="291" t="s">
        <v>543</v>
      </c>
      <c r="C177" s="411" t="s">
        <v>544</v>
      </c>
      <c r="D177" s="391" t="s">
        <v>522</v>
      </c>
      <c r="E177" s="393" t="s">
        <v>518</v>
      </c>
      <c r="F177" s="393">
        <v>14</v>
      </c>
      <c r="G177" s="911">
        <v>0</v>
      </c>
      <c r="H177" s="911">
        <f>F177*G177</f>
        <v>0</v>
      </c>
      <c r="I177" s="931"/>
      <c r="J177" s="931"/>
      <c r="K177" s="911"/>
      <c r="L177" s="911"/>
      <c r="M177" s="911">
        <f>H177</f>
        <v>0</v>
      </c>
    </row>
    <row r="178" spans="1:13">
      <c r="A178" s="317"/>
      <c r="B178" s="330"/>
      <c r="C178" s="397" t="s">
        <v>68</v>
      </c>
      <c r="D178" s="391" t="s">
        <v>7</v>
      </c>
      <c r="E178" s="392">
        <f>0.24/10</f>
        <v>2.4E-2</v>
      </c>
      <c r="F178" s="393">
        <f>F172*E178</f>
        <v>0.48</v>
      </c>
      <c r="G178" s="911">
        <v>0</v>
      </c>
      <c r="H178" s="911">
        <f>F178*G178</f>
        <v>0</v>
      </c>
      <c r="I178" s="931"/>
      <c r="J178" s="931"/>
      <c r="K178" s="912"/>
      <c r="L178" s="911"/>
      <c r="M178" s="911">
        <f>H178</f>
        <v>0</v>
      </c>
    </row>
    <row r="179" spans="1:13">
      <c r="A179" s="426">
        <v>29</v>
      </c>
      <c r="B179" s="427" t="s">
        <v>545</v>
      </c>
      <c r="C179" s="428" t="s">
        <v>546</v>
      </c>
      <c r="D179" s="429" t="s">
        <v>65</v>
      </c>
      <c r="E179" s="429"/>
      <c r="F179" s="430">
        <v>1</v>
      </c>
      <c r="G179" s="932"/>
      <c r="H179" s="933"/>
      <c r="I179" s="934"/>
      <c r="J179" s="933"/>
      <c r="K179" s="934"/>
      <c r="L179" s="933"/>
      <c r="M179" s="933">
        <f>SUM(M180:M183)</f>
        <v>0</v>
      </c>
    </row>
    <row r="180" spans="1:13">
      <c r="A180" s="426"/>
      <c r="B180" s="426"/>
      <c r="C180" s="431" t="s">
        <v>58</v>
      </c>
      <c r="D180" s="432" t="s">
        <v>5</v>
      </c>
      <c r="E180" s="432">
        <v>0.35</v>
      </c>
      <c r="F180" s="433">
        <f>F179*E180</f>
        <v>0.35</v>
      </c>
      <c r="G180" s="935"/>
      <c r="H180" s="936"/>
      <c r="I180" s="884">
        <v>0</v>
      </c>
      <c r="J180" s="936">
        <f>F180*I180</f>
        <v>0</v>
      </c>
      <c r="K180" s="935"/>
      <c r="L180" s="936"/>
      <c r="M180" s="936">
        <f>H180+J180+L180</f>
        <v>0</v>
      </c>
    </row>
    <row r="181" spans="1:13">
      <c r="A181" s="426"/>
      <c r="B181" s="426"/>
      <c r="C181" s="431" t="s">
        <v>59</v>
      </c>
      <c r="D181" s="434" t="s">
        <v>7</v>
      </c>
      <c r="E181" s="432">
        <v>0.23</v>
      </c>
      <c r="F181" s="435">
        <f>E181*F179</f>
        <v>0.23</v>
      </c>
      <c r="G181" s="935"/>
      <c r="H181" s="936"/>
      <c r="I181" s="935"/>
      <c r="J181" s="936"/>
      <c r="K181" s="935">
        <v>0</v>
      </c>
      <c r="L181" s="936">
        <f>F181*K181</f>
        <v>0</v>
      </c>
      <c r="M181" s="936">
        <f>L181*1</f>
        <v>0</v>
      </c>
    </row>
    <row r="182" spans="1:13">
      <c r="A182" s="436"/>
      <c r="B182" s="437" t="s">
        <v>547</v>
      </c>
      <c r="C182" s="431" t="s">
        <v>548</v>
      </c>
      <c r="D182" s="434" t="s">
        <v>65</v>
      </c>
      <c r="E182" s="434"/>
      <c r="F182" s="438">
        <f>F179</f>
        <v>1</v>
      </c>
      <c r="G182" s="937">
        <v>0</v>
      </c>
      <c r="H182" s="937">
        <f>F182*G182</f>
        <v>0</v>
      </c>
      <c r="I182" s="935"/>
      <c r="J182" s="937"/>
      <c r="K182" s="938"/>
      <c r="L182" s="937"/>
      <c r="M182" s="937">
        <f>H182+J182+L182</f>
        <v>0</v>
      </c>
    </row>
    <row r="183" spans="1:13">
      <c r="A183" s="436"/>
      <c r="B183" s="439"/>
      <c r="C183" s="397" t="s">
        <v>68</v>
      </c>
      <c r="D183" s="434" t="s">
        <v>7</v>
      </c>
      <c r="E183" s="434">
        <v>0.01</v>
      </c>
      <c r="F183" s="438">
        <f>E183*F179</f>
        <v>0.01</v>
      </c>
      <c r="G183" s="938">
        <v>0</v>
      </c>
      <c r="H183" s="937">
        <f>F183*G183</f>
        <v>0</v>
      </c>
      <c r="I183" s="935"/>
      <c r="J183" s="937"/>
      <c r="K183" s="938"/>
      <c r="L183" s="937"/>
      <c r="M183" s="937">
        <f>H183+J183+L183</f>
        <v>0</v>
      </c>
    </row>
    <row r="184" spans="1:13">
      <c r="A184" s="284">
        <v>30</v>
      </c>
      <c r="B184" s="427" t="s">
        <v>545</v>
      </c>
      <c r="C184" s="428" t="s">
        <v>549</v>
      </c>
      <c r="D184" s="429" t="s">
        <v>65</v>
      </c>
      <c r="E184" s="429"/>
      <c r="F184" s="430">
        <v>2</v>
      </c>
      <c r="G184" s="932"/>
      <c r="H184" s="933"/>
      <c r="I184" s="934"/>
      <c r="J184" s="933"/>
      <c r="K184" s="934"/>
      <c r="L184" s="933"/>
      <c r="M184" s="933">
        <f>SUM(M185:M188)</f>
        <v>0</v>
      </c>
    </row>
    <row r="185" spans="1:13">
      <c r="A185" s="314"/>
      <c r="B185" s="426"/>
      <c r="C185" s="431" t="s">
        <v>58</v>
      </c>
      <c r="D185" s="432" t="s">
        <v>5</v>
      </c>
      <c r="E185" s="432">
        <v>0.35</v>
      </c>
      <c r="F185" s="433">
        <f>F184*E185</f>
        <v>0.7</v>
      </c>
      <c r="G185" s="935"/>
      <c r="H185" s="936"/>
      <c r="I185" s="884">
        <v>0</v>
      </c>
      <c r="J185" s="936">
        <f>F185*I185</f>
        <v>0</v>
      </c>
      <c r="K185" s="935"/>
      <c r="L185" s="936"/>
      <c r="M185" s="936">
        <f>H185+J185+L185</f>
        <v>0</v>
      </c>
    </row>
    <row r="186" spans="1:13">
      <c r="A186" s="317"/>
      <c r="B186" s="426"/>
      <c r="C186" s="431" t="s">
        <v>59</v>
      </c>
      <c r="D186" s="434" t="s">
        <v>7</v>
      </c>
      <c r="E186" s="432">
        <v>0.23</v>
      </c>
      <c r="F186" s="435">
        <f>E186*F184</f>
        <v>0.46</v>
      </c>
      <c r="G186" s="935"/>
      <c r="H186" s="936"/>
      <c r="I186" s="935"/>
      <c r="J186" s="936"/>
      <c r="K186" s="935">
        <v>0</v>
      </c>
      <c r="L186" s="936">
        <f>F186*K186</f>
        <v>0</v>
      </c>
      <c r="M186" s="936">
        <f>L186*1</f>
        <v>0</v>
      </c>
    </row>
    <row r="187" spans="1:13">
      <c r="A187" s="425"/>
      <c r="B187" s="437" t="s">
        <v>550</v>
      </c>
      <c r="C187" s="431" t="s">
        <v>551</v>
      </c>
      <c r="D187" s="434" t="s">
        <v>65</v>
      </c>
      <c r="E187" s="434"/>
      <c r="F187" s="438">
        <v>2</v>
      </c>
      <c r="G187" s="937">
        <v>0</v>
      </c>
      <c r="H187" s="937">
        <f>F187*G187</f>
        <v>0</v>
      </c>
      <c r="I187" s="935"/>
      <c r="J187" s="937"/>
      <c r="K187" s="938"/>
      <c r="L187" s="937"/>
      <c r="M187" s="937">
        <f>H187+J187+L187</f>
        <v>0</v>
      </c>
    </row>
    <row r="188" spans="1:13">
      <c r="A188" s="291"/>
      <c r="B188" s="439"/>
      <c r="C188" s="431" t="s">
        <v>60</v>
      </c>
      <c r="D188" s="434" t="s">
        <v>7</v>
      </c>
      <c r="E188" s="434">
        <v>0.01</v>
      </c>
      <c r="F188" s="438">
        <f>E188*F184</f>
        <v>0.02</v>
      </c>
      <c r="G188" s="938">
        <v>0</v>
      </c>
      <c r="H188" s="937">
        <f>F188*G188</f>
        <v>0</v>
      </c>
      <c r="I188" s="935"/>
      <c r="J188" s="937"/>
      <c r="K188" s="938"/>
      <c r="L188" s="937"/>
      <c r="M188" s="937">
        <f>H188+J188+L188</f>
        <v>0</v>
      </c>
    </row>
    <row r="189" spans="1:13">
      <c r="A189" s="284">
        <v>31</v>
      </c>
      <c r="B189" s="315" t="s">
        <v>552</v>
      </c>
      <c r="C189" s="345" t="s">
        <v>553</v>
      </c>
      <c r="D189" s="314" t="s">
        <v>522</v>
      </c>
      <c r="E189" s="314"/>
      <c r="F189" s="440">
        <v>10</v>
      </c>
      <c r="G189" s="939"/>
      <c r="H189" s="940"/>
      <c r="I189" s="941"/>
      <c r="J189" s="940"/>
      <c r="K189" s="941"/>
      <c r="L189" s="940"/>
      <c r="M189" s="939">
        <f>SUM(M190:M194)</f>
        <v>0</v>
      </c>
    </row>
    <row r="190" spans="1:13">
      <c r="A190" s="291"/>
      <c r="B190" s="439"/>
      <c r="C190" s="442" t="s">
        <v>554</v>
      </c>
      <c r="D190" s="443" t="s">
        <v>5</v>
      </c>
      <c r="E190" s="444">
        <v>1.51</v>
      </c>
      <c r="F190" s="444">
        <f>F189*E190</f>
        <v>15.1</v>
      </c>
      <c r="G190" s="942"/>
      <c r="H190" s="943"/>
      <c r="I190" s="884">
        <v>0</v>
      </c>
      <c r="J190" s="944">
        <f>F190*I190</f>
        <v>0</v>
      </c>
      <c r="K190" s="945"/>
      <c r="L190" s="946"/>
      <c r="M190" s="946">
        <f>H190+J190+L190</f>
        <v>0</v>
      </c>
    </row>
    <row r="191" spans="1:13">
      <c r="A191" s="291"/>
      <c r="B191" s="439"/>
      <c r="C191" s="442" t="s">
        <v>71</v>
      </c>
      <c r="D191" s="443" t="s">
        <v>7</v>
      </c>
      <c r="E191" s="448">
        <v>0.13</v>
      </c>
      <c r="F191" s="444">
        <f>F189*E191</f>
        <v>1.3</v>
      </c>
      <c r="G191" s="947"/>
      <c r="H191" s="943"/>
      <c r="I191" s="945"/>
      <c r="J191" s="946"/>
      <c r="K191" s="945">
        <v>0</v>
      </c>
      <c r="L191" s="948">
        <f>F191*K191</f>
        <v>0</v>
      </c>
      <c r="M191" s="946">
        <f>H191+J191+L191</f>
        <v>0</v>
      </c>
    </row>
    <row r="192" spans="1:13">
      <c r="A192" s="291"/>
      <c r="B192" s="437" t="s">
        <v>555</v>
      </c>
      <c r="C192" s="442" t="s">
        <v>556</v>
      </c>
      <c r="D192" s="443" t="s">
        <v>522</v>
      </c>
      <c r="E192" s="446"/>
      <c r="F192" s="446">
        <f>F189</f>
        <v>10</v>
      </c>
      <c r="G192" s="949">
        <v>0</v>
      </c>
      <c r="H192" s="943">
        <f>F192*G192</f>
        <v>0</v>
      </c>
      <c r="I192" s="944"/>
      <c r="J192" s="944"/>
      <c r="K192" s="944"/>
      <c r="L192" s="944"/>
      <c r="M192" s="944">
        <f>H192+J192+L192</f>
        <v>0</v>
      </c>
    </row>
    <row r="193" spans="1:13">
      <c r="A193" s="291"/>
      <c r="B193" s="369" t="s">
        <v>536</v>
      </c>
      <c r="C193" s="442" t="s">
        <v>557</v>
      </c>
      <c r="D193" s="443" t="s">
        <v>70</v>
      </c>
      <c r="E193" s="446">
        <v>1.1000000000000001</v>
      </c>
      <c r="F193" s="451">
        <f>E193*F189</f>
        <v>11</v>
      </c>
      <c r="G193" s="928">
        <v>0</v>
      </c>
      <c r="H193" s="943">
        <f>F193*G193</f>
        <v>0</v>
      </c>
      <c r="I193" s="949"/>
      <c r="J193" s="950"/>
      <c r="K193" s="949"/>
      <c r="L193" s="951"/>
      <c r="M193" s="950">
        <f>H193+J193+L193</f>
        <v>0</v>
      </c>
    </row>
    <row r="194" spans="1:13">
      <c r="A194" s="291"/>
      <c r="B194" s="439"/>
      <c r="C194" s="453" t="s">
        <v>60</v>
      </c>
      <c r="D194" s="443" t="s">
        <v>7</v>
      </c>
      <c r="E194" s="425">
        <v>7.0000000000000007E-2</v>
      </c>
      <c r="F194" s="451">
        <f>F189*E194</f>
        <v>0.70000000000000007</v>
      </c>
      <c r="G194" s="949">
        <v>0</v>
      </c>
      <c r="H194" s="943">
        <f>F194*G194</f>
        <v>0</v>
      </c>
      <c r="I194" s="949"/>
      <c r="J194" s="950"/>
      <c r="K194" s="949"/>
      <c r="L194" s="950"/>
      <c r="M194" s="950">
        <f>H194+J194+L194</f>
        <v>0</v>
      </c>
    </row>
    <row r="195" spans="1:13">
      <c r="A195" s="291"/>
      <c r="B195" s="285"/>
      <c r="C195" s="454" t="s">
        <v>558</v>
      </c>
      <c r="D195" s="291"/>
      <c r="E195" s="289"/>
      <c r="F195" s="289"/>
      <c r="G195" s="895"/>
      <c r="H195" s="884"/>
      <c r="I195" s="884"/>
      <c r="J195" s="884"/>
      <c r="K195" s="901"/>
      <c r="L195" s="884"/>
      <c r="M195" s="884"/>
    </row>
    <row r="196" spans="1:13" ht="30">
      <c r="A196" s="284">
        <v>32</v>
      </c>
      <c r="B196" s="315" t="s">
        <v>559</v>
      </c>
      <c r="C196" s="455" t="s">
        <v>560</v>
      </c>
      <c r="D196" s="456" t="s">
        <v>561</v>
      </c>
      <c r="E196" s="454"/>
      <c r="F196" s="457">
        <v>10</v>
      </c>
      <c r="G196" s="939"/>
      <c r="H196" s="940"/>
      <c r="I196" s="939"/>
      <c r="J196" s="940"/>
      <c r="K196" s="939"/>
      <c r="L196" s="940"/>
      <c r="M196" s="939">
        <f>SUM(M197:M201)</f>
        <v>0</v>
      </c>
    </row>
    <row r="197" spans="1:13">
      <c r="A197" s="291"/>
      <c r="B197" s="285"/>
      <c r="C197" s="453" t="s">
        <v>554</v>
      </c>
      <c r="D197" s="443" t="s">
        <v>5</v>
      </c>
      <c r="E197" s="452">
        <f>60.9/100</f>
        <v>0.60899999999999999</v>
      </c>
      <c r="F197" s="458">
        <f>E197*F196</f>
        <v>6.09</v>
      </c>
      <c r="G197" s="910"/>
      <c r="H197" s="910"/>
      <c r="I197" s="884">
        <v>0</v>
      </c>
      <c r="J197" s="948">
        <f>I197*F197</f>
        <v>0</v>
      </c>
      <c r="K197" s="946"/>
      <c r="L197" s="946"/>
      <c r="M197" s="917">
        <f>J197</f>
        <v>0</v>
      </c>
    </row>
    <row r="198" spans="1:13">
      <c r="A198" s="291"/>
      <c r="B198" s="285"/>
      <c r="C198" s="453" t="s">
        <v>562</v>
      </c>
      <c r="D198" s="443" t="s">
        <v>7</v>
      </c>
      <c r="E198" s="452">
        <f>0.21/100</f>
        <v>2.0999999999999999E-3</v>
      </c>
      <c r="F198" s="451">
        <f>E198*F196</f>
        <v>2.0999999999999998E-2</v>
      </c>
      <c r="G198" s="945"/>
      <c r="H198" s="946"/>
      <c r="I198" s="945"/>
      <c r="J198" s="946"/>
      <c r="K198" s="945">
        <v>0</v>
      </c>
      <c r="L198" s="946">
        <f>F198*K198</f>
        <v>0</v>
      </c>
      <c r="M198" s="948">
        <f>H198+J198+L198</f>
        <v>0</v>
      </c>
    </row>
    <row r="199" spans="1:13">
      <c r="A199" s="291"/>
      <c r="B199" s="285" t="s">
        <v>563</v>
      </c>
      <c r="C199" s="453" t="s">
        <v>564</v>
      </c>
      <c r="D199" s="443" t="s">
        <v>561</v>
      </c>
      <c r="E199" s="425">
        <f>99.8/100</f>
        <v>0.998</v>
      </c>
      <c r="F199" s="446">
        <f>E199*F196</f>
        <v>9.98</v>
      </c>
      <c r="G199" s="945">
        <v>0</v>
      </c>
      <c r="H199" s="946">
        <f>F199*G199</f>
        <v>0</v>
      </c>
      <c r="I199" s="910"/>
      <c r="J199" s="910"/>
      <c r="K199" s="945"/>
      <c r="L199" s="946"/>
      <c r="M199" s="917">
        <f>H199</f>
        <v>0</v>
      </c>
    </row>
    <row r="200" spans="1:13">
      <c r="A200" s="291"/>
      <c r="B200" s="369" t="s">
        <v>536</v>
      </c>
      <c r="C200" s="453" t="s">
        <v>557</v>
      </c>
      <c r="D200" s="443" t="s">
        <v>70</v>
      </c>
      <c r="E200" s="425">
        <f>14/100</f>
        <v>0.14000000000000001</v>
      </c>
      <c r="F200" s="446">
        <f>E200*F196</f>
        <v>1.4000000000000001</v>
      </c>
      <c r="G200" s="928">
        <v>0</v>
      </c>
      <c r="H200" s="946">
        <f>F200*G200</f>
        <v>0</v>
      </c>
      <c r="I200" s="910"/>
      <c r="J200" s="910"/>
      <c r="K200" s="945"/>
      <c r="L200" s="946"/>
      <c r="M200" s="917">
        <f>H200</f>
        <v>0</v>
      </c>
    </row>
    <row r="201" spans="1:13">
      <c r="A201" s="291"/>
      <c r="B201" s="285"/>
      <c r="C201" s="453" t="s">
        <v>60</v>
      </c>
      <c r="D201" s="443" t="s">
        <v>7</v>
      </c>
      <c r="E201" s="425">
        <f>15.6/100</f>
        <v>0.156</v>
      </c>
      <c r="F201" s="446">
        <f>E201*F196</f>
        <v>1.56</v>
      </c>
      <c r="G201" s="945">
        <v>0</v>
      </c>
      <c r="H201" s="946">
        <f>F201*G201</f>
        <v>0</v>
      </c>
      <c r="I201" s="910"/>
      <c r="J201" s="910"/>
      <c r="K201" s="945"/>
      <c r="L201" s="946"/>
      <c r="M201" s="917">
        <f>H201</f>
        <v>0</v>
      </c>
    </row>
    <row r="202" spans="1:13" ht="30">
      <c r="A202" s="284">
        <v>33</v>
      </c>
      <c r="B202" s="383" t="s">
        <v>565</v>
      </c>
      <c r="C202" s="345" t="s">
        <v>566</v>
      </c>
      <c r="D202" s="314" t="s">
        <v>522</v>
      </c>
      <c r="E202" s="314"/>
      <c r="F202" s="440">
        <v>3</v>
      </c>
      <c r="G202" s="952"/>
      <c r="H202" s="953"/>
      <c r="I202" s="952"/>
      <c r="J202" s="953"/>
      <c r="K202" s="952"/>
      <c r="L202" s="953"/>
      <c r="M202" s="952">
        <f>SUM(M203:M206)</f>
        <v>0</v>
      </c>
    </row>
    <row r="203" spans="1:13">
      <c r="A203" s="291"/>
      <c r="B203" s="285"/>
      <c r="C203" s="453" t="s">
        <v>554</v>
      </c>
      <c r="D203" s="443" t="s">
        <v>5</v>
      </c>
      <c r="E203" s="392">
        <f>3.89/10</f>
        <v>0.38900000000000001</v>
      </c>
      <c r="F203" s="444">
        <f>F202*E203</f>
        <v>1.167</v>
      </c>
      <c r="G203" s="910"/>
      <c r="H203" s="910"/>
      <c r="I203" s="884">
        <v>0</v>
      </c>
      <c r="J203" s="943">
        <f>F203*I203</f>
        <v>0</v>
      </c>
      <c r="K203" s="947"/>
      <c r="L203" s="943"/>
      <c r="M203" s="917">
        <f>J203</f>
        <v>0</v>
      </c>
    </row>
    <row r="204" spans="1:13">
      <c r="A204" s="291"/>
      <c r="B204" s="285"/>
      <c r="C204" s="453" t="s">
        <v>71</v>
      </c>
      <c r="D204" s="425" t="s">
        <v>7</v>
      </c>
      <c r="E204" s="392">
        <f>1.51/10</f>
        <v>0.151</v>
      </c>
      <c r="F204" s="444">
        <f>F202*E204</f>
        <v>0.45299999999999996</v>
      </c>
      <c r="G204" s="947"/>
      <c r="H204" s="943"/>
      <c r="I204" s="947"/>
      <c r="J204" s="943"/>
      <c r="K204" s="947">
        <v>0</v>
      </c>
      <c r="L204" s="943">
        <f>F204*K204</f>
        <v>0</v>
      </c>
      <c r="M204" s="943">
        <f>H204+J204+L204</f>
        <v>0</v>
      </c>
    </row>
    <row r="205" spans="1:13" ht="17.399999999999999">
      <c r="A205" s="291"/>
      <c r="B205" s="331" t="s">
        <v>567</v>
      </c>
      <c r="C205" s="442" t="s">
        <v>568</v>
      </c>
      <c r="D205" s="425" t="s">
        <v>522</v>
      </c>
      <c r="E205" s="449"/>
      <c r="F205" s="445">
        <f>F202</f>
        <v>3</v>
      </c>
      <c r="G205" s="947">
        <v>0</v>
      </c>
      <c r="H205" s="943">
        <f>F205*G205</f>
        <v>0</v>
      </c>
      <c r="I205" s="910"/>
      <c r="J205" s="910"/>
      <c r="K205" s="947"/>
      <c r="L205" s="943"/>
      <c r="M205" s="917">
        <f>H205</f>
        <v>0</v>
      </c>
    </row>
    <row r="206" spans="1:13">
      <c r="A206" s="314"/>
      <c r="B206" s="315"/>
      <c r="C206" s="453" t="s">
        <v>60</v>
      </c>
      <c r="D206" s="425" t="s">
        <v>7</v>
      </c>
      <c r="E206" s="392">
        <f>0.24/10</f>
        <v>2.4E-2</v>
      </c>
      <c r="F206" s="444">
        <f>E206*F202</f>
        <v>7.2000000000000008E-2</v>
      </c>
      <c r="G206" s="947">
        <v>0</v>
      </c>
      <c r="H206" s="943">
        <f>F206*G206</f>
        <v>0</v>
      </c>
      <c r="I206" s="910"/>
      <c r="J206" s="910"/>
      <c r="K206" s="947"/>
      <c r="L206" s="943"/>
      <c r="M206" s="917">
        <f>H206</f>
        <v>0</v>
      </c>
    </row>
    <row r="207" spans="1:13" ht="30">
      <c r="A207" s="314">
        <v>34</v>
      </c>
      <c r="B207" s="315" t="s">
        <v>177</v>
      </c>
      <c r="C207" s="345" t="s">
        <v>569</v>
      </c>
      <c r="D207" s="314" t="s">
        <v>522</v>
      </c>
      <c r="E207" s="314"/>
      <c r="F207" s="440">
        <v>1</v>
      </c>
      <c r="G207" s="952"/>
      <c r="H207" s="953"/>
      <c r="I207" s="952"/>
      <c r="J207" s="953"/>
      <c r="K207" s="952"/>
      <c r="L207" s="953"/>
      <c r="M207" s="952">
        <f>SUM(M208:M211)</f>
        <v>0</v>
      </c>
    </row>
    <row r="208" spans="1:13">
      <c r="A208" s="314"/>
      <c r="B208" s="315"/>
      <c r="C208" s="442" t="s">
        <v>554</v>
      </c>
      <c r="D208" s="443" t="s">
        <v>5</v>
      </c>
      <c r="E208" s="448">
        <v>0.58399999999999996</v>
      </c>
      <c r="F208" s="444">
        <f>F207*E208</f>
        <v>0.58399999999999996</v>
      </c>
      <c r="G208" s="910"/>
      <c r="H208" s="910"/>
      <c r="I208" s="884">
        <v>0</v>
      </c>
      <c r="J208" s="943">
        <f>F208*I208</f>
        <v>0</v>
      </c>
      <c r="K208" s="949"/>
      <c r="L208" s="950"/>
      <c r="M208" s="917">
        <f>J208</f>
        <v>0</v>
      </c>
    </row>
    <row r="209" spans="1:13">
      <c r="A209" s="314"/>
      <c r="B209" s="315"/>
      <c r="C209" s="442" t="s">
        <v>71</v>
      </c>
      <c r="D209" s="425" t="s">
        <v>7</v>
      </c>
      <c r="E209" s="448">
        <v>0.22700000000000001</v>
      </c>
      <c r="F209" s="444">
        <f>F207*E209</f>
        <v>0.22700000000000001</v>
      </c>
      <c r="G209" s="947"/>
      <c r="H209" s="943"/>
      <c r="I209" s="947"/>
      <c r="J209" s="943"/>
      <c r="K209" s="949">
        <v>0</v>
      </c>
      <c r="L209" s="950">
        <f>F209*K209</f>
        <v>0</v>
      </c>
      <c r="M209" s="950">
        <f>H209+J209+L209</f>
        <v>0</v>
      </c>
    </row>
    <row r="210" spans="1:13" ht="17.399999999999999">
      <c r="A210" s="291"/>
      <c r="B210" s="331" t="s">
        <v>570</v>
      </c>
      <c r="C210" s="442" t="s">
        <v>571</v>
      </c>
      <c r="D210" s="425" t="s">
        <v>522</v>
      </c>
      <c r="E210" s="449"/>
      <c r="F210" s="445">
        <f>F207</f>
        <v>1</v>
      </c>
      <c r="G210" s="947">
        <v>0</v>
      </c>
      <c r="H210" s="942">
        <f>F210*G210</f>
        <v>0</v>
      </c>
      <c r="I210" s="910"/>
      <c r="J210" s="910"/>
      <c r="K210" s="944"/>
      <c r="L210" s="944"/>
      <c r="M210" s="917">
        <f>H210</f>
        <v>0</v>
      </c>
    </row>
    <row r="211" spans="1:13">
      <c r="A211" s="394"/>
      <c r="B211" s="284"/>
      <c r="C211" s="442" t="s">
        <v>60</v>
      </c>
      <c r="D211" s="425" t="s">
        <v>7</v>
      </c>
      <c r="E211" s="449">
        <v>2.4E-2</v>
      </c>
      <c r="F211" s="444">
        <f>F207*E211</f>
        <v>2.4E-2</v>
      </c>
      <c r="G211" s="947">
        <v>0</v>
      </c>
      <c r="H211" s="943">
        <f>F211*G211</f>
        <v>0</v>
      </c>
      <c r="I211" s="910"/>
      <c r="J211" s="910"/>
      <c r="K211" s="949"/>
      <c r="L211" s="950"/>
      <c r="M211" s="917">
        <f>H211</f>
        <v>0</v>
      </c>
    </row>
    <row r="212" spans="1:13">
      <c r="A212" s="394">
        <v>35</v>
      </c>
      <c r="B212" s="389" t="s">
        <v>572</v>
      </c>
      <c r="C212" s="345" t="s">
        <v>573</v>
      </c>
      <c r="D212" s="396" t="s">
        <v>522</v>
      </c>
      <c r="E212" s="314"/>
      <c r="F212" s="441">
        <v>1</v>
      </c>
      <c r="G212" s="939"/>
      <c r="H212" s="940"/>
      <c r="I212" s="941"/>
      <c r="J212" s="940"/>
      <c r="K212" s="941"/>
      <c r="L212" s="940"/>
      <c r="M212" s="939">
        <f>SUM(M213:M216)</f>
        <v>0</v>
      </c>
    </row>
    <row r="213" spans="1:13">
      <c r="A213" s="394"/>
      <c r="B213" s="285"/>
      <c r="C213" s="453" t="s">
        <v>554</v>
      </c>
      <c r="D213" s="443" t="s">
        <v>5</v>
      </c>
      <c r="E213" s="451">
        <v>0.46</v>
      </c>
      <c r="F213" s="450">
        <f>F212*E213</f>
        <v>0.46</v>
      </c>
      <c r="G213" s="910"/>
      <c r="H213" s="910"/>
      <c r="I213" s="884">
        <v>0</v>
      </c>
      <c r="J213" s="946">
        <f>F213*I213</f>
        <v>0</v>
      </c>
      <c r="K213" s="945"/>
      <c r="L213" s="946"/>
      <c r="M213" s="917">
        <f>J213</f>
        <v>0</v>
      </c>
    </row>
    <row r="214" spans="1:13">
      <c r="A214" s="394"/>
      <c r="B214" s="285"/>
      <c r="C214" s="453" t="s">
        <v>71</v>
      </c>
      <c r="D214" s="443" t="s">
        <v>7</v>
      </c>
      <c r="E214" s="451">
        <f>0.02</f>
        <v>0.02</v>
      </c>
      <c r="F214" s="447">
        <f>F212*E214</f>
        <v>0.02</v>
      </c>
      <c r="G214" s="945"/>
      <c r="H214" s="946"/>
      <c r="I214" s="945"/>
      <c r="J214" s="946"/>
      <c r="K214" s="945">
        <v>0</v>
      </c>
      <c r="L214" s="948">
        <f>F214*K214</f>
        <v>0</v>
      </c>
      <c r="M214" s="948">
        <f>H214+J214+L214</f>
        <v>0</v>
      </c>
    </row>
    <row r="215" spans="1:13">
      <c r="A215" s="394"/>
      <c r="B215" s="331" t="s">
        <v>574</v>
      </c>
      <c r="C215" s="442" t="s">
        <v>575</v>
      </c>
      <c r="D215" s="443" t="s">
        <v>522</v>
      </c>
      <c r="E215" s="446">
        <v>1</v>
      </c>
      <c r="F215" s="447">
        <f>E215*F212</f>
        <v>1</v>
      </c>
      <c r="G215" s="945">
        <v>0</v>
      </c>
      <c r="H215" s="948">
        <f>F215*G215</f>
        <v>0</v>
      </c>
      <c r="I215" s="910"/>
      <c r="J215" s="910"/>
      <c r="K215" s="945"/>
      <c r="L215" s="948"/>
      <c r="M215" s="917">
        <f>H215</f>
        <v>0</v>
      </c>
    </row>
    <row r="216" spans="1:13">
      <c r="A216" s="394"/>
      <c r="B216" s="285"/>
      <c r="C216" s="453" t="s">
        <v>60</v>
      </c>
      <c r="D216" s="443" t="s">
        <v>7</v>
      </c>
      <c r="E216" s="425">
        <v>0.11</v>
      </c>
      <c r="F216" s="447">
        <f>F212*E216</f>
        <v>0.11</v>
      </c>
      <c r="G216" s="945">
        <v>0</v>
      </c>
      <c r="H216" s="946">
        <f>F216*G216</f>
        <v>0</v>
      </c>
      <c r="I216" s="910"/>
      <c r="J216" s="910"/>
      <c r="K216" s="945"/>
      <c r="L216" s="946"/>
      <c r="M216" s="917">
        <f>H216</f>
        <v>0</v>
      </c>
    </row>
    <row r="217" spans="1:13">
      <c r="A217" s="459"/>
      <c r="B217" s="460"/>
      <c r="C217" s="345" t="s">
        <v>381</v>
      </c>
      <c r="D217" s="868"/>
      <c r="E217" s="869"/>
      <c r="F217" s="870"/>
      <c r="G217" s="871"/>
      <c r="H217" s="871">
        <f>SUM(H11:H216)</f>
        <v>0</v>
      </c>
      <c r="I217" s="872"/>
      <c r="J217" s="871">
        <f>SUM(J11:J216)</f>
        <v>0</v>
      </c>
      <c r="K217" s="871"/>
      <c r="L217" s="871">
        <f>SUM(L11:L216)</f>
        <v>0</v>
      </c>
      <c r="M217" s="871">
        <f>SUM(M11:M216)/2</f>
        <v>0</v>
      </c>
    </row>
    <row r="218" spans="1:13">
      <c r="A218" s="459"/>
      <c r="B218" s="460"/>
      <c r="C218" s="345" t="s">
        <v>576</v>
      </c>
      <c r="D218" s="868"/>
      <c r="E218" s="869"/>
      <c r="F218" s="870"/>
      <c r="G218" s="871"/>
      <c r="H218" s="871">
        <f>SUM(H11:H148)</f>
        <v>0</v>
      </c>
      <c r="I218" s="872"/>
      <c r="J218" s="871">
        <f>SUM(J11:J148)</f>
        <v>0</v>
      </c>
      <c r="K218" s="871"/>
      <c r="L218" s="871">
        <f>SUM(L11:L148)</f>
        <v>0</v>
      </c>
      <c r="M218" s="871">
        <f>SUM(M11:M148)/2</f>
        <v>0</v>
      </c>
    </row>
    <row r="219" spans="1:13">
      <c r="A219" s="459"/>
      <c r="B219" s="460"/>
      <c r="C219" s="345" t="s">
        <v>577</v>
      </c>
      <c r="D219" s="868"/>
      <c r="E219" s="869"/>
      <c r="F219" s="870"/>
      <c r="G219" s="871"/>
      <c r="H219" s="871">
        <f>SUM(H150:H216)</f>
        <v>0</v>
      </c>
      <c r="I219" s="872"/>
      <c r="J219" s="871">
        <f>SUM(J150:J216)</f>
        <v>0</v>
      </c>
      <c r="K219" s="871"/>
      <c r="L219" s="871">
        <f>SUM(L150:L216)</f>
        <v>0</v>
      </c>
      <c r="M219" s="871">
        <f>SUM(M150:M216)/2</f>
        <v>0</v>
      </c>
    </row>
    <row r="220" spans="1:13">
      <c r="A220" s="459"/>
      <c r="B220" s="460"/>
      <c r="C220" s="442" t="s">
        <v>578</v>
      </c>
      <c r="D220" s="873">
        <v>0</v>
      </c>
      <c r="E220" s="869"/>
      <c r="F220" s="870"/>
      <c r="G220" s="869"/>
      <c r="H220" s="874">
        <f>H218*D220</f>
        <v>0</v>
      </c>
      <c r="I220" s="874"/>
      <c r="J220" s="874">
        <f>J218*D220</f>
        <v>0</v>
      </c>
      <c r="K220" s="874"/>
      <c r="L220" s="874">
        <f>L218*D220</f>
        <v>0</v>
      </c>
      <c r="M220" s="874">
        <f>M218*D220</f>
        <v>0</v>
      </c>
    </row>
    <row r="221" spans="1:13">
      <c r="A221" s="459"/>
      <c r="B221" s="460"/>
      <c r="C221" s="442" t="s">
        <v>579</v>
      </c>
      <c r="D221" s="873">
        <v>0</v>
      </c>
      <c r="E221" s="874"/>
      <c r="F221" s="875"/>
      <c r="G221" s="875"/>
      <c r="H221" s="874">
        <f>H219*D221</f>
        <v>0</v>
      </c>
      <c r="I221" s="874"/>
      <c r="J221" s="874">
        <f>J219*D221</f>
        <v>0</v>
      </c>
      <c r="K221" s="874"/>
      <c r="L221" s="874">
        <f>L219*D221</f>
        <v>0</v>
      </c>
      <c r="M221" s="874">
        <f>M219*D221</f>
        <v>0</v>
      </c>
    </row>
    <row r="222" spans="1:13">
      <c r="A222" s="459"/>
      <c r="B222" s="460"/>
      <c r="C222" s="345" t="s">
        <v>393</v>
      </c>
      <c r="D222" s="876"/>
      <c r="E222" s="869"/>
      <c r="F222" s="870"/>
      <c r="G222" s="870"/>
      <c r="H222" s="877">
        <f>H217+H220+H221</f>
        <v>0</v>
      </c>
      <c r="I222" s="878"/>
      <c r="J222" s="877">
        <f>J217+J220+J221</f>
        <v>0</v>
      </c>
      <c r="K222" s="877"/>
      <c r="L222" s="877">
        <f>L217+L220+L221</f>
        <v>0</v>
      </c>
      <c r="M222" s="877">
        <f>M217+M220+M221</f>
        <v>0</v>
      </c>
    </row>
    <row r="223" spans="1:13">
      <c r="A223" s="459"/>
      <c r="B223" s="461"/>
      <c r="C223" s="462" t="s">
        <v>580</v>
      </c>
      <c r="D223" s="879">
        <v>0</v>
      </c>
      <c r="E223" s="874"/>
      <c r="F223" s="875"/>
      <c r="G223" s="874"/>
      <c r="H223" s="874"/>
      <c r="I223" s="874"/>
      <c r="J223" s="874"/>
      <c r="K223" s="874"/>
      <c r="L223" s="874"/>
      <c r="M223" s="869">
        <f>D223*H222</f>
        <v>0</v>
      </c>
    </row>
    <row r="224" spans="1:13">
      <c r="A224" s="459"/>
      <c r="B224" s="460"/>
      <c r="C224" s="345" t="s">
        <v>393</v>
      </c>
      <c r="D224" s="876"/>
      <c r="E224" s="869"/>
      <c r="F224" s="870"/>
      <c r="G224" s="869"/>
      <c r="H224" s="869"/>
      <c r="I224" s="874"/>
      <c r="J224" s="869"/>
      <c r="K224" s="869"/>
      <c r="L224" s="869"/>
      <c r="M224" s="869">
        <f>M222+M223</f>
        <v>0</v>
      </c>
    </row>
    <row r="225" spans="1:13">
      <c r="A225" s="459"/>
      <c r="B225" s="463"/>
      <c r="C225" s="442" t="s">
        <v>581</v>
      </c>
      <c r="D225" s="879">
        <v>0</v>
      </c>
      <c r="E225" s="874"/>
      <c r="F225" s="875"/>
      <c r="G225" s="875"/>
      <c r="H225" s="874"/>
      <c r="I225" s="874"/>
      <c r="J225" s="874"/>
      <c r="K225" s="874"/>
      <c r="L225" s="874"/>
      <c r="M225" s="874">
        <f>M224*D225</f>
        <v>0</v>
      </c>
    </row>
    <row r="226" spans="1:13">
      <c r="A226" s="459"/>
      <c r="B226" s="460"/>
      <c r="C226" s="345" t="s">
        <v>582</v>
      </c>
      <c r="D226" s="870"/>
      <c r="E226" s="869"/>
      <c r="F226" s="870"/>
      <c r="G226" s="870"/>
      <c r="H226" s="869"/>
      <c r="I226" s="874"/>
      <c r="J226" s="869"/>
      <c r="K226" s="869"/>
      <c r="L226" s="869"/>
      <c r="M226" s="869">
        <f>M224+M225</f>
        <v>0</v>
      </c>
    </row>
    <row r="227" spans="1:13">
      <c r="D227" s="880"/>
      <c r="E227" s="880"/>
      <c r="F227" s="880"/>
      <c r="G227" s="880"/>
      <c r="H227" s="881"/>
      <c r="I227" s="880"/>
      <c r="J227" s="881"/>
      <c r="K227" s="880"/>
      <c r="L227" s="881"/>
      <c r="M227" s="881"/>
    </row>
    <row r="228" spans="1:13">
      <c r="D228" s="880"/>
      <c r="E228" s="880"/>
      <c r="F228" s="880"/>
      <c r="G228" s="880"/>
      <c r="H228" s="881"/>
      <c r="I228" s="880"/>
      <c r="J228" s="881"/>
      <c r="K228" s="880"/>
      <c r="L228" s="881"/>
      <c r="M228" s="881"/>
    </row>
    <row r="229" spans="1:13">
      <c r="D229" s="880"/>
      <c r="E229" s="880"/>
      <c r="F229" s="880"/>
      <c r="G229" s="880"/>
      <c r="H229" s="881"/>
      <c r="I229" s="880"/>
      <c r="J229" s="881"/>
      <c r="K229" s="880"/>
      <c r="L229" s="881"/>
      <c r="M229" s="881"/>
    </row>
    <row r="230" spans="1:13">
      <c r="D230" s="882"/>
      <c r="E230" s="882"/>
      <c r="F230" s="880"/>
      <c r="G230" s="880"/>
      <c r="H230" s="881"/>
      <c r="I230" s="880"/>
      <c r="J230" s="881"/>
      <c r="K230" s="880"/>
      <c r="L230" s="881"/>
      <c r="M230" s="881"/>
    </row>
  </sheetData>
  <sheetProtection algorithmName="SHA-512" hashValue="NW5oIbnqPKU46k5ZeBEgO4/B3oYpEXxiw96yStkPDIpzQnfvFN4KWqavQWnyyXsLREdotVtiHsf4L2G7BR+BfQ==" saltValue="IYOg+ndM7VLhmh2c/P09EA==" spinCount="100000" sheet="1" objects="1" scenarios="1"/>
  <protectedRanges>
    <protectedRange sqref="E23" name="Range1_1_1_2_2_1_1_2"/>
    <protectedRange sqref="E36 E48:E49 E45 E39:E40" name="Range1_1_1_2_1_2_1"/>
    <protectedRange sqref="E38" name="Range1_1_1_2_1_2_1_2"/>
    <protectedRange sqref="E47" name="Range1_1_1_2_1_2_1_3"/>
    <protectedRange sqref="G76 G101 G113" name="Range1_1_3_1_2"/>
    <protectedRange sqref="G70" name="Range1_1_2"/>
  </protectedRanges>
  <mergeCells count="13">
    <mergeCell ref="G7:H7"/>
    <mergeCell ref="I7:J7"/>
    <mergeCell ref="K7:L7"/>
    <mergeCell ref="A1:M1"/>
    <mergeCell ref="A2:C2"/>
    <mergeCell ref="A3:M3"/>
    <mergeCell ref="B5:G5"/>
    <mergeCell ref="A7:A8"/>
    <mergeCell ref="B7:B8"/>
    <mergeCell ref="C7:C8"/>
    <mergeCell ref="D7:D8"/>
    <mergeCell ref="E7:E8"/>
    <mergeCell ref="F7:F8"/>
  </mergeCells>
  <conditionalFormatting sqref="B37">
    <cfRule type="cellIs" dxfId="62" priority="6" stopIfTrue="1" operator="equal">
      <formula>8223.307275</formula>
    </cfRule>
  </conditionalFormatting>
  <conditionalFormatting sqref="G37">
    <cfRule type="cellIs" dxfId="61" priority="5" stopIfTrue="1" operator="equal">
      <formula>8223.307275</formula>
    </cfRule>
  </conditionalFormatting>
  <conditionalFormatting sqref="B46">
    <cfRule type="cellIs" dxfId="60" priority="4" stopIfTrue="1" operator="equal">
      <formula>8223.307275</formula>
    </cfRule>
  </conditionalFormatting>
  <conditionalFormatting sqref="G46">
    <cfRule type="cellIs" dxfId="59" priority="3" stopIfTrue="1" operator="equal">
      <formula>8223.307275</formula>
    </cfRule>
  </conditionalFormatting>
  <conditionalFormatting sqref="B60">
    <cfRule type="cellIs" dxfId="58" priority="2" stopIfTrue="1" operator="equal">
      <formula>8223.307275</formula>
    </cfRule>
  </conditionalFormatting>
  <conditionalFormatting sqref="G60">
    <cfRule type="cellIs" dxfId="57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2" orientation="landscape" horizontalDpi="4294967293" verticalDpi="4294967293" r:id="rId1"/>
  <rowBreaks count="3" manualBreakCount="3">
    <brk id="56" max="12" man="1"/>
    <brk id="115" max="12" man="1"/>
    <brk id="17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I103"/>
  <sheetViews>
    <sheetView view="pageBreakPreview" topLeftCell="A83" zoomScale="85" zoomScaleNormal="100" zoomScaleSheetLayoutView="85" workbookViewId="0">
      <selection activeCell="M101" sqref="G8:M101"/>
    </sheetView>
  </sheetViews>
  <sheetFormatPr defaultColWidth="7" defaultRowHeight="13.2"/>
  <cols>
    <col min="1" max="1" width="3.88671875" style="523" customWidth="1"/>
    <col min="2" max="2" width="11.109375" style="525" customWidth="1"/>
    <col min="3" max="3" width="75.44140625" style="515" customWidth="1"/>
    <col min="4" max="4" width="12.5546875" style="525" customWidth="1"/>
    <col min="5" max="5" width="9.109375" style="525" customWidth="1"/>
    <col min="6" max="6" width="9.5546875" style="525" customWidth="1"/>
    <col min="7" max="7" width="8.5546875" style="525" customWidth="1"/>
    <col min="8" max="8" width="8.5546875" style="526" customWidth="1"/>
    <col min="9" max="9" width="8.5546875" style="525" customWidth="1"/>
    <col min="10" max="10" width="8.5546875" style="526" customWidth="1"/>
    <col min="11" max="11" width="8.5546875" style="525" customWidth="1"/>
    <col min="12" max="12" width="8.5546875" style="526" customWidth="1"/>
    <col min="13" max="13" width="11.109375" style="526" customWidth="1"/>
    <col min="14" max="120" width="9.109375" style="505" customWidth="1"/>
    <col min="121" max="121" width="2.5546875" style="505" customWidth="1"/>
    <col min="122" max="122" width="9.109375" style="505" customWidth="1"/>
    <col min="123" max="123" width="47.88671875" style="505" customWidth="1"/>
    <col min="124" max="124" width="6.6640625" style="505" customWidth="1"/>
    <col min="125" max="125" width="7.44140625" style="505" customWidth="1"/>
    <col min="126" max="126" width="7" style="505"/>
    <col min="127" max="127" width="8.5546875" style="505" customWidth="1"/>
    <col min="128" max="128" width="12" style="505" customWidth="1"/>
    <col min="129" max="129" width="4.6640625" style="505" customWidth="1"/>
    <col min="130" max="130" width="9.109375" style="505" customWidth="1"/>
    <col min="131" max="131" width="11.6640625" style="505" customWidth="1"/>
    <col min="132" max="243" width="7" style="505"/>
    <col min="244" max="244" width="3.88671875" style="505" customWidth="1"/>
    <col min="245" max="245" width="14" style="505" customWidth="1"/>
    <col min="246" max="246" width="66.5546875" style="505" customWidth="1"/>
    <col min="247" max="247" width="9.44140625" style="505" customWidth="1"/>
    <col min="248" max="248" width="9.109375" style="505" customWidth="1"/>
    <col min="249" max="249" width="11.109375" style="505" bestFit="1" customWidth="1"/>
    <col min="250" max="250" width="9.109375" style="505" customWidth="1"/>
    <col min="251" max="251" width="10.44140625" style="505" customWidth="1"/>
    <col min="252" max="252" width="9.109375" style="505" customWidth="1"/>
    <col min="253" max="253" width="10.6640625" style="505" customWidth="1"/>
    <col min="254" max="254" width="9.109375" style="505" customWidth="1"/>
    <col min="255" max="255" width="10.109375" style="505" customWidth="1"/>
    <col min="256" max="256" width="11.109375" style="505" customWidth="1"/>
    <col min="257" max="376" width="9.109375" style="505" customWidth="1"/>
    <col min="377" max="377" width="2.5546875" style="505" customWidth="1"/>
    <col min="378" max="378" width="9.109375" style="505" customWidth="1"/>
    <col min="379" max="379" width="47.88671875" style="505" customWidth="1"/>
    <col min="380" max="380" width="6.6640625" style="505" customWidth="1"/>
    <col min="381" max="381" width="7.44140625" style="505" customWidth="1"/>
    <col min="382" max="382" width="7" style="505"/>
    <col min="383" max="383" width="8.5546875" style="505" customWidth="1"/>
    <col min="384" max="384" width="12" style="505" customWidth="1"/>
    <col min="385" max="385" width="4.6640625" style="505" customWidth="1"/>
    <col min="386" max="386" width="9.109375" style="505" customWidth="1"/>
    <col min="387" max="387" width="11.6640625" style="505" customWidth="1"/>
    <col min="388" max="499" width="7" style="505"/>
    <col min="500" max="500" width="3.88671875" style="505" customWidth="1"/>
    <col min="501" max="501" width="14" style="505" customWidth="1"/>
    <col min="502" max="502" width="66.5546875" style="505" customWidth="1"/>
    <col min="503" max="503" width="9.44140625" style="505" customWidth="1"/>
    <col min="504" max="504" width="9.109375" style="505" customWidth="1"/>
    <col min="505" max="505" width="11.109375" style="505" bestFit="1" customWidth="1"/>
    <col min="506" max="506" width="9.109375" style="505" customWidth="1"/>
    <col min="507" max="507" width="10.44140625" style="505" customWidth="1"/>
    <col min="508" max="508" width="9.109375" style="505" customWidth="1"/>
    <col min="509" max="509" width="10.6640625" style="505" customWidth="1"/>
    <col min="510" max="510" width="9.109375" style="505" customWidth="1"/>
    <col min="511" max="511" width="10.109375" style="505" customWidth="1"/>
    <col min="512" max="512" width="11.109375" style="505" customWidth="1"/>
    <col min="513" max="632" width="9.109375" style="505" customWidth="1"/>
    <col min="633" max="633" width="2.5546875" style="505" customWidth="1"/>
    <col min="634" max="634" width="9.109375" style="505" customWidth="1"/>
    <col min="635" max="635" width="47.88671875" style="505" customWidth="1"/>
    <col min="636" max="636" width="6.6640625" style="505" customWidth="1"/>
    <col min="637" max="637" width="7.44140625" style="505" customWidth="1"/>
    <col min="638" max="638" width="7" style="505"/>
    <col min="639" max="639" width="8.5546875" style="505" customWidth="1"/>
    <col min="640" max="640" width="12" style="505" customWidth="1"/>
    <col min="641" max="641" width="4.6640625" style="505" customWidth="1"/>
    <col min="642" max="642" width="9.109375" style="505" customWidth="1"/>
    <col min="643" max="643" width="11.6640625" style="505" customWidth="1"/>
    <col min="644" max="755" width="7" style="505"/>
    <col min="756" max="756" width="3.88671875" style="505" customWidth="1"/>
    <col min="757" max="757" width="14" style="505" customWidth="1"/>
    <col min="758" max="758" width="66.5546875" style="505" customWidth="1"/>
    <col min="759" max="759" width="9.44140625" style="505" customWidth="1"/>
    <col min="760" max="760" width="9.109375" style="505" customWidth="1"/>
    <col min="761" max="761" width="11.109375" style="505" bestFit="1" customWidth="1"/>
    <col min="762" max="762" width="9.109375" style="505" customWidth="1"/>
    <col min="763" max="763" width="10.44140625" style="505" customWidth="1"/>
    <col min="764" max="764" width="9.109375" style="505" customWidth="1"/>
    <col min="765" max="765" width="10.6640625" style="505" customWidth="1"/>
    <col min="766" max="766" width="9.109375" style="505" customWidth="1"/>
    <col min="767" max="767" width="10.109375" style="505" customWidth="1"/>
    <col min="768" max="768" width="11.109375" style="505" customWidth="1"/>
    <col min="769" max="888" width="9.109375" style="505" customWidth="1"/>
    <col min="889" max="889" width="2.5546875" style="505" customWidth="1"/>
    <col min="890" max="890" width="9.109375" style="505" customWidth="1"/>
    <col min="891" max="891" width="47.88671875" style="505" customWidth="1"/>
    <col min="892" max="892" width="6.6640625" style="505" customWidth="1"/>
    <col min="893" max="893" width="7.44140625" style="505" customWidth="1"/>
    <col min="894" max="894" width="7" style="505"/>
    <col min="895" max="895" width="8.5546875" style="505" customWidth="1"/>
    <col min="896" max="896" width="12" style="505" customWidth="1"/>
    <col min="897" max="897" width="4.6640625" style="505" customWidth="1"/>
    <col min="898" max="898" width="9.109375" style="505" customWidth="1"/>
    <col min="899" max="899" width="11.6640625" style="505" customWidth="1"/>
    <col min="900" max="1011" width="7" style="505"/>
    <col min="1012" max="1012" width="3.88671875" style="505" customWidth="1"/>
    <col min="1013" max="1013" width="14" style="505" customWidth="1"/>
    <col min="1014" max="1014" width="66.5546875" style="505" customWidth="1"/>
    <col min="1015" max="1015" width="9.44140625" style="505" customWidth="1"/>
    <col min="1016" max="1016" width="9.109375" style="505" customWidth="1"/>
    <col min="1017" max="1017" width="11.109375" style="505" bestFit="1" customWidth="1"/>
    <col min="1018" max="1018" width="9.109375" style="505" customWidth="1"/>
    <col min="1019" max="1019" width="10.44140625" style="505" customWidth="1"/>
    <col min="1020" max="1020" width="9.109375" style="505" customWidth="1"/>
    <col min="1021" max="1021" width="10.6640625" style="505" customWidth="1"/>
    <col min="1022" max="1022" width="9.109375" style="505" customWidth="1"/>
    <col min="1023" max="1023" width="10.109375" style="505" customWidth="1"/>
    <col min="1024" max="1024" width="11.109375" style="505" customWidth="1"/>
    <col min="1025" max="1144" width="9.109375" style="505" customWidth="1"/>
    <col min="1145" max="1145" width="2.5546875" style="505" customWidth="1"/>
    <col min="1146" max="1146" width="9.109375" style="505" customWidth="1"/>
    <col min="1147" max="1147" width="47.88671875" style="505" customWidth="1"/>
    <col min="1148" max="1148" width="6.6640625" style="505" customWidth="1"/>
    <col min="1149" max="1149" width="7.44140625" style="505" customWidth="1"/>
    <col min="1150" max="1150" width="7" style="505"/>
    <col min="1151" max="1151" width="8.5546875" style="505" customWidth="1"/>
    <col min="1152" max="1152" width="12" style="505" customWidth="1"/>
    <col min="1153" max="1153" width="4.6640625" style="505" customWidth="1"/>
    <col min="1154" max="1154" width="9.109375" style="505" customWidth="1"/>
    <col min="1155" max="1155" width="11.6640625" style="505" customWidth="1"/>
    <col min="1156" max="1267" width="7" style="505"/>
    <col min="1268" max="1268" width="3.88671875" style="505" customWidth="1"/>
    <col min="1269" max="1269" width="14" style="505" customWidth="1"/>
    <col min="1270" max="1270" width="66.5546875" style="505" customWidth="1"/>
    <col min="1271" max="1271" width="9.44140625" style="505" customWidth="1"/>
    <col min="1272" max="1272" width="9.109375" style="505" customWidth="1"/>
    <col min="1273" max="1273" width="11.109375" style="505" bestFit="1" customWidth="1"/>
    <col min="1274" max="1274" width="9.109375" style="505" customWidth="1"/>
    <col min="1275" max="1275" width="10.44140625" style="505" customWidth="1"/>
    <col min="1276" max="1276" width="9.109375" style="505" customWidth="1"/>
    <col min="1277" max="1277" width="10.6640625" style="505" customWidth="1"/>
    <col min="1278" max="1278" width="9.109375" style="505" customWidth="1"/>
    <col min="1279" max="1279" width="10.109375" style="505" customWidth="1"/>
    <col min="1280" max="1280" width="11.109375" style="505" customWidth="1"/>
    <col min="1281" max="1400" width="9.109375" style="505" customWidth="1"/>
    <col min="1401" max="1401" width="2.5546875" style="505" customWidth="1"/>
    <col min="1402" max="1402" width="9.109375" style="505" customWidth="1"/>
    <col min="1403" max="1403" width="47.88671875" style="505" customWidth="1"/>
    <col min="1404" max="1404" width="6.6640625" style="505" customWidth="1"/>
    <col min="1405" max="1405" width="7.44140625" style="505" customWidth="1"/>
    <col min="1406" max="1406" width="7" style="505"/>
    <col min="1407" max="1407" width="8.5546875" style="505" customWidth="1"/>
    <col min="1408" max="1408" width="12" style="505" customWidth="1"/>
    <col min="1409" max="1409" width="4.6640625" style="505" customWidth="1"/>
    <col min="1410" max="1410" width="9.109375" style="505" customWidth="1"/>
    <col min="1411" max="1411" width="11.6640625" style="505" customWidth="1"/>
    <col min="1412" max="1523" width="7" style="505"/>
    <col min="1524" max="1524" width="3.88671875" style="505" customWidth="1"/>
    <col min="1525" max="1525" width="14" style="505" customWidth="1"/>
    <col min="1526" max="1526" width="66.5546875" style="505" customWidth="1"/>
    <col min="1527" max="1527" width="9.44140625" style="505" customWidth="1"/>
    <col min="1528" max="1528" width="9.109375" style="505" customWidth="1"/>
    <col min="1529" max="1529" width="11.109375" style="505" bestFit="1" customWidth="1"/>
    <col min="1530" max="1530" width="9.109375" style="505" customWidth="1"/>
    <col min="1531" max="1531" width="10.44140625" style="505" customWidth="1"/>
    <col min="1532" max="1532" width="9.109375" style="505" customWidth="1"/>
    <col min="1533" max="1533" width="10.6640625" style="505" customWidth="1"/>
    <col min="1534" max="1534" width="9.109375" style="505" customWidth="1"/>
    <col min="1535" max="1535" width="10.109375" style="505" customWidth="1"/>
    <col min="1536" max="1536" width="11.109375" style="505" customWidth="1"/>
    <col min="1537" max="1656" width="9.109375" style="505" customWidth="1"/>
    <col min="1657" max="1657" width="2.5546875" style="505" customWidth="1"/>
    <col min="1658" max="1658" width="9.109375" style="505" customWidth="1"/>
    <col min="1659" max="1659" width="47.88671875" style="505" customWidth="1"/>
    <col min="1660" max="1660" width="6.6640625" style="505" customWidth="1"/>
    <col min="1661" max="1661" width="7.44140625" style="505" customWidth="1"/>
    <col min="1662" max="1662" width="7" style="505"/>
    <col min="1663" max="1663" width="8.5546875" style="505" customWidth="1"/>
    <col min="1664" max="1664" width="12" style="505" customWidth="1"/>
    <col min="1665" max="1665" width="4.6640625" style="505" customWidth="1"/>
    <col min="1666" max="1666" width="9.109375" style="505" customWidth="1"/>
    <col min="1667" max="1667" width="11.6640625" style="505" customWidth="1"/>
    <col min="1668" max="1779" width="7" style="505"/>
    <col min="1780" max="1780" width="3.88671875" style="505" customWidth="1"/>
    <col min="1781" max="1781" width="14" style="505" customWidth="1"/>
    <col min="1782" max="1782" width="66.5546875" style="505" customWidth="1"/>
    <col min="1783" max="1783" width="9.44140625" style="505" customWidth="1"/>
    <col min="1784" max="1784" width="9.109375" style="505" customWidth="1"/>
    <col min="1785" max="1785" width="11.109375" style="505" bestFit="1" customWidth="1"/>
    <col min="1786" max="1786" width="9.109375" style="505" customWidth="1"/>
    <col min="1787" max="1787" width="10.44140625" style="505" customWidth="1"/>
    <col min="1788" max="1788" width="9.109375" style="505" customWidth="1"/>
    <col min="1789" max="1789" width="10.6640625" style="505" customWidth="1"/>
    <col min="1790" max="1790" width="9.109375" style="505" customWidth="1"/>
    <col min="1791" max="1791" width="10.109375" style="505" customWidth="1"/>
    <col min="1792" max="1792" width="11.109375" style="505" customWidth="1"/>
    <col min="1793" max="1912" width="9.109375" style="505" customWidth="1"/>
    <col min="1913" max="1913" width="2.5546875" style="505" customWidth="1"/>
    <col min="1914" max="1914" width="9.109375" style="505" customWidth="1"/>
    <col min="1915" max="1915" width="47.88671875" style="505" customWidth="1"/>
    <col min="1916" max="1916" width="6.6640625" style="505" customWidth="1"/>
    <col min="1917" max="1917" width="7.44140625" style="505" customWidth="1"/>
    <col min="1918" max="1918" width="7" style="505"/>
    <col min="1919" max="1919" width="8.5546875" style="505" customWidth="1"/>
    <col min="1920" max="1920" width="12" style="505" customWidth="1"/>
    <col min="1921" max="1921" width="4.6640625" style="505" customWidth="1"/>
    <col min="1922" max="1922" width="9.109375" style="505" customWidth="1"/>
    <col min="1923" max="1923" width="11.6640625" style="505" customWidth="1"/>
    <col min="1924" max="2035" width="7" style="505"/>
    <col min="2036" max="2036" width="3.88671875" style="505" customWidth="1"/>
    <col min="2037" max="2037" width="14" style="505" customWidth="1"/>
    <col min="2038" max="2038" width="66.5546875" style="505" customWidth="1"/>
    <col min="2039" max="2039" width="9.44140625" style="505" customWidth="1"/>
    <col min="2040" max="2040" width="9.109375" style="505" customWidth="1"/>
    <col min="2041" max="2041" width="11.109375" style="505" bestFit="1" customWidth="1"/>
    <col min="2042" max="2042" width="9.109375" style="505" customWidth="1"/>
    <col min="2043" max="2043" width="10.44140625" style="505" customWidth="1"/>
    <col min="2044" max="2044" width="9.109375" style="505" customWidth="1"/>
    <col min="2045" max="2045" width="10.6640625" style="505" customWidth="1"/>
    <col min="2046" max="2046" width="9.109375" style="505" customWidth="1"/>
    <col min="2047" max="2047" width="10.109375" style="505" customWidth="1"/>
    <col min="2048" max="2048" width="11.109375" style="505" customWidth="1"/>
    <col min="2049" max="2168" width="9.109375" style="505" customWidth="1"/>
    <col min="2169" max="2169" width="2.5546875" style="505" customWidth="1"/>
    <col min="2170" max="2170" width="9.109375" style="505" customWidth="1"/>
    <col min="2171" max="2171" width="47.88671875" style="505" customWidth="1"/>
    <col min="2172" max="2172" width="6.6640625" style="505" customWidth="1"/>
    <col min="2173" max="2173" width="7.44140625" style="505" customWidth="1"/>
    <col min="2174" max="2174" width="7" style="505"/>
    <col min="2175" max="2175" width="8.5546875" style="505" customWidth="1"/>
    <col min="2176" max="2176" width="12" style="505" customWidth="1"/>
    <col min="2177" max="2177" width="4.6640625" style="505" customWidth="1"/>
    <col min="2178" max="2178" width="9.109375" style="505" customWidth="1"/>
    <col min="2179" max="2179" width="11.6640625" style="505" customWidth="1"/>
    <col min="2180" max="2291" width="7" style="505"/>
    <col min="2292" max="2292" width="3.88671875" style="505" customWidth="1"/>
    <col min="2293" max="2293" width="14" style="505" customWidth="1"/>
    <col min="2294" max="2294" width="66.5546875" style="505" customWidth="1"/>
    <col min="2295" max="2295" width="9.44140625" style="505" customWidth="1"/>
    <col min="2296" max="2296" width="9.109375" style="505" customWidth="1"/>
    <col min="2297" max="2297" width="11.109375" style="505" bestFit="1" customWidth="1"/>
    <col min="2298" max="2298" width="9.109375" style="505" customWidth="1"/>
    <col min="2299" max="2299" width="10.44140625" style="505" customWidth="1"/>
    <col min="2300" max="2300" width="9.109375" style="505" customWidth="1"/>
    <col min="2301" max="2301" width="10.6640625" style="505" customWidth="1"/>
    <col min="2302" max="2302" width="9.109375" style="505" customWidth="1"/>
    <col min="2303" max="2303" width="10.109375" style="505" customWidth="1"/>
    <col min="2304" max="2304" width="11.109375" style="505" customWidth="1"/>
    <col min="2305" max="2424" width="9.109375" style="505" customWidth="1"/>
    <col min="2425" max="2425" width="2.5546875" style="505" customWidth="1"/>
    <col min="2426" max="2426" width="9.109375" style="505" customWidth="1"/>
    <col min="2427" max="2427" width="47.88671875" style="505" customWidth="1"/>
    <col min="2428" max="2428" width="6.6640625" style="505" customWidth="1"/>
    <col min="2429" max="2429" width="7.44140625" style="505" customWidth="1"/>
    <col min="2430" max="2430" width="7" style="505"/>
    <col min="2431" max="2431" width="8.5546875" style="505" customWidth="1"/>
    <col min="2432" max="2432" width="12" style="505" customWidth="1"/>
    <col min="2433" max="2433" width="4.6640625" style="505" customWidth="1"/>
    <col min="2434" max="2434" width="9.109375" style="505" customWidth="1"/>
    <col min="2435" max="2435" width="11.6640625" style="505" customWidth="1"/>
    <col min="2436" max="2547" width="7" style="505"/>
    <col min="2548" max="2548" width="3.88671875" style="505" customWidth="1"/>
    <col min="2549" max="2549" width="14" style="505" customWidth="1"/>
    <col min="2550" max="2550" width="66.5546875" style="505" customWidth="1"/>
    <col min="2551" max="2551" width="9.44140625" style="505" customWidth="1"/>
    <col min="2552" max="2552" width="9.109375" style="505" customWidth="1"/>
    <col min="2553" max="2553" width="11.109375" style="505" bestFit="1" customWidth="1"/>
    <col min="2554" max="2554" width="9.109375" style="505" customWidth="1"/>
    <col min="2555" max="2555" width="10.44140625" style="505" customWidth="1"/>
    <col min="2556" max="2556" width="9.109375" style="505" customWidth="1"/>
    <col min="2557" max="2557" width="10.6640625" style="505" customWidth="1"/>
    <col min="2558" max="2558" width="9.109375" style="505" customWidth="1"/>
    <col min="2559" max="2559" width="10.109375" style="505" customWidth="1"/>
    <col min="2560" max="2560" width="11.109375" style="505" customWidth="1"/>
    <col min="2561" max="2680" width="9.109375" style="505" customWidth="1"/>
    <col min="2681" max="2681" width="2.5546875" style="505" customWidth="1"/>
    <col min="2682" max="2682" width="9.109375" style="505" customWidth="1"/>
    <col min="2683" max="2683" width="47.88671875" style="505" customWidth="1"/>
    <col min="2684" max="2684" width="6.6640625" style="505" customWidth="1"/>
    <col min="2685" max="2685" width="7.44140625" style="505" customWidth="1"/>
    <col min="2686" max="2686" width="7" style="505"/>
    <col min="2687" max="2687" width="8.5546875" style="505" customWidth="1"/>
    <col min="2688" max="2688" width="12" style="505" customWidth="1"/>
    <col min="2689" max="2689" width="4.6640625" style="505" customWidth="1"/>
    <col min="2690" max="2690" width="9.109375" style="505" customWidth="1"/>
    <col min="2691" max="2691" width="11.6640625" style="505" customWidth="1"/>
    <col min="2692" max="2803" width="7" style="505"/>
    <col min="2804" max="2804" width="3.88671875" style="505" customWidth="1"/>
    <col min="2805" max="2805" width="14" style="505" customWidth="1"/>
    <col min="2806" max="2806" width="66.5546875" style="505" customWidth="1"/>
    <col min="2807" max="2807" width="9.44140625" style="505" customWidth="1"/>
    <col min="2808" max="2808" width="9.109375" style="505" customWidth="1"/>
    <col min="2809" max="2809" width="11.109375" style="505" bestFit="1" customWidth="1"/>
    <col min="2810" max="2810" width="9.109375" style="505" customWidth="1"/>
    <col min="2811" max="2811" width="10.44140625" style="505" customWidth="1"/>
    <col min="2812" max="2812" width="9.109375" style="505" customWidth="1"/>
    <col min="2813" max="2813" width="10.6640625" style="505" customWidth="1"/>
    <col min="2814" max="2814" width="9.109375" style="505" customWidth="1"/>
    <col min="2815" max="2815" width="10.109375" style="505" customWidth="1"/>
    <col min="2816" max="2816" width="11.109375" style="505" customWidth="1"/>
    <col min="2817" max="2936" width="9.109375" style="505" customWidth="1"/>
    <col min="2937" max="2937" width="2.5546875" style="505" customWidth="1"/>
    <col min="2938" max="2938" width="9.109375" style="505" customWidth="1"/>
    <col min="2939" max="2939" width="47.88671875" style="505" customWidth="1"/>
    <col min="2940" max="2940" width="6.6640625" style="505" customWidth="1"/>
    <col min="2941" max="2941" width="7.44140625" style="505" customWidth="1"/>
    <col min="2942" max="2942" width="7" style="505"/>
    <col min="2943" max="2943" width="8.5546875" style="505" customWidth="1"/>
    <col min="2944" max="2944" width="12" style="505" customWidth="1"/>
    <col min="2945" max="2945" width="4.6640625" style="505" customWidth="1"/>
    <col min="2946" max="2946" width="9.109375" style="505" customWidth="1"/>
    <col min="2947" max="2947" width="11.6640625" style="505" customWidth="1"/>
    <col min="2948" max="3059" width="7" style="505"/>
    <col min="3060" max="3060" width="3.88671875" style="505" customWidth="1"/>
    <col min="3061" max="3061" width="14" style="505" customWidth="1"/>
    <col min="3062" max="3062" width="66.5546875" style="505" customWidth="1"/>
    <col min="3063" max="3063" width="9.44140625" style="505" customWidth="1"/>
    <col min="3064" max="3064" width="9.109375" style="505" customWidth="1"/>
    <col min="3065" max="3065" width="11.109375" style="505" bestFit="1" customWidth="1"/>
    <col min="3066" max="3066" width="9.109375" style="505" customWidth="1"/>
    <col min="3067" max="3067" width="10.44140625" style="505" customWidth="1"/>
    <col min="3068" max="3068" width="9.109375" style="505" customWidth="1"/>
    <col min="3069" max="3069" width="10.6640625" style="505" customWidth="1"/>
    <col min="3070" max="3070" width="9.109375" style="505" customWidth="1"/>
    <col min="3071" max="3071" width="10.109375" style="505" customWidth="1"/>
    <col min="3072" max="3072" width="11.109375" style="505" customWidth="1"/>
    <col min="3073" max="3192" width="9.109375" style="505" customWidth="1"/>
    <col min="3193" max="3193" width="2.5546875" style="505" customWidth="1"/>
    <col min="3194" max="3194" width="9.109375" style="505" customWidth="1"/>
    <col min="3195" max="3195" width="47.88671875" style="505" customWidth="1"/>
    <col min="3196" max="3196" width="6.6640625" style="505" customWidth="1"/>
    <col min="3197" max="3197" width="7.44140625" style="505" customWidth="1"/>
    <col min="3198" max="3198" width="7" style="505"/>
    <col min="3199" max="3199" width="8.5546875" style="505" customWidth="1"/>
    <col min="3200" max="3200" width="12" style="505" customWidth="1"/>
    <col min="3201" max="3201" width="4.6640625" style="505" customWidth="1"/>
    <col min="3202" max="3202" width="9.109375" style="505" customWidth="1"/>
    <col min="3203" max="3203" width="11.6640625" style="505" customWidth="1"/>
    <col min="3204" max="3315" width="7" style="505"/>
    <col min="3316" max="3316" width="3.88671875" style="505" customWidth="1"/>
    <col min="3317" max="3317" width="14" style="505" customWidth="1"/>
    <col min="3318" max="3318" width="66.5546875" style="505" customWidth="1"/>
    <col min="3319" max="3319" width="9.44140625" style="505" customWidth="1"/>
    <col min="3320" max="3320" width="9.109375" style="505" customWidth="1"/>
    <col min="3321" max="3321" width="11.109375" style="505" bestFit="1" customWidth="1"/>
    <col min="3322" max="3322" width="9.109375" style="505" customWidth="1"/>
    <col min="3323" max="3323" width="10.44140625" style="505" customWidth="1"/>
    <col min="3324" max="3324" width="9.109375" style="505" customWidth="1"/>
    <col min="3325" max="3325" width="10.6640625" style="505" customWidth="1"/>
    <col min="3326" max="3326" width="9.109375" style="505" customWidth="1"/>
    <col min="3327" max="3327" width="10.109375" style="505" customWidth="1"/>
    <col min="3328" max="3328" width="11.109375" style="505" customWidth="1"/>
    <col min="3329" max="3448" width="9.109375" style="505" customWidth="1"/>
    <col min="3449" max="3449" width="2.5546875" style="505" customWidth="1"/>
    <col min="3450" max="3450" width="9.109375" style="505" customWidth="1"/>
    <col min="3451" max="3451" width="47.88671875" style="505" customWidth="1"/>
    <col min="3452" max="3452" width="6.6640625" style="505" customWidth="1"/>
    <col min="3453" max="3453" width="7.44140625" style="505" customWidth="1"/>
    <col min="3454" max="3454" width="7" style="505"/>
    <col min="3455" max="3455" width="8.5546875" style="505" customWidth="1"/>
    <col min="3456" max="3456" width="12" style="505" customWidth="1"/>
    <col min="3457" max="3457" width="4.6640625" style="505" customWidth="1"/>
    <col min="3458" max="3458" width="9.109375" style="505" customWidth="1"/>
    <col min="3459" max="3459" width="11.6640625" style="505" customWidth="1"/>
    <col min="3460" max="3571" width="7" style="505"/>
    <col min="3572" max="3572" width="3.88671875" style="505" customWidth="1"/>
    <col min="3573" max="3573" width="14" style="505" customWidth="1"/>
    <col min="3574" max="3574" width="66.5546875" style="505" customWidth="1"/>
    <col min="3575" max="3575" width="9.44140625" style="505" customWidth="1"/>
    <col min="3576" max="3576" width="9.109375" style="505" customWidth="1"/>
    <col min="3577" max="3577" width="11.109375" style="505" bestFit="1" customWidth="1"/>
    <col min="3578" max="3578" width="9.109375" style="505" customWidth="1"/>
    <col min="3579" max="3579" width="10.44140625" style="505" customWidth="1"/>
    <col min="3580" max="3580" width="9.109375" style="505" customWidth="1"/>
    <col min="3581" max="3581" width="10.6640625" style="505" customWidth="1"/>
    <col min="3582" max="3582" width="9.109375" style="505" customWidth="1"/>
    <col min="3583" max="3583" width="10.109375" style="505" customWidth="1"/>
    <col min="3584" max="3584" width="11.109375" style="505" customWidth="1"/>
    <col min="3585" max="3704" width="9.109375" style="505" customWidth="1"/>
    <col min="3705" max="3705" width="2.5546875" style="505" customWidth="1"/>
    <col min="3706" max="3706" width="9.109375" style="505" customWidth="1"/>
    <col min="3707" max="3707" width="47.88671875" style="505" customWidth="1"/>
    <col min="3708" max="3708" width="6.6640625" style="505" customWidth="1"/>
    <col min="3709" max="3709" width="7.44140625" style="505" customWidth="1"/>
    <col min="3710" max="3710" width="7" style="505"/>
    <col min="3711" max="3711" width="8.5546875" style="505" customWidth="1"/>
    <col min="3712" max="3712" width="12" style="505" customWidth="1"/>
    <col min="3713" max="3713" width="4.6640625" style="505" customWidth="1"/>
    <col min="3714" max="3714" width="9.109375" style="505" customWidth="1"/>
    <col min="3715" max="3715" width="11.6640625" style="505" customWidth="1"/>
    <col min="3716" max="3827" width="7" style="505"/>
    <col min="3828" max="3828" width="3.88671875" style="505" customWidth="1"/>
    <col min="3829" max="3829" width="14" style="505" customWidth="1"/>
    <col min="3830" max="3830" width="66.5546875" style="505" customWidth="1"/>
    <col min="3831" max="3831" width="9.44140625" style="505" customWidth="1"/>
    <col min="3832" max="3832" width="9.109375" style="505" customWidth="1"/>
    <col min="3833" max="3833" width="11.109375" style="505" bestFit="1" customWidth="1"/>
    <col min="3834" max="3834" width="9.109375" style="505" customWidth="1"/>
    <col min="3835" max="3835" width="10.44140625" style="505" customWidth="1"/>
    <col min="3836" max="3836" width="9.109375" style="505" customWidth="1"/>
    <col min="3837" max="3837" width="10.6640625" style="505" customWidth="1"/>
    <col min="3838" max="3838" width="9.109375" style="505" customWidth="1"/>
    <col min="3839" max="3839" width="10.109375" style="505" customWidth="1"/>
    <col min="3840" max="3840" width="11.109375" style="505" customWidth="1"/>
    <col min="3841" max="3960" width="9.109375" style="505" customWidth="1"/>
    <col min="3961" max="3961" width="2.5546875" style="505" customWidth="1"/>
    <col min="3962" max="3962" width="9.109375" style="505" customWidth="1"/>
    <col min="3963" max="3963" width="47.88671875" style="505" customWidth="1"/>
    <col min="3964" max="3964" width="6.6640625" style="505" customWidth="1"/>
    <col min="3965" max="3965" width="7.44140625" style="505" customWidth="1"/>
    <col min="3966" max="3966" width="7" style="505"/>
    <col min="3967" max="3967" width="8.5546875" style="505" customWidth="1"/>
    <col min="3968" max="3968" width="12" style="505" customWidth="1"/>
    <col min="3969" max="3969" width="4.6640625" style="505" customWidth="1"/>
    <col min="3970" max="3970" width="9.109375" style="505" customWidth="1"/>
    <col min="3971" max="3971" width="11.6640625" style="505" customWidth="1"/>
    <col min="3972" max="4083" width="7" style="505"/>
    <col min="4084" max="4084" width="3.88671875" style="505" customWidth="1"/>
    <col min="4085" max="4085" width="14" style="505" customWidth="1"/>
    <col min="4086" max="4086" width="66.5546875" style="505" customWidth="1"/>
    <col min="4087" max="4087" width="9.44140625" style="505" customWidth="1"/>
    <col min="4088" max="4088" width="9.109375" style="505" customWidth="1"/>
    <col min="4089" max="4089" width="11.109375" style="505" bestFit="1" customWidth="1"/>
    <col min="4090" max="4090" width="9.109375" style="505" customWidth="1"/>
    <col min="4091" max="4091" width="10.44140625" style="505" customWidth="1"/>
    <col min="4092" max="4092" width="9.109375" style="505" customWidth="1"/>
    <col min="4093" max="4093" width="10.6640625" style="505" customWidth="1"/>
    <col min="4094" max="4094" width="9.109375" style="505" customWidth="1"/>
    <col min="4095" max="4095" width="10.109375" style="505" customWidth="1"/>
    <col min="4096" max="4096" width="11.109375" style="505" customWidth="1"/>
    <col min="4097" max="4216" width="9.109375" style="505" customWidth="1"/>
    <col min="4217" max="4217" width="2.5546875" style="505" customWidth="1"/>
    <col min="4218" max="4218" width="9.109375" style="505" customWidth="1"/>
    <col min="4219" max="4219" width="47.88671875" style="505" customWidth="1"/>
    <col min="4220" max="4220" width="6.6640625" style="505" customWidth="1"/>
    <col min="4221" max="4221" width="7.44140625" style="505" customWidth="1"/>
    <col min="4222" max="4222" width="7" style="505"/>
    <col min="4223" max="4223" width="8.5546875" style="505" customWidth="1"/>
    <col min="4224" max="4224" width="12" style="505" customWidth="1"/>
    <col min="4225" max="4225" width="4.6640625" style="505" customWidth="1"/>
    <col min="4226" max="4226" width="9.109375" style="505" customWidth="1"/>
    <col min="4227" max="4227" width="11.6640625" style="505" customWidth="1"/>
    <col min="4228" max="4339" width="7" style="505"/>
    <col min="4340" max="4340" width="3.88671875" style="505" customWidth="1"/>
    <col min="4341" max="4341" width="14" style="505" customWidth="1"/>
    <col min="4342" max="4342" width="66.5546875" style="505" customWidth="1"/>
    <col min="4343" max="4343" width="9.44140625" style="505" customWidth="1"/>
    <col min="4344" max="4344" width="9.109375" style="505" customWidth="1"/>
    <col min="4345" max="4345" width="11.109375" style="505" bestFit="1" customWidth="1"/>
    <col min="4346" max="4346" width="9.109375" style="505" customWidth="1"/>
    <col min="4347" max="4347" width="10.44140625" style="505" customWidth="1"/>
    <col min="4348" max="4348" width="9.109375" style="505" customWidth="1"/>
    <col min="4349" max="4349" width="10.6640625" style="505" customWidth="1"/>
    <col min="4350" max="4350" width="9.109375" style="505" customWidth="1"/>
    <col min="4351" max="4351" width="10.109375" style="505" customWidth="1"/>
    <col min="4352" max="4352" width="11.109375" style="505" customWidth="1"/>
    <col min="4353" max="4472" width="9.109375" style="505" customWidth="1"/>
    <col min="4473" max="4473" width="2.5546875" style="505" customWidth="1"/>
    <col min="4474" max="4474" width="9.109375" style="505" customWidth="1"/>
    <col min="4475" max="4475" width="47.88671875" style="505" customWidth="1"/>
    <col min="4476" max="4476" width="6.6640625" style="505" customWidth="1"/>
    <col min="4477" max="4477" width="7.44140625" style="505" customWidth="1"/>
    <col min="4478" max="4478" width="7" style="505"/>
    <col min="4479" max="4479" width="8.5546875" style="505" customWidth="1"/>
    <col min="4480" max="4480" width="12" style="505" customWidth="1"/>
    <col min="4481" max="4481" width="4.6640625" style="505" customWidth="1"/>
    <col min="4482" max="4482" width="9.109375" style="505" customWidth="1"/>
    <col min="4483" max="4483" width="11.6640625" style="505" customWidth="1"/>
    <col min="4484" max="4595" width="7" style="505"/>
    <col min="4596" max="4596" width="3.88671875" style="505" customWidth="1"/>
    <col min="4597" max="4597" width="14" style="505" customWidth="1"/>
    <col min="4598" max="4598" width="66.5546875" style="505" customWidth="1"/>
    <col min="4599" max="4599" width="9.44140625" style="505" customWidth="1"/>
    <col min="4600" max="4600" width="9.109375" style="505" customWidth="1"/>
    <col min="4601" max="4601" width="11.109375" style="505" bestFit="1" customWidth="1"/>
    <col min="4602" max="4602" width="9.109375" style="505" customWidth="1"/>
    <col min="4603" max="4603" width="10.44140625" style="505" customWidth="1"/>
    <col min="4604" max="4604" width="9.109375" style="505" customWidth="1"/>
    <col min="4605" max="4605" width="10.6640625" style="505" customWidth="1"/>
    <col min="4606" max="4606" width="9.109375" style="505" customWidth="1"/>
    <col min="4607" max="4607" width="10.109375" style="505" customWidth="1"/>
    <col min="4608" max="4608" width="11.109375" style="505" customWidth="1"/>
    <col min="4609" max="4728" width="9.109375" style="505" customWidth="1"/>
    <col min="4729" max="4729" width="2.5546875" style="505" customWidth="1"/>
    <col min="4730" max="4730" width="9.109375" style="505" customWidth="1"/>
    <col min="4731" max="4731" width="47.88671875" style="505" customWidth="1"/>
    <col min="4732" max="4732" width="6.6640625" style="505" customWidth="1"/>
    <col min="4733" max="4733" width="7.44140625" style="505" customWidth="1"/>
    <col min="4734" max="4734" width="7" style="505"/>
    <col min="4735" max="4735" width="8.5546875" style="505" customWidth="1"/>
    <col min="4736" max="4736" width="12" style="505" customWidth="1"/>
    <col min="4737" max="4737" width="4.6640625" style="505" customWidth="1"/>
    <col min="4738" max="4738" width="9.109375" style="505" customWidth="1"/>
    <col min="4739" max="4739" width="11.6640625" style="505" customWidth="1"/>
    <col min="4740" max="4851" width="7" style="505"/>
    <col min="4852" max="4852" width="3.88671875" style="505" customWidth="1"/>
    <col min="4853" max="4853" width="14" style="505" customWidth="1"/>
    <col min="4854" max="4854" width="66.5546875" style="505" customWidth="1"/>
    <col min="4855" max="4855" width="9.44140625" style="505" customWidth="1"/>
    <col min="4856" max="4856" width="9.109375" style="505" customWidth="1"/>
    <col min="4857" max="4857" width="11.109375" style="505" bestFit="1" customWidth="1"/>
    <col min="4858" max="4858" width="9.109375" style="505" customWidth="1"/>
    <col min="4859" max="4859" width="10.44140625" style="505" customWidth="1"/>
    <col min="4860" max="4860" width="9.109375" style="505" customWidth="1"/>
    <col min="4861" max="4861" width="10.6640625" style="505" customWidth="1"/>
    <col min="4862" max="4862" width="9.109375" style="505" customWidth="1"/>
    <col min="4863" max="4863" width="10.109375" style="505" customWidth="1"/>
    <col min="4864" max="4864" width="11.109375" style="505" customWidth="1"/>
    <col min="4865" max="4984" width="9.109375" style="505" customWidth="1"/>
    <col min="4985" max="4985" width="2.5546875" style="505" customWidth="1"/>
    <col min="4986" max="4986" width="9.109375" style="505" customWidth="1"/>
    <col min="4987" max="4987" width="47.88671875" style="505" customWidth="1"/>
    <col min="4988" max="4988" width="6.6640625" style="505" customWidth="1"/>
    <col min="4989" max="4989" width="7.44140625" style="505" customWidth="1"/>
    <col min="4990" max="4990" width="7" style="505"/>
    <col min="4991" max="4991" width="8.5546875" style="505" customWidth="1"/>
    <col min="4992" max="4992" width="12" style="505" customWidth="1"/>
    <col min="4993" max="4993" width="4.6640625" style="505" customWidth="1"/>
    <col min="4994" max="4994" width="9.109375" style="505" customWidth="1"/>
    <col min="4995" max="4995" width="11.6640625" style="505" customWidth="1"/>
    <col min="4996" max="5107" width="7" style="505"/>
    <col min="5108" max="5108" width="3.88671875" style="505" customWidth="1"/>
    <col min="5109" max="5109" width="14" style="505" customWidth="1"/>
    <col min="5110" max="5110" width="66.5546875" style="505" customWidth="1"/>
    <col min="5111" max="5111" width="9.44140625" style="505" customWidth="1"/>
    <col min="5112" max="5112" width="9.109375" style="505" customWidth="1"/>
    <col min="5113" max="5113" width="11.109375" style="505" bestFit="1" customWidth="1"/>
    <col min="5114" max="5114" width="9.109375" style="505" customWidth="1"/>
    <col min="5115" max="5115" width="10.44140625" style="505" customWidth="1"/>
    <col min="5116" max="5116" width="9.109375" style="505" customWidth="1"/>
    <col min="5117" max="5117" width="10.6640625" style="505" customWidth="1"/>
    <col min="5118" max="5118" width="9.109375" style="505" customWidth="1"/>
    <col min="5119" max="5119" width="10.109375" style="505" customWidth="1"/>
    <col min="5120" max="5120" width="11.109375" style="505" customWidth="1"/>
    <col min="5121" max="5240" width="9.109375" style="505" customWidth="1"/>
    <col min="5241" max="5241" width="2.5546875" style="505" customWidth="1"/>
    <col min="5242" max="5242" width="9.109375" style="505" customWidth="1"/>
    <col min="5243" max="5243" width="47.88671875" style="505" customWidth="1"/>
    <col min="5244" max="5244" width="6.6640625" style="505" customWidth="1"/>
    <col min="5245" max="5245" width="7.44140625" style="505" customWidth="1"/>
    <col min="5246" max="5246" width="7" style="505"/>
    <col min="5247" max="5247" width="8.5546875" style="505" customWidth="1"/>
    <col min="5248" max="5248" width="12" style="505" customWidth="1"/>
    <col min="5249" max="5249" width="4.6640625" style="505" customWidth="1"/>
    <col min="5250" max="5250" width="9.109375" style="505" customWidth="1"/>
    <col min="5251" max="5251" width="11.6640625" style="505" customWidth="1"/>
    <col min="5252" max="5363" width="7" style="505"/>
    <col min="5364" max="5364" width="3.88671875" style="505" customWidth="1"/>
    <col min="5365" max="5365" width="14" style="505" customWidth="1"/>
    <col min="5366" max="5366" width="66.5546875" style="505" customWidth="1"/>
    <col min="5367" max="5367" width="9.44140625" style="505" customWidth="1"/>
    <col min="5368" max="5368" width="9.109375" style="505" customWidth="1"/>
    <col min="5369" max="5369" width="11.109375" style="505" bestFit="1" customWidth="1"/>
    <col min="5370" max="5370" width="9.109375" style="505" customWidth="1"/>
    <col min="5371" max="5371" width="10.44140625" style="505" customWidth="1"/>
    <col min="5372" max="5372" width="9.109375" style="505" customWidth="1"/>
    <col min="5373" max="5373" width="10.6640625" style="505" customWidth="1"/>
    <col min="5374" max="5374" width="9.109375" style="505" customWidth="1"/>
    <col min="5375" max="5375" width="10.109375" style="505" customWidth="1"/>
    <col min="5376" max="5376" width="11.109375" style="505" customWidth="1"/>
    <col min="5377" max="5496" width="9.109375" style="505" customWidth="1"/>
    <col min="5497" max="5497" width="2.5546875" style="505" customWidth="1"/>
    <col min="5498" max="5498" width="9.109375" style="505" customWidth="1"/>
    <col min="5499" max="5499" width="47.88671875" style="505" customWidth="1"/>
    <col min="5500" max="5500" width="6.6640625" style="505" customWidth="1"/>
    <col min="5501" max="5501" width="7.44140625" style="505" customWidth="1"/>
    <col min="5502" max="5502" width="7" style="505"/>
    <col min="5503" max="5503" width="8.5546875" style="505" customWidth="1"/>
    <col min="5504" max="5504" width="12" style="505" customWidth="1"/>
    <col min="5505" max="5505" width="4.6640625" style="505" customWidth="1"/>
    <col min="5506" max="5506" width="9.109375" style="505" customWidth="1"/>
    <col min="5507" max="5507" width="11.6640625" style="505" customWidth="1"/>
    <col min="5508" max="5619" width="7" style="505"/>
    <col min="5620" max="5620" width="3.88671875" style="505" customWidth="1"/>
    <col min="5621" max="5621" width="14" style="505" customWidth="1"/>
    <col min="5622" max="5622" width="66.5546875" style="505" customWidth="1"/>
    <col min="5623" max="5623" width="9.44140625" style="505" customWidth="1"/>
    <col min="5624" max="5624" width="9.109375" style="505" customWidth="1"/>
    <col min="5625" max="5625" width="11.109375" style="505" bestFit="1" customWidth="1"/>
    <col min="5626" max="5626" width="9.109375" style="505" customWidth="1"/>
    <col min="5627" max="5627" width="10.44140625" style="505" customWidth="1"/>
    <col min="5628" max="5628" width="9.109375" style="505" customWidth="1"/>
    <col min="5629" max="5629" width="10.6640625" style="505" customWidth="1"/>
    <col min="5630" max="5630" width="9.109375" style="505" customWidth="1"/>
    <col min="5631" max="5631" width="10.109375" style="505" customWidth="1"/>
    <col min="5632" max="5632" width="11.109375" style="505" customWidth="1"/>
    <col min="5633" max="5752" width="9.109375" style="505" customWidth="1"/>
    <col min="5753" max="5753" width="2.5546875" style="505" customWidth="1"/>
    <col min="5754" max="5754" width="9.109375" style="505" customWidth="1"/>
    <col min="5755" max="5755" width="47.88671875" style="505" customWidth="1"/>
    <col min="5756" max="5756" width="6.6640625" style="505" customWidth="1"/>
    <col min="5757" max="5757" width="7.44140625" style="505" customWidth="1"/>
    <col min="5758" max="5758" width="7" style="505"/>
    <col min="5759" max="5759" width="8.5546875" style="505" customWidth="1"/>
    <col min="5760" max="5760" width="12" style="505" customWidth="1"/>
    <col min="5761" max="5761" width="4.6640625" style="505" customWidth="1"/>
    <col min="5762" max="5762" width="9.109375" style="505" customWidth="1"/>
    <col min="5763" max="5763" width="11.6640625" style="505" customWidth="1"/>
    <col min="5764" max="5875" width="7" style="505"/>
    <col min="5876" max="5876" width="3.88671875" style="505" customWidth="1"/>
    <col min="5877" max="5877" width="14" style="505" customWidth="1"/>
    <col min="5878" max="5878" width="66.5546875" style="505" customWidth="1"/>
    <col min="5879" max="5879" width="9.44140625" style="505" customWidth="1"/>
    <col min="5880" max="5880" width="9.109375" style="505" customWidth="1"/>
    <col min="5881" max="5881" width="11.109375" style="505" bestFit="1" customWidth="1"/>
    <col min="5882" max="5882" width="9.109375" style="505" customWidth="1"/>
    <col min="5883" max="5883" width="10.44140625" style="505" customWidth="1"/>
    <col min="5884" max="5884" width="9.109375" style="505" customWidth="1"/>
    <col min="5885" max="5885" width="10.6640625" style="505" customWidth="1"/>
    <col min="5886" max="5886" width="9.109375" style="505" customWidth="1"/>
    <col min="5887" max="5887" width="10.109375" style="505" customWidth="1"/>
    <col min="5888" max="5888" width="11.109375" style="505" customWidth="1"/>
    <col min="5889" max="6008" width="9.109375" style="505" customWidth="1"/>
    <col min="6009" max="6009" width="2.5546875" style="505" customWidth="1"/>
    <col min="6010" max="6010" width="9.109375" style="505" customWidth="1"/>
    <col min="6011" max="6011" width="47.88671875" style="505" customWidth="1"/>
    <col min="6012" max="6012" width="6.6640625" style="505" customWidth="1"/>
    <col min="6013" max="6013" width="7.44140625" style="505" customWidth="1"/>
    <col min="6014" max="6014" width="7" style="505"/>
    <col min="6015" max="6015" width="8.5546875" style="505" customWidth="1"/>
    <col min="6016" max="6016" width="12" style="505" customWidth="1"/>
    <col min="6017" max="6017" width="4.6640625" style="505" customWidth="1"/>
    <col min="6018" max="6018" width="9.109375" style="505" customWidth="1"/>
    <col min="6019" max="6019" width="11.6640625" style="505" customWidth="1"/>
    <col min="6020" max="6131" width="7" style="505"/>
    <col min="6132" max="6132" width="3.88671875" style="505" customWidth="1"/>
    <col min="6133" max="6133" width="14" style="505" customWidth="1"/>
    <col min="6134" max="6134" width="66.5546875" style="505" customWidth="1"/>
    <col min="6135" max="6135" width="9.44140625" style="505" customWidth="1"/>
    <col min="6136" max="6136" width="9.109375" style="505" customWidth="1"/>
    <col min="6137" max="6137" width="11.109375" style="505" bestFit="1" customWidth="1"/>
    <col min="6138" max="6138" width="9.109375" style="505" customWidth="1"/>
    <col min="6139" max="6139" width="10.44140625" style="505" customWidth="1"/>
    <col min="6140" max="6140" width="9.109375" style="505" customWidth="1"/>
    <col min="6141" max="6141" width="10.6640625" style="505" customWidth="1"/>
    <col min="6142" max="6142" width="9.109375" style="505" customWidth="1"/>
    <col min="6143" max="6143" width="10.109375" style="505" customWidth="1"/>
    <col min="6144" max="6144" width="11.109375" style="505" customWidth="1"/>
    <col min="6145" max="6264" width="9.109375" style="505" customWidth="1"/>
    <col min="6265" max="6265" width="2.5546875" style="505" customWidth="1"/>
    <col min="6266" max="6266" width="9.109375" style="505" customWidth="1"/>
    <col min="6267" max="6267" width="47.88671875" style="505" customWidth="1"/>
    <col min="6268" max="6268" width="6.6640625" style="505" customWidth="1"/>
    <col min="6269" max="6269" width="7.44140625" style="505" customWidth="1"/>
    <col min="6270" max="6270" width="7" style="505"/>
    <col min="6271" max="6271" width="8.5546875" style="505" customWidth="1"/>
    <col min="6272" max="6272" width="12" style="505" customWidth="1"/>
    <col min="6273" max="6273" width="4.6640625" style="505" customWidth="1"/>
    <col min="6274" max="6274" width="9.109375" style="505" customWidth="1"/>
    <col min="6275" max="6275" width="11.6640625" style="505" customWidth="1"/>
    <col min="6276" max="6387" width="7" style="505"/>
    <col min="6388" max="6388" width="3.88671875" style="505" customWidth="1"/>
    <col min="6389" max="6389" width="14" style="505" customWidth="1"/>
    <col min="6390" max="6390" width="66.5546875" style="505" customWidth="1"/>
    <col min="6391" max="6391" width="9.44140625" style="505" customWidth="1"/>
    <col min="6392" max="6392" width="9.109375" style="505" customWidth="1"/>
    <col min="6393" max="6393" width="11.109375" style="505" bestFit="1" customWidth="1"/>
    <col min="6394" max="6394" width="9.109375" style="505" customWidth="1"/>
    <col min="6395" max="6395" width="10.44140625" style="505" customWidth="1"/>
    <col min="6396" max="6396" width="9.109375" style="505" customWidth="1"/>
    <col min="6397" max="6397" width="10.6640625" style="505" customWidth="1"/>
    <col min="6398" max="6398" width="9.109375" style="505" customWidth="1"/>
    <col min="6399" max="6399" width="10.109375" style="505" customWidth="1"/>
    <col min="6400" max="6400" width="11.109375" style="505" customWidth="1"/>
    <col min="6401" max="6520" width="9.109375" style="505" customWidth="1"/>
    <col min="6521" max="6521" width="2.5546875" style="505" customWidth="1"/>
    <col min="6522" max="6522" width="9.109375" style="505" customWidth="1"/>
    <col min="6523" max="6523" width="47.88671875" style="505" customWidth="1"/>
    <col min="6524" max="6524" width="6.6640625" style="505" customWidth="1"/>
    <col min="6525" max="6525" width="7.44140625" style="505" customWidth="1"/>
    <col min="6526" max="6526" width="7" style="505"/>
    <col min="6527" max="6527" width="8.5546875" style="505" customWidth="1"/>
    <col min="6528" max="6528" width="12" style="505" customWidth="1"/>
    <col min="6529" max="6529" width="4.6640625" style="505" customWidth="1"/>
    <col min="6530" max="6530" width="9.109375" style="505" customWidth="1"/>
    <col min="6531" max="6531" width="11.6640625" style="505" customWidth="1"/>
    <col min="6532" max="6643" width="7" style="505"/>
    <col min="6644" max="6644" width="3.88671875" style="505" customWidth="1"/>
    <col min="6645" max="6645" width="14" style="505" customWidth="1"/>
    <col min="6646" max="6646" width="66.5546875" style="505" customWidth="1"/>
    <col min="6647" max="6647" width="9.44140625" style="505" customWidth="1"/>
    <col min="6648" max="6648" width="9.109375" style="505" customWidth="1"/>
    <col min="6649" max="6649" width="11.109375" style="505" bestFit="1" customWidth="1"/>
    <col min="6650" max="6650" width="9.109375" style="505" customWidth="1"/>
    <col min="6651" max="6651" width="10.44140625" style="505" customWidth="1"/>
    <col min="6652" max="6652" width="9.109375" style="505" customWidth="1"/>
    <col min="6653" max="6653" width="10.6640625" style="505" customWidth="1"/>
    <col min="6654" max="6654" width="9.109375" style="505" customWidth="1"/>
    <col min="6655" max="6655" width="10.109375" style="505" customWidth="1"/>
    <col min="6656" max="6656" width="11.109375" style="505" customWidth="1"/>
    <col min="6657" max="6776" width="9.109375" style="505" customWidth="1"/>
    <col min="6777" max="6777" width="2.5546875" style="505" customWidth="1"/>
    <col min="6778" max="6778" width="9.109375" style="505" customWidth="1"/>
    <col min="6779" max="6779" width="47.88671875" style="505" customWidth="1"/>
    <col min="6780" max="6780" width="6.6640625" style="505" customWidth="1"/>
    <col min="6781" max="6781" width="7.44140625" style="505" customWidth="1"/>
    <col min="6782" max="6782" width="7" style="505"/>
    <col min="6783" max="6783" width="8.5546875" style="505" customWidth="1"/>
    <col min="6784" max="6784" width="12" style="505" customWidth="1"/>
    <col min="6785" max="6785" width="4.6640625" style="505" customWidth="1"/>
    <col min="6786" max="6786" width="9.109375" style="505" customWidth="1"/>
    <col min="6787" max="6787" width="11.6640625" style="505" customWidth="1"/>
    <col min="6788" max="6899" width="7" style="505"/>
    <col min="6900" max="6900" width="3.88671875" style="505" customWidth="1"/>
    <col min="6901" max="6901" width="14" style="505" customWidth="1"/>
    <col min="6902" max="6902" width="66.5546875" style="505" customWidth="1"/>
    <col min="6903" max="6903" width="9.44140625" style="505" customWidth="1"/>
    <col min="6904" max="6904" width="9.109375" style="505" customWidth="1"/>
    <col min="6905" max="6905" width="11.109375" style="505" bestFit="1" customWidth="1"/>
    <col min="6906" max="6906" width="9.109375" style="505" customWidth="1"/>
    <col min="6907" max="6907" width="10.44140625" style="505" customWidth="1"/>
    <col min="6908" max="6908" width="9.109375" style="505" customWidth="1"/>
    <col min="6909" max="6909" width="10.6640625" style="505" customWidth="1"/>
    <col min="6910" max="6910" width="9.109375" style="505" customWidth="1"/>
    <col min="6911" max="6911" width="10.109375" style="505" customWidth="1"/>
    <col min="6912" max="6912" width="11.109375" style="505" customWidth="1"/>
    <col min="6913" max="7032" width="9.109375" style="505" customWidth="1"/>
    <col min="7033" max="7033" width="2.5546875" style="505" customWidth="1"/>
    <col min="7034" max="7034" width="9.109375" style="505" customWidth="1"/>
    <col min="7035" max="7035" width="47.88671875" style="505" customWidth="1"/>
    <col min="7036" max="7036" width="6.6640625" style="505" customWidth="1"/>
    <col min="7037" max="7037" width="7.44140625" style="505" customWidth="1"/>
    <col min="7038" max="7038" width="7" style="505"/>
    <col min="7039" max="7039" width="8.5546875" style="505" customWidth="1"/>
    <col min="7040" max="7040" width="12" style="505" customWidth="1"/>
    <col min="7041" max="7041" width="4.6640625" style="505" customWidth="1"/>
    <col min="7042" max="7042" width="9.109375" style="505" customWidth="1"/>
    <col min="7043" max="7043" width="11.6640625" style="505" customWidth="1"/>
    <col min="7044" max="7155" width="7" style="505"/>
    <col min="7156" max="7156" width="3.88671875" style="505" customWidth="1"/>
    <col min="7157" max="7157" width="14" style="505" customWidth="1"/>
    <col min="7158" max="7158" width="66.5546875" style="505" customWidth="1"/>
    <col min="7159" max="7159" width="9.44140625" style="505" customWidth="1"/>
    <col min="7160" max="7160" width="9.109375" style="505" customWidth="1"/>
    <col min="7161" max="7161" width="11.109375" style="505" bestFit="1" customWidth="1"/>
    <col min="7162" max="7162" width="9.109375" style="505" customWidth="1"/>
    <col min="7163" max="7163" width="10.44140625" style="505" customWidth="1"/>
    <col min="7164" max="7164" width="9.109375" style="505" customWidth="1"/>
    <col min="7165" max="7165" width="10.6640625" style="505" customWidth="1"/>
    <col min="7166" max="7166" width="9.109375" style="505" customWidth="1"/>
    <col min="7167" max="7167" width="10.109375" style="505" customWidth="1"/>
    <col min="7168" max="7168" width="11.109375" style="505" customWidth="1"/>
    <col min="7169" max="7288" width="9.109375" style="505" customWidth="1"/>
    <col min="7289" max="7289" width="2.5546875" style="505" customWidth="1"/>
    <col min="7290" max="7290" width="9.109375" style="505" customWidth="1"/>
    <col min="7291" max="7291" width="47.88671875" style="505" customWidth="1"/>
    <col min="7292" max="7292" width="6.6640625" style="505" customWidth="1"/>
    <col min="7293" max="7293" width="7.44140625" style="505" customWidth="1"/>
    <col min="7294" max="7294" width="7" style="505"/>
    <col min="7295" max="7295" width="8.5546875" style="505" customWidth="1"/>
    <col min="7296" max="7296" width="12" style="505" customWidth="1"/>
    <col min="7297" max="7297" width="4.6640625" style="505" customWidth="1"/>
    <col min="7298" max="7298" width="9.109375" style="505" customWidth="1"/>
    <col min="7299" max="7299" width="11.6640625" style="505" customWidth="1"/>
    <col min="7300" max="7411" width="7" style="505"/>
    <col min="7412" max="7412" width="3.88671875" style="505" customWidth="1"/>
    <col min="7413" max="7413" width="14" style="505" customWidth="1"/>
    <col min="7414" max="7414" width="66.5546875" style="505" customWidth="1"/>
    <col min="7415" max="7415" width="9.44140625" style="505" customWidth="1"/>
    <col min="7416" max="7416" width="9.109375" style="505" customWidth="1"/>
    <col min="7417" max="7417" width="11.109375" style="505" bestFit="1" customWidth="1"/>
    <col min="7418" max="7418" width="9.109375" style="505" customWidth="1"/>
    <col min="7419" max="7419" width="10.44140625" style="505" customWidth="1"/>
    <col min="7420" max="7420" width="9.109375" style="505" customWidth="1"/>
    <col min="7421" max="7421" width="10.6640625" style="505" customWidth="1"/>
    <col min="7422" max="7422" width="9.109375" style="505" customWidth="1"/>
    <col min="7423" max="7423" width="10.109375" style="505" customWidth="1"/>
    <col min="7424" max="7424" width="11.109375" style="505" customWidth="1"/>
    <col min="7425" max="7544" width="9.109375" style="505" customWidth="1"/>
    <col min="7545" max="7545" width="2.5546875" style="505" customWidth="1"/>
    <col min="7546" max="7546" width="9.109375" style="505" customWidth="1"/>
    <col min="7547" max="7547" width="47.88671875" style="505" customWidth="1"/>
    <col min="7548" max="7548" width="6.6640625" style="505" customWidth="1"/>
    <col min="7549" max="7549" width="7.44140625" style="505" customWidth="1"/>
    <col min="7550" max="7550" width="7" style="505"/>
    <col min="7551" max="7551" width="8.5546875" style="505" customWidth="1"/>
    <col min="7552" max="7552" width="12" style="505" customWidth="1"/>
    <col min="7553" max="7553" width="4.6640625" style="505" customWidth="1"/>
    <col min="7554" max="7554" width="9.109375" style="505" customWidth="1"/>
    <col min="7555" max="7555" width="11.6640625" style="505" customWidth="1"/>
    <col min="7556" max="7667" width="7" style="505"/>
    <col min="7668" max="7668" width="3.88671875" style="505" customWidth="1"/>
    <col min="7669" max="7669" width="14" style="505" customWidth="1"/>
    <col min="7670" max="7670" width="66.5546875" style="505" customWidth="1"/>
    <col min="7671" max="7671" width="9.44140625" style="505" customWidth="1"/>
    <col min="7672" max="7672" width="9.109375" style="505" customWidth="1"/>
    <col min="7673" max="7673" width="11.109375" style="505" bestFit="1" customWidth="1"/>
    <col min="7674" max="7674" width="9.109375" style="505" customWidth="1"/>
    <col min="7675" max="7675" width="10.44140625" style="505" customWidth="1"/>
    <col min="7676" max="7676" width="9.109375" style="505" customWidth="1"/>
    <col min="7677" max="7677" width="10.6640625" style="505" customWidth="1"/>
    <col min="7678" max="7678" width="9.109375" style="505" customWidth="1"/>
    <col min="7679" max="7679" width="10.109375" style="505" customWidth="1"/>
    <col min="7680" max="7680" width="11.109375" style="505" customWidth="1"/>
    <col min="7681" max="7800" width="9.109375" style="505" customWidth="1"/>
    <col min="7801" max="7801" width="2.5546875" style="505" customWidth="1"/>
    <col min="7802" max="7802" width="9.109375" style="505" customWidth="1"/>
    <col min="7803" max="7803" width="47.88671875" style="505" customWidth="1"/>
    <col min="7804" max="7804" width="6.6640625" style="505" customWidth="1"/>
    <col min="7805" max="7805" width="7.44140625" style="505" customWidth="1"/>
    <col min="7806" max="7806" width="7" style="505"/>
    <col min="7807" max="7807" width="8.5546875" style="505" customWidth="1"/>
    <col min="7808" max="7808" width="12" style="505" customWidth="1"/>
    <col min="7809" max="7809" width="4.6640625" style="505" customWidth="1"/>
    <col min="7810" max="7810" width="9.109375" style="505" customWidth="1"/>
    <col min="7811" max="7811" width="11.6640625" style="505" customWidth="1"/>
    <col min="7812" max="7923" width="7" style="505"/>
    <col min="7924" max="7924" width="3.88671875" style="505" customWidth="1"/>
    <col min="7925" max="7925" width="14" style="505" customWidth="1"/>
    <col min="7926" max="7926" width="66.5546875" style="505" customWidth="1"/>
    <col min="7927" max="7927" width="9.44140625" style="505" customWidth="1"/>
    <col min="7928" max="7928" width="9.109375" style="505" customWidth="1"/>
    <col min="7929" max="7929" width="11.109375" style="505" bestFit="1" customWidth="1"/>
    <col min="7930" max="7930" width="9.109375" style="505" customWidth="1"/>
    <col min="7931" max="7931" width="10.44140625" style="505" customWidth="1"/>
    <col min="7932" max="7932" width="9.109375" style="505" customWidth="1"/>
    <col min="7933" max="7933" width="10.6640625" style="505" customWidth="1"/>
    <col min="7934" max="7934" width="9.109375" style="505" customWidth="1"/>
    <col min="7935" max="7935" width="10.109375" style="505" customWidth="1"/>
    <col min="7936" max="7936" width="11.109375" style="505" customWidth="1"/>
    <col min="7937" max="8056" width="9.109375" style="505" customWidth="1"/>
    <col min="8057" max="8057" width="2.5546875" style="505" customWidth="1"/>
    <col min="8058" max="8058" width="9.109375" style="505" customWidth="1"/>
    <col min="8059" max="8059" width="47.88671875" style="505" customWidth="1"/>
    <col min="8060" max="8060" width="6.6640625" style="505" customWidth="1"/>
    <col min="8061" max="8061" width="7.44140625" style="505" customWidth="1"/>
    <col min="8062" max="8062" width="7" style="505"/>
    <col min="8063" max="8063" width="8.5546875" style="505" customWidth="1"/>
    <col min="8064" max="8064" width="12" style="505" customWidth="1"/>
    <col min="8065" max="8065" width="4.6640625" style="505" customWidth="1"/>
    <col min="8066" max="8066" width="9.109375" style="505" customWidth="1"/>
    <col min="8067" max="8067" width="11.6640625" style="505" customWidth="1"/>
    <col min="8068" max="8179" width="7" style="505"/>
    <col min="8180" max="8180" width="3.88671875" style="505" customWidth="1"/>
    <col min="8181" max="8181" width="14" style="505" customWidth="1"/>
    <col min="8182" max="8182" width="66.5546875" style="505" customWidth="1"/>
    <col min="8183" max="8183" width="9.44140625" style="505" customWidth="1"/>
    <col min="8184" max="8184" width="9.109375" style="505" customWidth="1"/>
    <col min="8185" max="8185" width="11.109375" style="505" bestFit="1" customWidth="1"/>
    <col min="8186" max="8186" width="9.109375" style="505" customWidth="1"/>
    <col min="8187" max="8187" width="10.44140625" style="505" customWidth="1"/>
    <col min="8188" max="8188" width="9.109375" style="505" customWidth="1"/>
    <col min="8189" max="8189" width="10.6640625" style="505" customWidth="1"/>
    <col min="8190" max="8190" width="9.109375" style="505" customWidth="1"/>
    <col min="8191" max="8191" width="10.109375" style="505" customWidth="1"/>
    <col min="8192" max="8192" width="11.109375" style="505" customWidth="1"/>
    <col min="8193" max="8312" width="9.109375" style="505" customWidth="1"/>
    <col min="8313" max="8313" width="2.5546875" style="505" customWidth="1"/>
    <col min="8314" max="8314" width="9.109375" style="505" customWidth="1"/>
    <col min="8315" max="8315" width="47.88671875" style="505" customWidth="1"/>
    <col min="8316" max="8316" width="6.6640625" style="505" customWidth="1"/>
    <col min="8317" max="8317" width="7.44140625" style="505" customWidth="1"/>
    <col min="8318" max="8318" width="7" style="505"/>
    <col min="8319" max="8319" width="8.5546875" style="505" customWidth="1"/>
    <col min="8320" max="8320" width="12" style="505" customWidth="1"/>
    <col min="8321" max="8321" width="4.6640625" style="505" customWidth="1"/>
    <col min="8322" max="8322" width="9.109375" style="505" customWidth="1"/>
    <col min="8323" max="8323" width="11.6640625" style="505" customWidth="1"/>
    <col min="8324" max="8435" width="7" style="505"/>
    <col min="8436" max="8436" width="3.88671875" style="505" customWidth="1"/>
    <col min="8437" max="8437" width="14" style="505" customWidth="1"/>
    <col min="8438" max="8438" width="66.5546875" style="505" customWidth="1"/>
    <col min="8439" max="8439" width="9.44140625" style="505" customWidth="1"/>
    <col min="8440" max="8440" width="9.109375" style="505" customWidth="1"/>
    <col min="8441" max="8441" width="11.109375" style="505" bestFit="1" customWidth="1"/>
    <col min="8442" max="8442" width="9.109375" style="505" customWidth="1"/>
    <col min="8443" max="8443" width="10.44140625" style="505" customWidth="1"/>
    <col min="8444" max="8444" width="9.109375" style="505" customWidth="1"/>
    <col min="8445" max="8445" width="10.6640625" style="505" customWidth="1"/>
    <col min="8446" max="8446" width="9.109375" style="505" customWidth="1"/>
    <col min="8447" max="8447" width="10.109375" style="505" customWidth="1"/>
    <col min="8448" max="8448" width="11.109375" style="505" customWidth="1"/>
    <col min="8449" max="8568" width="9.109375" style="505" customWidth="1"/>
    <col min="8569" max="8569" width="2.5546875" style="505" customWidth="1"/>
    <col min="8570" max="8570" width="9.109375" style="505" customWidth="1"/>
    <col min="8571" max="8571" width="47.88671875" style="505" customWidth="1"/>
    <col min="8572" max="8572" width="6.6640625" style="505" customWidth="1"/>
    <col min="8573" max="8573" width="7.44140625" style="505" customWidth="1"/>
    <col min="8574" max="8574" width="7" style="505"/>
    <col min="8575" max="8575" width="8.5546875" style="505" customWidth="1"/>
    <col min="8576" max="8576" width="12" style="505" customWidth="1"/>
    <col min="8577" max="8577" width="4.6640625" style="505" customWidth="1"/>
    <col min="8578" max="8578" width="9.109375" style="505" customWidth="1"/>
    <col min="8579" max="8579" width="11.6640625" style="505" customWidth="1"/>
    <col min="8580" max="8691" width="7" style="505"/>
    <col min="8692" max="8692" width="3.88671875" style="505" customWidth="1"/>
    <col min="8693" max="8693" width="14" style="505" customWidth="1"/>
    <col min="8694" max="8694" width="66.5546875" style="505" customWidth="1"/>
    <col min="8695" max="8695" width="9.44140625" style="505" customWidth="1"/>
    <col min="8696" max="8696" width="9.109375" style="505" customWidth="1"/>
    <col min="8697" max="8697" width="11.109375" style="505" bestFit="1" customWidth="1"/>
    <col min="8698" max="8698" width="9.109375" style="505" customWidth="1"/>
    <col min="8699" max="8699" width="10.44140625" style="505" customWidth="1"/>
    <col min="8700" max="8700" width="9.109375" style="505" customWidth="1"/>
    <col min="8701" max="8701" width="10.6640625" style="505" customWidth="1"/>
    <col min="8702" max="8702" width="9.109375" style="505" customWidth="1"/>
    <col min="8703" max="8703" width="10.109375" style="505" customWidth="1"/>
    <col min="8704" max="8704" width="11.109375" style="505" customWidth="1"/>
    <col min="8705" max="8824" width="9.109375" style="505" customWidth="1"/>
    <col min="8825" max="8825" width="2.5546875" style="505" customWidth="1"/>
    <col min="8826" max="8826" width="9.109375" style="505" customWidth="1"/>
    <col min="8827" max="8827" width="47.88671875" style="505" customWidth="1"/>
    <col min="8828" max="8828" width="6.6640625" style="505" customWidth="1"/>
    <col min="8829" max="8829" width="7.44140625" style="505" customWidth="1"/>
    <col min="8830" max="8830" width="7" style="505"/>
    <col min="8831" max="8831" width="8.5546875" style="505" customWidth="1"/>
    <col min="8832" max="8832" width="12" style="505" customWidth="1"/>
    <col min="8833" max="8833" width="4.6640625" style="505" customWidth="1"/>
    <col min="8834" max="8834" width="9.109375" style="505" customWidth="1"/>
    <col min="8835" max="8835" width="11.6640625" style="505" customWidth="1"/>
    <col min="8836" max="8947" width="7" style="505"/>
    <col min="8948" max="8948" width="3.88671875" style="505" customWidth="1"/>
    <col min="8949" max="8949" width="14" style="505" customWidth="1"/>
    <col min="8950" max="8950" width="66.5546875" style="505" customWidth="1"/>
    <col min="8951" max="8951" width="9.44140625" style="505" customWidth="1"/>
    <col min="8952" max="8952" width="9.109375" style="505" customWidth="1"/>
    <col min="8953" max="8953" width="11.109375" style="505" bestFit="1" customWidth="1"/>
    <col min="8954" max="8954" width="9.109375" style="505" customWidth="1"/>
    <col min="8955" max="8955" width="10.44140625" style="505" customWidth="1"/>
    <col min="8956" max="8956" width="9.109375" style="505" customWidth="1"/>
    <col min="8957" max="8957" width="10.6640625" style="505" customWidth="1"/>
    <col min="8958" max="8958" width="9.109375" style="505" customWidth="1"/>
    <col min="8959" max="8959" width="10.109375" style="505" customWidth="1"/>
    <col min="8960" max="8960" width="11.109375" style="505" customWidth="1"/>
    <col min="8961" max="9080" width="9.109375" style="505" customWidth="1"/>
    <col min="9081" max="9081" width="2.5546875" style="505" customWidth="1"/>
    <col min="9082" max="9082" width="9.109375" style="505" customWidth="1"/>
    <col min="9083" max="9083" width="47.88671875" style="505" customWidth="1"/>
    <col min="9084" max="9084" width="6.6640625" style="505" customWidth="1"/>
    <col min="9085" max="9085" width="7.44140625" style="505" customWidth="1"/>
    <col min="9086" max="9086" width="7" style="505"/>
    <col min="9087" max="9087" width="8.5546875" style="505" customWidth="1"/>
    <col min="9088" max="9088" width="12" style="505" customWidth="1"/>
    <col min="9089" max="9089" width="4.6640625" style="505" customWidth="1"/>
    <col min="9090" max="9090" width="9.109375" style="505" customWidth="1"/>
    <col min="9091" max="9091" width="11.6640625" style="505" customWidth="1"/>
    <col min="9092" max="9203" width="7" style="505"/>
    <col min="9204" max="9204" width="3.88671875" style="505" customWidth="1"/>
    <col min="9205" max="9205" width="14" style="505" customWidth="1"/>
    <col min="9206" max="9206" width="66.5546875" style="505" customWidth="1"/>
    <col min="9207" max="9207" width="9.44140625" style="505" customWidth="1"/>
    <col min="9208" max="9208" width="9.109375" style="505" customWidth="1"/>
    <col min="9209" max="9209" width="11.109375" style="505" bestFit="1" customWidth="1"/>
    <col min="9210" max="9210" width="9.109375" style="505" customWidth="1"/>
    <col min="9211" max="9211" width="10.44140625" style="505" customWidth="1"/>
    <col min="9212" max="9212" width="9.109375" style="505" customWidth="1"/>
    <col min="9213" max="9213" width="10.6640625" style="505" customWidth="1"/>
    <col min="9214" max="9214" width="9.109375" style="505" customWidth="1"/>
    <col min="9215" max="9215" width="10.109375" style="505" customWidth="1"/>
    <col min="9216" max="9216" width="11.109375" style="505" customWidth="1"/>
    <col min="9217" max="9336" width="9.109375" style="505" customWidth="1"/>
    <col min="9337" max="9337" width="2.5546875" style="505" customWidth="1"/>
    <col min="9338" max="9338" width="9.109375" style="505" customWidth="1"/>
    <col min="9339" max="9339" width="47.88671875" style="505" customWidth="1"/>
    <col min="9340" max="9340" width="6.6640625" style="505" customWidth="1"/>
    <col min="9341" max="9341" width="7.44140625" style="505" customWidth="1"/>
    <col min="9342" max="9342" width="7" style="505"/>
    <col min="9343" max="9343" width="8.5546875" style="505" customWidth="1"/>
    <col min="9344" max="9344" width="12" style="505" customWidth="1"/>
    <col min="9345" max="9345" width="4.6640625" style="505" customWidth="1"/>
    <col min="9346" max="9346" width="9.109375" style="505" customWidth="1"/>
    <col min="9347" max="9347" width="11.6640625" style="505" customWidth="1"/>
    <col min="9348" max="9459" width="7" style="505"/>
    <col min="9460" max="9460" width="3.88671875" style="505" customWidth="1"/>
    <col min="9461" max="9461" width="14" style="505" customWidth="1"/>
    <col min="9462" max="9462" width="66.5546875" style="505" customWidth="1"/>
    <col min="9463" max="9463" width="9.44140625" style="505" customWidth="1"/>
    <col min="9464" max="9464" width="9.109375" style="505" customWidth="1"/>
    <col min="9465" max="9465" width="11.109375" style="505" bestFit="1" customWidth="1"/>
    <col min="9466" max="9466" width="9.109375" style="505" customWidth="1"/>
    <col min="9467" max="9467" width="10.44140625" style="505" customWidth="1"/>
    <col min="9468" max="9468" width="9.109375" style="505" customWidth="1"/>
    <col min="9469" max="9469" width="10.6640625" style="505" customWidth="1"/>
    <col min="9470" max="9470" width="9.109375" style="505" customWidth="1"/>
    <col min="9471" max="9471" width="10.109375" style="505" customWidth="1"/>
    <col min="9472" max="9472" width="11.109375" style="505" customWidth="1"/>
    <col min="9473" max="9592" width="9.109375" style="505" customWidth="1"/>
    <col min="9593" max="9593" width="2.5546875" style="505" customWidth="1"/>
    <col min="9594" max="9594" width="9.109375" style="505" customWidth="1"/>
    <col min="9595" max="9595" width="47.88671875" style="505" customWidth="1"/>
    <col min="9596" max="9596" width="6.6640625" style="505" customWidth="1"/>
    <col min="9597" max="9597" width="7.44140625" style="505" customWidth="1"/>
    <col min="9598" max="9598" width="7" style="505"/>
    <col min="9599" max="9599" width="8.5546875" style="505" customWidth="1"/>
    <col min="9600" max="9600" width="12" style="505" customWidth="1"/>
    <col min="9601" max="9601" width="4.6640625" style="505" customWidth="1"/>
    <col min="9602" max="9602" width="9.109375" style="505" customWidth="1"/>
    <col min="9603" max="9603" width="11.6640625" style="505" customWidth="1"/>
    <col min="9604" max="9715" width="7" style="505"/>
    <col min="9716" max="9716" width="3.88671875" style="505" customWidth="1"/>
    <col min="9717" max="9717" width="14" style="505" customWidth="1"/>
    <col min="9718" max="9718" width="66.5546875" style="505" customWidth="1"/>
    <col min="9719" max="9719" width="9.44140625" style="505" customWidth="1"/>
    <col min="9720" max="9720" width="9.109375" style="505" customWidth="1"/>
    <col min="9721" max="9721" width="11.109375" style="505" bestFit="1" customWidth="1"/>
    <col min="9722" max="9722" width="9.109375" style="505" customWidth="1"/>
    <col min="9723" max="9723" width="10.44140625" style="505" customWidth="1"/>
    <col min="9724" max="9724" width="9.109375" style="505" customWidth="1"/>
    <col min="9725" max="9725" width="10.6640625" style="505" customWidth="1"/>
    <col min="9726" max="9726" width="9.109375" style="505" customWidth="1"/>
    <col min="9727" max="9727" width="10.109375" style="505" customWidth="1"/>
    <col min="9728" max="9728" width="11.109375" style="505" customWidth="1"/>
    <col min="9729" max="9848" width="9.109375" style="505" customWidth="1"/>
    <col min="9849" max="9849" width="2.5546875" style="505" customWidth="1"/>
    <col min="9850" max="9850" width="9.109375" style="505" customWidth="1"/>
    <col min="9851" max="9851" width="47.88671875" style="505" customWidth="1"/>
    <col min="9852" max="9852" width="6.6640625" style="505" customWidth="1"/>
    <col min="9853" max="9853" width="7.44140625" style="505" customWidth="1"/>
    <col min="9854" max="9854" width="7" style="505"/>
    <col min="9855" max="9855" width="8.5546875" style="505" customWidth="1"/>
    <col min="9856" max="9856" width="12" style="505" customWidth="1"/>
    <col min="9857" max="9857" width="4.6640625" style="505" customWidth="1"/>
    <col min="9858" max="9858" width="9.109375" style="505" customWidth="1"/>
    <col min="9859" max="9859" width="11.6640625" style="505" customWidth="1"/>
    <col min="9860" max="9971" width="7" style="505"/>
    <col min="9972" max="9972" width="3.88671875" style="505" customWidth="1"/>
    <col min="9973" max="9973" width="14" style="505" customWidth="1"/>
    <col min="9974" max="9974" width="66.5546875" style="505" customWidth="1"/>
    <col min="9975" max="9975" width="9.44140625" style="505" customWidth="1"/>
    <col min="9976" max="9976" width="9.109375" style="505" customWidth="1"/>
    <col min="9977" max="9977" width="11.109375" style="505" bestFit="1" customWidth="1"/>
    <col min="9978" max="9978" width="9.109375" style="505" customWidth="1"/>
    <col min="9979" max="9979" width="10.44140625" style="505" customWidth="1"/>
    <col min="9980" max="9980" width="9.109375" style="505" customWidth="1"/>
    <col min="9981" max="9981" width="10.6640625" style="505" customWidth="1"/>
    <col min="9982" max="9982" width="9.109375" style="505" customWidth="1"/>
    <col min="9983" max="9983" width="10.109375" style="505" customWidth="1"/>
    <col min="9984" max="9984" width="11.109375" style="505" customWidth="1"/>
    <col min="9985" max="10104" width="9.109375" style="505" customWidth="1"/>
    <col min="10105" max="10105" width="2.5546875" style="505" customWidth="1"/>
    <col min="10106" max="10106" width="9.109375" style="505" customWidth="1"/>
    <col min="10107" max="10107" width="47.88671875" style="505" customWidth="1"/>
    <col min="10108" max="10108" width="6.6640625" style="505" customWidth="1"/>
    <col min="10109" max="10109" width="7.44140625" style="505" customWidth="1"/>
    <col min="10110" max="10110" width="7" style="505"/>
    <col min="10111" max="10111" width="8.5546875" style="505" customWidth="1"/>
    <col min="10112" max="10112" width="12" style="505" customWidth="1"/>
    <col min="10113" max="10113" width="4.6640625" style="505" customWidth="1"/>
    <col min="10114" max="10114" width="9.109375" style="505" customWidth="1"/>
    <col min="10115" max="10115" width="11.6640625" style="505" customWidth="1"/>
    <col min="10116" max="10227" width="7" style="505"/>
    <col min="10228" max="10228" width="3.88671875" style="505" customWidth="1"/>
    <col min="10229" max="10229" width="14" style="505" customWidth="1"/>
    <col min="10230" max="10230" width="66.5546875" style="505" customWidth="1"/>
    <col min="10231" max="10231" width="9.44140625" style="505" customWidth="1"/>
    <col min="10232" max="10232" width="9.109375" style="505" customWidth="1"/>
    <col min="10233" max="10233" width="11.109375" style="505" bestFit="1" customWidth="1"/>
    <col min="10234" max="10234" width="9.109375" style="505" customWidth="1"/>
    <col min="10235" max="10235" width="10.44140625" style="505" customWidth="1"/>
    <col min="10236" max="10236" width="9.109375" style="505" customWidth="1"/>
    <col min="10237" max="10237" width="10.6640625" style="505" customWidth="1"/>
    <col min="10238" max="10238" width="9.109375" style="505" customWidth="1"/>
    <col min="10239" max="10239" width="10.109375" style="505" customWidth="1"/>
    <col min="10240" max="10240" width="11.109375" style="505" customWidth="1"/>
    <col min="10241" max="10360" width="9.109375" style="505" customWidth="1"/>
    <col min="10361" max="10361" width="2.5546875" style="505" customWidth="1"/>
    <col min="10362" max="10362" width="9.109375" style="505" customWidth="1"/>
    <col min="10363" max="10363" width="47.88671875" style="505" customWidth="1"/>
    <col min="10364" max="10364" width="6.6640625" style="505" customWidth="1"/>
    <col min="10365" max="10365" width="7.44140625" style="505" customWidth="1"/>
    <col min="10366" max="10366" width="7" style="505"/>
    <col min="10367" max="10367" width="8.5546875" style="505" customWidth="1"/>
    <col min="10368" max="10368" width="12" style="505" customWidth="1"/>
    <col min="10369" max="10369" width="4.6640625" style="505" customWidth="1"/>
    <col min="10370" max="10370" width="9.109375" style="505" customWidth="1"/>
    <col min="10371" max="10371" width="11.6640625" style="505" customWidth="1"/>
    <col min="10372" max="10483" width="7" style="505"/>
    <col min="10484" max="10484" width="3.88671875" style="505" customWidth="1"/>
    <col min="10485" max="10485" width="14" style="505" customWidth="1"/>
    <col min="10486" max="10486" width="66.5546875" style="505" customWidth="1"/>
    <col min="10487" max="10487" width="9.44140625" style="505" customWidth="1"/>
    <col min="10488" max="10488" width="9.109375" style="505" customWidth="1"/>
    <col min="10489" max="10489" width="11.109375" style="505" bestFit="1" customWidth="1"/>
    <col min="10490" max="10490" width="9.109375" style="505" customWidth="1"/>
    <col min="10491" max="10491" width="10.44140625" style="505" customWidth="1"/>
    <col min="10492" max="10492" width="9.109375" style="505" customWidth="1"/>
    <col min="10493" max="10493" width="10.6640625" style="505" customWidth="1"/>
    <col min="10494" max="10494" width="9.109375" style="505" customWidth="1"/>
    <col min="10495" max="10495" width="10.109375" style="505" customWidth="1"/>
    <col min="10496" max="10496" width="11.109375" style="505" customWidth="1"/>
    <col min="10497" max="10616" width="9.109375" style="505" customWidth="1"/>
    <col min="10617" max="10617" width="2.5546875" style="505" customWidth="1"/>
    <col min="10618" max="10618" width="9.109375" style="505" customWidth="1"/>
    <col min="10619" max="10619" width="47.88671875" style="505" customWidth="1"/>
    <col min="10620" max="10620" width="6.6640625" style="505" customWidth="1"/>
    <col min="10621" max="10621" width="7.44140625" style="505" customWidth="1"/>
    <col min="10622" max="10622" width="7" style="505"/>
    <col min="10623" max="10623" width="8.5546875" style="505" customWidth="1"/>
    <col min="10624" max="10624" width="12" style="505" customWidth="1"/>
    <col min="10625" max="10625" width="4.6640625" style="505" customWidth="1"/>
    <col min="10626" max="10626" width="9.109375" style="505" customWidth="1"/>
    <col min="10627" max="10627" width="11.6640625" style="505" customWidth="1"/>
    <col min="10628" max="10739" width="7" style="505"/>
    <col min="10740" max="10740" width="3.88671875" style="505" customWidth="1"/>
    <col min="10741" max="10741" width="14" style="505" customWidth="1"/>
    <col min="10742" max="10742" width="66.5546875" style="505" customWidth="1"/>
    <col min="10743" max="10743" width="9.44140625" style="505" customWidth="1"/>
    <col min="10744" max="10744" width="9.109375" style="505" customWidth="1"/>
    <col min="10745" max="10745" width="11.109375" style="505" bestFit="1" customWidth="1"/>
    <col min="10746" max="10746" width="9.109375" style="505" customWidth="1"/>
    <col min="10747" max="10747" width="10.44140625" style="505" customWidth="1"/>
    <col min="10748" max="10748" width="9.109375" style="505" customWidth="1"/>
    <col min="10749" max="10749" width="10.6640625" style="505" customWidth="1"/>
    <col min="10750" max="10750" width="9.109375" style="505" customWidth="1"/>
    <col min="10751" max="10751" width="10.109375" style="505" customWidth="1"/>
    <col min="10752" max="10752" width="11.109375" style="505" customWidth="1"/>
    <col min="10753" max="10872" width="9.109375" style="505" customWidth="1"/>
    <col min="10873" max="10873" width="2.5546875" style="505" customWidth="1"/>
    <col min="10874" max="10874" width="9.109375" style="505" customWidth="1"/>
    <col min="10875" max="10875" width="47.88671875" style="505" customWidth="1"/>
    <col min="10876" max="10876" width="6.6640625" style="505" customWidth="1"/>
    <col min="10877" max="10877" width="7.44140625" style="505" customWidth="1"/>
    <col min="10878" max="10878" width="7" style="505"/>
    <col min="10879" max="10879" width="8.5546875" style="505" customWidth="1"/>
    <col min="10880" max="10880" width="12" style="505" customWidth="1"/>
    <col min="10881" max="10881" width="4.6640625" style="505" customWidth="1"/>
    <col min="10882" max="10882" width="9.109375" style="505" customWidth="1"/>
    <col min="10883" max="10883" width="11.6640625" style="505" customWidth="1"/>
    <col min="10884" max="10995" width="7" style="505"/>
    <col min="10996" max="10996" width="3.88671875" style="505" customWidth="1"/>
    <col min="10997" max="10997" width="14" style="505" customWidth="1"/>
    <col min="10998" max="10998" width="66.5546875" style="505" customWidth="1"/>
    <col min="10999" max="10999" width="9.44140625" style="505" customWidth="1"/>
    <col min="11000" max="11000" width="9.109375" style="505" customWidth="1"/>
    <col min="11001" max="11001" width="11.109375" style="505" bestFit="1" customWidth="1"/>
    <col min="11002" max="11002" width="9.109375" style="505" customWidth="1"/>
    <col min="11003" max="11003" width="10.44140625" style="505" customWidth="1"/>
    <col min="11004" max="11004" width="9.109375" style="505" customWidth="1"/>
    <col min="11005" max="11005" width="10.6640625" style="505" customWidth="1"/>
    <col min="11006" max="11006" width="9.109375" style="505" customWidth="1"/>
    <col min="11007" max="11007" width="10.109375" style="505" customWidth="1"/>
    <col min="11008" max="11008" width="11.109375" style="505" customWidth="1"/>
    <col min="11009" max="11128" width="9.109375" style="505" customWidth="1"/>
    <col min="11129" max="11129" width="2.5546875" style="505" customWidth="1"/>
    <col min="11130" max="11130" width="9.109375" style="505" customWidth="1"/>
    <col min="11131" max="11131" width="47.88671875" style="505" customWidth="1"/>
    <col min="11132" max="11132" width="6.6640625" style="505" customWidth="1"/>
    <col min="11133" max="11133" width="7.44140625" style="505" customWidth="1"/>
    <col min="11134" max="11134" width="7" style="505"/>
    <col min="11135" max="11135" width="8.5546875" style="505" customWidth="1"/>
    <col min="11136" max="11136" width="12" style="505" customWidth="1"/>
    <col min="11137" max="11137" width="4.6640625" style="505" customWidth="1"/>
    <col min="11138" max="11138" width="9.109375" style="505" customWidth="1"/>
    <col min="11139" max="11139" width="11.6640625" style="505" customWidth="1"/>
    <col min="11140" max="11251" width="7" style="505"/>
    <col min="11252" max="11252" width="3.88671875" style="505" customWidth="1"/>
    <col min="11253" max="11253" width="14" style="505" customWidth="1"/>
    <col min="11254" max="11254" width="66.5546875" style="505" customWidth="1"/>
    <col min="11255" max="11255" width="9.44140625" style="505" customWidth="1"/>
    <col min="11256" max="11256" width="9.109375" style="505" customWidth="1"/>
    <col min="11257" max="11257" width="11.109375" style="505" bestFit="1" customWidth="1"/>
    <col min="11258" max="11258" width="9.109375" style="505" customWidth="1"/>
    <col min="11259" max="11259" width="10.44140625" style="505" customWidth="1"/>
    <col min="11260" max="11260" width="9.109375" style="505" customWidth="1"/>
    <col min="11261" max="11261" width="10.6640625" style="505" customWidth="1"/>
    <col min="11262" max="11262" width="9.109375" style="505" customWidth="1"/>
    <col min="11263" max="11263" width="10.109375" style="505" customWidth="1"/>
    <col min="11264" max="11264" width="11.109375" style="505" customWidth="1"/>
    <col min="11265" max="11384" width="9.109375" style="505" customWidth="1"/>
    <col min="11385" max="11385" width="2.5546875" style="505" customWidth="1"/>
    <col min="11386" max="11386" width="9.109375" style="505" customWidth="1"/>
    <col min="11387" max="11387" width="47.88671875" style="505" customWidth="1"/>
    <col min="11388" max="11388" width="6.6640625" style="505" customWidth="1"/>
    <col min="11389" max="11389" width="7.44140625" style="505" customWidth="1"/>
    <col min="11390" max="11390" width="7" style="505"/>
    <col min="11391" max="11391" width="8.5546875" style="505" customWidth="1"/>
    <col min="11392" max="11392" width="12" style="505" customWidth="1"/>
    <col min="11393" max="11393" width="4.6640625" style="505" customWidth="1"/>
    <col min="11394" max="11394" width="9.109375" style="505" customWidth="1"/>
    <col min="11395" max="11395" width="11.6640625" style="505" customWidth="1"/>
    <col min="11396" max="11507" width="7" style="505"/>
    <col min="11508" max="11508" width="3.88671875" style="505" customWidth="1"/>
    <col min="11509" max="11509" width="14" style="505" customWidth="1"/>
    <col min="11510" max="11510" width="66.5546875" style="505" customWidth="1"/>
    <col min="11511" max="11511" width="9.44140625" style="505" customWidth="1"/>
    <col min="11512" max="11512" width="9.109375" style="505" customWidth="1"/>
    <col min="11513" max="11513" width="11.109375" style="505" bestFit="1" customWidth="1"/>
    <col min="11514" max="11514" width="9.109375" style="505" customWidth="1"/>
    <col min="11515" max="11515" width="10.44140625" style="505" customWidth="1"/>
    <col min="11516" max="11516" width="9.109375" style="505" customWidth="1"/>
    <col min="11517" max="11517" width="10.6640625" style="505" customWidth="1"/>
    <col min="11518" max="11518" width="9.109375" style="505" customWidth="1"/>
    <col min="11519" max="11519" width="10.109375" style="505" customWidth="1"/>
    <col min="11520" max="11520" width="11.109375" style="505" customWidth="1"/>
    <col min="11521" max="11640" width="9.109375" style="505" customWidth="1"/>
    <col min="11641" max="11641" width="2.5546875" style="505" customWidth="1"/>
    <col min="11642" max="11642" width="9.109375" style="505" customWidth="1"/>
    <col min="11643" max="11643" width="47.88671875" style="505" customWidth="1"/>
    <col min="11644" max="11644" width="6.6640625" style="505" customWidth="1"/>
    <col min="11645" max="11645" width="7.44140625" style="505" customWidth="1"/>
    <col min="11646" max="11646" width="7" style="505"/>
    <col min="11647" max="11647" width="8.5546875" style="505" customWidth="1"/>
    <col min="11648" max="11648" width="12" style="505" customWidth="1"/>
    <col min="11649" max="11649" width="4.6640625" style="505" customWidth="1"/>
    <col min="11650" max="11650" width="9.109375" style="505" customWidth="1"/>
    <col min="11651" max="11651" width="11.6640625" style="505" customWidth="1"/>
    <col min="11652" max="11763" width="7" style="505"/>
    <col min="11764" max="11764" width="3.88671875" style="505" customWidth="1"/>
    <col min="11765" max="11765" width="14" style="505" customWidth="1"/>
    <col min="11766" max="11766" width="66.5546875" style="505" customWidth="1"/>
    <col min="11767" max="11767" width="9.44140625" style="505" customWidth="1"/>
    <col min="11768" max="11768" width="9.109375" style="505" customWidth="1"/>
    <col min="11769" max="11769" width="11.109375" style="505" bestFit="1" customWidth="1"/>
    <col min="11770" max="11770" width="9.109375" style="505" customWidth="1"/>
    <col min="11771" max="11771" width="10.44140625" style="505" customWidth="1"/>
    <col min="11772" max="11772" width="9.109375" style="505" customWidth="1"/>
    <col min="11773" max="11773" width="10.6640625" style="505" customWidth="1"/>
    <col min="11774" max="11774" width="9.109375" style="505" customWidth="1"/>
    <col min="11775" max="11775" width="10.109375" style="505" customWidth="1"/>
    <col min="11776" max="11776" width="11.109375" style="505" customWidth="1"/>
    <col min="11777" max="11896" width="9.109375" style="505" customWidth="1"/>
    <col min="11897" max="11897" width="2.5546875" style="505" customWidth="1"/>
    <col min="11898" max="11898" width="9.109375" style="505" customWidth="1"/>
    <col min="11899" max="11899" width="47.88671875" style="505" customWidth="1"/>
    <col min="11900" max="11900" width="6.6640625" style="505" customWidth="1"/>
    <col min="11901" max="11901" width="7.44140625" style="505" customWidth="1"/>
    <col min="11902" max="11902" width="7" style="505"/>
    <col min="11903" max="11903" width="8.5546875" style="505" customWidth="1"/>
    <col min="11904" max="11904" width="12" style="505" customWidth="1"/>
    <col min="11905" max="11905" width="4.6640625" style="505" customWidth="1"/>
    <col min="11906" max="11906" width="9.109375" style="505" customWidth="1"/>
    <col min="11907" max="11907" width="11.6640625" style="505" customWidth="1"/>
    <col min="11908" max="12019" width="7" style="505"/>
    <col min="12020" max="12020" width="3.88671875" style="505" customWidth="1"/>
    <col min="12021" max="12021" width="14" style="505" customWidth="1"/>
    <col min="12022" max="12022" width="66.5546875" style="505" customWidth="1"/>
    <col min="12023" max="12023" width="9.44140625" style="505" customWidth="1"/>
    <col min="12024" max="12024" width="9.109375" style="505" customWidth="1"/>
    <col min="12025" max="12025" width="11.109375" style="505" bestFit="1" customWidth="1"/>
    <col min="12026" max="12026" width="9.109375" style="505" customWidth="1"/>
    <col min="12027" max="12027" width="10.44140625" style="505" customWidth="1"/>
    <col min="12028" max="12028" width="9.109375" style="505" customWidth="1"/>
    <col min="12029" max="12029" width="10.6640625" style="505" customWidth="1"/>
    <col min="12030" max="12030" width="9.109375" style="505" customWidth="1"/>
    <col min="12031" max="12031" width="10.109375" style="505" customWidth="1"/>
    <col min="12032" max="12032" width="11.109375" style="505" customWidth="1"/>
    <col min="12033" max="12152" width="9.109375" style="505" customWidth="1"/>
    <col min="12153" max="12153" width="2.5546875" style="505" customWidth="1"/>
    <col min="12154" max="12154" width="9.109375" style="505" customWidth="1"/>
    <col min="12155" max="12155" width="47.88671875" style="505" customWidth="1"/>
    <col min="12156" max="12156" width="6.6640625" style="505" customWidth="1"/>
    <col min="12157" max="12157" width="7.44140625" style="505" customWidth="1"/>
    <col min="12158" max="12158" width="7" style="505"/>
    <col min="12159" max="12159" width="8.5546875" style="505" customWidth="1"/>
    <col min="12160" max="12160" width="12" style="505" customWidth="1"/>
    <col min="12161" max="12161" width="4.6640625" style="505" customWidth="1"/>
    <col min="12162" max="12162" width="9.109375" style="505" customWidth="1"/>
    <col min="12163" max="12163" width="11.6640625" style="505" customWidth="1"/>
    <col min="12164" max="12275" width="7" style="505"/>
    <col min="12276" max="12276" width="3.88671875" style="505" customWidth="1"/>
    <col min="12277" max="12277" width="14" style="505" customWidth="1"/>
    <col min="12278" max="12278" width="66.5546875" style="505" customWidth="1"/>
    <col min="12279" max="12279" width="9.44140625" style="505" customWidth="1"/>
    <col min="12280" max="12280" width="9.109375" style="505" customWidth="1"/>
    <col min="12281" max="12281" width="11.109375" style="505" bestFit="1" customWidth="1"/>
    <col min="12282" max="12282" width="9.109375" style="505" customWidth="1"/>
    <col min="12283" max="12283" width="10.44140625" style="505" customWidth="1"/>
    <col min="12284" max="12284" width="9.109375" style="505" customWidth="1"/>
    <col min="12285" max="12285" width="10.6640625" style="505" customWidth="1"/>
    <col min="12286" max="12286" width="9.109375" style="505" customWidth="1"/>
    <col min="12287" max="12287" width="10.109375" style="505" customWidth="1"/>
    <col min="12288" max="12288" width="11.109375" style="505" customWidth="1"/>
    <col min="12289" max="12408" width="9.109375" style="505" customWidth="1"/>
    <col min="12409" max="12409" width="2.5546875" style="505" customWidth="1"/>
    <col min="12410" max="12410" width="9.109375" style="505" customWidth="1"/>
    <col min="12411" max="12411" width="47.88671875" style="505" customWidth="1"/>
    <col min="12412" max="12412" width="6.6640625" style="505" customWidth="1"/>
    <col min="12413" max="12413" width="7.44140625" style="505" customWidth="1"/>
    <col min="12414" max="12414" width="7" style="505"/>
    <col min="12415" max="12415" width="8.5546875" style="505" customWidth="1"/>
    <col min="12416" max="12416" width="12" style="505" customWidth="1"/>
    <col min="12417" max="12417" width="4.6640625" style="505" customWidth="1"/>
    <col min="12418" max="12418" width="9.109375" style="505" customWidth="1"/>
    <col min="12419" max="12419" width="11.6640625" style="505" customWidth="1"/>
    <col min="12420" max="12531" width="7" style="505"/>
    <col min="12532" max="12532" width="3.88671875" style="505" customWidth="1"/>
    <col min="12533" max="12533" width="14" style="505" customWidth="1"/>
    <col min="12534" max="12534" width="66.5546875" style="505" customWidth="1"/>
    <col min="12535" max="12535" width="9.44140625" style="505" customWidth="1"/>
    <col min="12536" max="12536" width="9.109375" style="505" customWidth="1"/>
    <col min="12537" max="12537" width="11.109375" style="505" bestFit="1" customWidth="1"/>
    <col min="12538" max="12538" width="9.109375" style="505" customWidth="1"/>
    <col min="12539" max="12539" width="10.44140625" style="505" customWidth="1"/>
    <col min="12540" max="12540" width="9.109375" style="505" customWidth="1"/>
    <col min="12541" max="12541" width="10.6640625" style="505" customWidth="1"/>
    <col min="12542" max="12542" width="9.109375" style="505" customWidth="1"/>
    <col min="12543" max="12543" width="10.109375" style="505" customWidth="1"/>
    <col min="12544" max="12544" width="11.109375" style="505" customWidth="1"/>
    <col min="12545" max="12664" width="9.109375" style="505" customWidth="1"/>
    <col min="12665" max="12665" width="2.5546875" style="505" customWidth="1"/>
    <col min="12666" max="12666" width="9.109375" style="505" customWidth="1"/>
    <col min="12667" max="12667" width="47.88671875" style="505" customWidth="1"/>
    <col min="12668" max="12668" width="6.6640625" style="505" customWidth="1"/>
    <col min="12669" max="12669" width="7.44140625" style="505" customWidth="1"/>
    <col min="12670" max="12670" width="7" style="505"/>
    <col min="12671" max="12671" width="8.5546875" style="505" customWidth="1"/>
    <col min="12672" max="12672" width="12" style="505" customWidth="1"/>
    <col min="12673" max="12673" width="4.6640625" style="505" customWidth="1"/>
    <col min="12674" max="12674" width="9.109375" style="505" customWidth="1"/>
    <col min="12675" max="12675" width="11.6640625" style="505" customWidth="1"/>
    <col min="12676" max="12787" width="7" style="505"/>
    <col min="12788" max="12788" width="3.88671875" style="505" customWidth="1"/>
    <col min="12789" max="12789" width="14" style="505" customWidth="1"/>
    <col min="12790" max="12790" width="66.5546875" style="505" customWidth="1"/>
    <col min="12791" max="12791" width="9.44140625" style="505" customWidth="1"/>
    <col min="12792" max="12792" width="9.109375" style="505" customWidth="1"/>
    <col min="12793" max="12793" width="11.109375" style="505" bestFit="1" customWidth="1"/>
    <col min="12794" max="12794" width="9.109375" style="505" customWidth="1"/>
    <col min="12795" max="12795" width="10.44140625" style="505" customWidth="1"/>
    <col min="12796" max="12796" width="9.109375" style="505" customWidth="1"/>
    <col min="12797" max="12797" width="10.6640625" style="505" customWidth="1"/>
    <col min="12798" max="12798" width="9.109375" style="505" customWidth="1"/>
    <col min="12799" max="12799" width="10.109375" style="505" customWidth="1"/>
    <col min="12800" max="12800" width="11.109375" style="505" customWidth="1"/>
    <col min="12801" max="12920" width="9.109375" style="505" customWidth="1"/>
    <col min="12921" max="12921" width="2.5546875" style="505" customWidth="1"/>
    <col min="12922" max="12922" width="9.109375" style="505" customWidth="1"/>
    <col min="12923" max="12923" width="47.88671875" style="505" customWidth="1"/>
    <col min="12924" max="12924" width="6.6640625" style="505" customWidth="1"/>
    <col min="12925" max="12925" width="7.44140625" style="505" customWidth="1"/>
    <col min="12926" max="12926" width="7" style="505"/>
    <col min="12927" max="12927" width="8.5546875" style="505" customWidth="1"/>
    <col min="12928" max="12928" width="12" style="505" customWidth="1"/>
    <col min="12929" max="12929" width="4.6640625" style="505" customWidth="1"/>
    <col min="12930" max="12930" width="9.109375" style="505" customWidth="1"/>
    <col min="12931" max="12931" width="11.6640625" style="505" customWidth="1"/>
    <col min="12932" max="13043" width="7" style="505"/>
    <col min="13044" max="13044" width="3.88671875" style="505" customWidth="1"/>
    <col min="13045" max="13045" width="14" style="505" customWidth="1"/>
    <col min="13046" max="13046" width="66.5546875" style="505" customWidth="1"/>
    <col min="13047" max="13047" width="9.44140625" style="505" customWidth="1"/>
    <col min="13048" max="13048" width="9.109375" style="505" customWidth="1"/>
    <col min="13049" max="13049" width="11.109375" style="505" bestFit="1" customWidth="1"/>
    <col min="13050" max="13050" width="9.109375" style="505" customWidth="1"/>
    <col min="13051" max="13051" width="10.44140625" style="505" customWidth="1"/>
    <col min="13052" max="13052" width="9.109375" style="505" customWidth="1"/>
    <col min="13053" max="13053" width="10.6640625" style="505" customWidth="1"/>
    <col min="13054" max="13054" width="9.109375" style="505" customWidth="1"/>
    <col min="13055" max="13055" width="10.109375" style="505" customWidth="1"/>
    <col min="13056" max="13056" width="11.109375" style="505" customWidth="1"/>
    <col min="13057" max="13176" width="9.109375" style="505" customWidth="1"/>
    <col min="13177" max="13177" width="2.5546875" style="505" customWidth="1"/>
    <col min="13178" max="13178" width="9.109375" style="505" customWidth="1"/>
    <col min="13179" max="13179" width="47.88671875" style="505" customWidth="1"/>
    <col min="13180" max="13180" width="6.6640625" style="505" customWidth="1"/>
    <col min="13181" max="13181" width="7.44140625" style="505" customWidth="1"/>
    <col min="13182" max="13182" width="7" style="505"/>
    <col min="13183" max="13183" width="8.5546875" style="505" customWidth="1"/>
    <col min="13184" max="13184" width="12" style="505" customWidth="1"/>
    <col min="13185" max="13185" width="4.6640625" style="505" customWidth="1"/>
    <col min="13186" max="13186" width="9.109375" style="505" customWidth="1"/>
    <col min="13187" max="13187" width="11.6640625" style="505" customWidth="1"/>
    <col min="13188" max="13299" width="7" style="505"/>
    <col min="13300" max="13300" width="3.88671875" style="505" customWidth="1"/>
    <col min="13301" max="13301" width="14" style="505" customWidth="1"/>
    <col min="13302" max="13302" width="66.5546875" style="505" customWidth="1"/>
    <col min="13303" max="13303" width="9.44140625" style="505" customWidth="1"/>
    <col min="13304" max="13304" width="9.109375" style="505" customWidth="1"/>
    <col min="13305" max="13305" width="11.109375" style="505" bestFit="1" customWidth="1"/>
    <col min="13306" max="13306" width="9.109375" style="505" customWidth="1"/>
    <col min="13307" max="13307" width="10.44140625" style="505" customWidth="1"/>
    <col min="13308" max="13308" width="9.109375" style="505" customWidth="1"/>
    <col min="13309" max="13309" width="10.6640625" style="505" customWidth="1"/>
    <col min="13310" max="13310" width="9.109375" style="505" customWidth="1"/>
    <col min="13311" max="13311" width="10.109375" style="505" customWidth="1"/>
    <col min="13312" max="13312" width="11.109375" style="505" customWidth="1"/>
    <col min="13313" max="13432" width="9.109375" style="505" customWidth="1"/>
    <col min="13433" max="13433" width="2.5546875" style="505" customWidth="1"/>
    <col min="13434" max="13434" width="9.109375" style="505" customWidth="1"/>
    <col min="13435" max="13435" width="47.88671875" style="505" customWidth="1"/>
    <col min="13436" max="13436" width="6.6640625" style="505" customWidth="1"/>
    <col min="13437" max="13437" width="7.44140625" style="505" customWidth="1"/>
    <col min="13438" max="13438" width="7" style="505"/>
    <col min="13439" max="13439" width="8.5546875" style="505" customWidth="1"/>
    <col min="13440" max="13440" width="12" style="505" customWidth="1"/>
    <col min="13441" max="13441" width="4.6640625" style="505" customWidth="1"/>
    <col min="13442" max="13442" width="9.109375" style="505" customWidth="1"/>
    <col min="13443" max="13443" width="11.6640625" style="505" customWidth="1"/>
    <col min="13444" max="13555" width="7" style="505"/>
    <col min="13556" max="13556" width="3.88671875" style="505" customWidth="1"/>
    <col min="13557" max="13557" width="14" style="505" customWidth="1"/>
    <col min="13558" max="13558" width="66.5546875" style="505" customWidth="1"/>
    <col min="13559" max="13559" width="9.44140625" style="505" customWidth="1"/>
    <col min="13560" max="13560" width="9.109375" style="505" customWidth="1"/>
    <col min="13561" max="13561" width="11.109375" style="505" bestFit="1" customWidth="1"/>
    <col min="13562" max="13562" width="9.109375" style="505" customWidth="1"/>
    <col min="13563" max="13563" width="10.44140625" style="505" customWidth="1"/>
    <col min="13564" max="13564" width="9.109375" style="505" customWidth="1"/>
    <col min="13565" max="13565" width="10.6640625" style="505" customWidth="1"/>
    <col min="13566" max="13566" width="9.109375" style="505" customWidth="1"/>
    <col min="13567" max="13567" width="10.109375" style="505" customWidth="1"/>
    <col min="13568" max="13568" width="11.109375" style="505" customWidth="1"/>
    <col min="13569" max="13688" width="9.109375" style="505" customWidth="1"/>
    <col min="13689" max="13689" width="2.5546875" style="505" customWidth="1"/>
    <col min="13690" max="13690" width="9.109375" style="505" customWidth="1"/>
    <col min="13691" max="13691" width="47.88671875" style="505" customWidth="1"/>
    <col min="13692" max="13692" width="6.6640625" style="505" customWidth="1"/>
    <col min="13693" max="13693" width="7.44140625" style="505" customWidth="1"/>
    <col min="13694" max="13694" width="7" style="505"/>
    <col min="13695" max="13695" width="8.5546875" style="505" customWidth="1"/>
    <col min="13696" max="13696" width="12" style="505" customWidth="1"/>
    <col min="13697" max="13697" width="4.6640625" style="505" customWidth="1"/>
    <col min="13698" max="13698" width="9.109375" style="505" customWidth="1"/>
    <col min="13699" max="13699" width="11.6640625" style="505" customWidth="1"/>
    <col min="13700" max="13811" width="7" style="505"/>
    <col min="13812" max="13812" width="3.88671875" style="505" customWidth="1"/>
    <col min="13813" max="13813" width="14" style="505" customWidth="1"/>
    <col min="13814" max="13814" width="66.5546875" style="505" customWidth="1"/>
    <col min="13815" max="13815" width="9.44140625" style="505" customWidth="1"/>
    <col min="13816" max="13816" width="9.109375" style="505" customWidth="1"/>
    <col min="13817" max="13817" width="11.109375" style="505" bestFit="1" customWidth="1"/>
    <col min="13818" max="13818" width="9.109375" style="505" customWidth="1"/>
    <col min="13819" max="13819" width="10.44140625" style="505" customWidth="1"/>
    <col min="13820" max="13820" width="9.109375" style="505" customWidth="1"/>
    <col min="13821" max="13821" width="10.6640625" style="505" customWidth="1"/>
    <col min="13822" max="13822" width="9.109375" style="505" customWidth="1"/>
    <col min="13823" max="13823" width="10.109375" style="505" customWidth="1"/>
    <col min="13824" max="13824" width="11.109375" style="505" customWidth="1"/>
    <col min="13825" max="13944" width="9.109375" style="505" customWidth="1"/>
    <col min="13945" max="13945" width="2.5546875" style="505" customWidth="1"/>
    <col min="13946" max="13946" width="9.109375" style="505" customWidth="1"/>
    <col min="13947" max="13947" width="47.88671875" style="505" customWidth="1"/>
    <col min="13948" max="13948" width="6.6640625" style="505" customWidth="1"/>
    <col min="13949" max="13949" width="7.44140625" style="505" customWidth="1"/>
    <col min="13950" max="13950" width="7" style="505"/>
    <col min="13951" max="13951" width="8.5546875" style="505" customWidth="1"/>
    <col min="13952" max="13952" width="12" style="505" customWidth="1"/>
    <col min="13953" max="13953" width="4.6640625" style="505" customWidth="1"/>
    <col min="13954" max="13954" width="9.109375" style="505" customWidth="1"/>
    <col min="13955" max="13955" width="11.6640625" style="505" customWidth="1"/>
    <col min="13956" max="14067" width="7" style="505"/>
    <col min="14068" max="14068" width="3.88671875" style="505" customWidth="1"/>
    <col min="14069" max="14069" width="14" style="505" customWidth="1"/>
    <col min="14070" max="14070" width="66.5546875" style="505" customWidth="1"/>
    <col min="14071" max="14071" width="9.44140625" style="505" customWidth="1"/>
    <col min="14072" max="14072" width="9.109375" style="505" customWidth="1"/>
    <col min="14073" max="14073" width="11.109375" style="505" bestFit="1" customWidth="1"/>
    <col min="14074" max="14074" width="9.109375" style="505" customWidth="1"/>
    <col min="14075" max="14075" width="10.44140625" style="505" customWidth="1"/>
    <col min="14076" max="14076" width="9.109375" style="505" customWidth="1"/>
    <col min="14077" max="14077" width="10.6640625" style="505" customWidth="1"/>
    <col min="14078" max="14078" width="9.109375" style="505" customWidth="1"/>
    <col min="14079" max="14079" width="10.109375" style="505" customWidth="1"/>
    <col min="14080" max="14080" width="11.109375" style="505" customWidth="1"/>
    <col min="14081" max="14200" width="9.109375" style="505" customWidth="1"/>
    <col min="14201" max="14201" width="2.5546875" style="505" customWidth="1"/>
    <col min="14202" max="14202" width="9.109375" style="505" customWidth="1"/>
    <col min="14203" max="14203" width="47.88671875" style="505" customWidth="1"/>
    <col min="14204" max="14204" width="6.6640625" style="505" customWidth="1"/>
    <col min="14205" max="14205" width="7.44140625" style="505" customWidth="1"/>
    <col min="14206" max="14206" width="7" style="505"/>
    <col min="14207" max="14207" width="8.5546875" style="505" customWidth="1"/>
    <col min="14208" max="14208" width="12" style="505" customWidth="1"/>
    <col min="14209" max="14209" width="4.6640625" style="505" customWidth="1"/>
    <col min="14210" max="14210" width="9.109375" style="505" customWidth="1"/>
    <col min="14211" max="14211" width="11.6640625" style="505" customWidth="1"/>
    <col min="14212" max="14323" width="7" style="505"/>
    <col min="14324" max="14324" width="3.88671875" style="505" customWidth="1"/>
    <col min="14325" max="14325" width="14" style="505" customWidth="1"/>
    <col min="14326" max="14326" width="66.5546875" style="505" customWidth="1"/>
    <col min="14327" max="14327" width="9.44140625" style="505" customWidth="1"/>
    <col min="14328" max="14328" width="9.109375" style="505" customWidth="1"/>
    <col min="14329" max="14329" width="11.109375" style="505" bestFit="1" customWidth="1"/>
    <col min="14330" max="14330" width="9.109375" style="505" customWidth="1"/>
    <col min="14331" max="14331" width="10.44140625" style="505" customWidth="1"/>
    <col min="14332" max="14332" width="9.109375" style="505" customWidth="1"/>
    <col min="14333" max="14333" width="10.6640625" style="505" customWidth="1"/>
    <col min="14334" max="14334" width="9.109375" style="505" customWidth="1"/>
    <col min="14335" max="14335" width="10.109375" style="505" customWidth="1"/>
    <col min="14336" max="14336" width="11.109375" style="505" customWidth="1"/>
    <col min="14337" max="14456" width="9.109375" style="505" customWidth="1"/>
    <col min="14457" max="14457" width="2.5546875" style="505" customWidth="1"/>
    <col min="14458" max="14458" width="9.109375" style="505" customWidth="1"/>
    <col min="14459" max="14459" width="47.88671875" style="505" customWidth="1"/>
    <col min="14460" max="14460" width="6.6640625" style="505" customWidth="1"/>
    <col min="14461" max="14461" width="7.44140625" style="505" customWidth="1"/>
    <col min="14462" max="14462" width="7" style="505"/>
    <col min="14463" max="14463" width="8.5546875" style="505" customWidth="1"/>
    <col min="14464" max="14464" width="12" style="505" customWidth="1"/>
    <col min="14465" max="14465" width="4.6640625" style="505" customWidth="1"/>
    <col min="14466" max="14466" width="9.109375" style="505" customWidth="1"/>
    <col min="14467" max="14467" width="11.6640625" style="505" customWidth="1"/>
    <col min="14468" max="14579" width="7" style="505"/>
    <col min="14580" max="14580" width="3.88671875" style="505" customWidth="1"/>
    <col min="14581" max="14581" width="14" style="505" customWidth="1"/>
    <col min="14582" max="14582" width="66.5546875" style="505" customWidth="1"/>
    <col min="14583" max="14583" width="9.44140625" style="505" customWidth="1"/>
    <col min="14584" max="14584" width="9.109375" style="505" customWidth="1"/>
    <col min="14585" max="14585" width="11.109375" style="505" bestFit="1" customWidth="1"/>
    <col min="14586" max="14586" width="9.109375" style="505" customWidth="1"/>
    <col min="14587" max="14587" width="10.44140625" style="505" customWidth="1"/>
    <col min="14588" max="14588" width="9.109375" style="505" customWidth="1"/>
    <col min="14589" max="14589" width="10.6640625" style="505" customWidth="1"/>
    <col min="14590" max="14590" width="9.109375" style="505" customWidth="1"/>
    <col min="14591" max="14591" width="10.109375" style="505" customWidth="1"/>
    <col min="14592" max="14592" width="11.109375" style="505" customWidth="1"/>
    <col min="14593" max="14712" width="9.109375" style="505" customWidth="1"/>
    <col min="14713" max="14713" width="2.5546875" style="505" customWidth="1"/>
    <col min="14714" max="14714" width="9.109375" style="505" customWidth="1"/>
    <col min="14715" max="14715" width="47.88671875" style="505" customWidth="1"/>
    <col min="14716" max="14716" width="6.6640625" style="505" customWidth="1"/>
    <col min="14717" max="14717" width="7.44140625" style="505" customWidth="1"/>
    <col min="14718" max="14718" width="7" style="505"/>
    <col min="14719" max="14719" width="8.5546875" style="505" customWidth="1"/>
    <col min="14720" max="14720" width="12" style="505" customWidth="1"/>
    <col min="14721" max="14721" width="4.6640625" style="505" customWidth="1"/>
    <col min="14722" max="14722" width="9.109375" style="505" customWidth="1"/>
    <col min="14723" max="14723" width="11.6640625" style="505" customWidth="1"/>
    <col min="14724" max="14835" width="7" style="505"/>
    <col min="14836" max="14836" width="3.88671875" style="505" customWidth="1"/>
    <col min="14837" max="14837" width="14" style="505" customWidth="1"/>
    <col min="14838" max="14838" width="66.5546875" style="505" customWidth="1"/>
    <col min="14839" max="14839" width="9.44140625" style="505" customWidth="1"/>
    <col min="14840" max="14840" width="9.109375" style="505" customWidth="1"/>
    <col min="14841" max="14841" width="11.109375" style="505" bestFit="1" customWidth="1"/>
    <col min="14842" max="14842" width="9.109375" style="505" customWidth="1"/>
    <col min="14843" max="14843" width="10.44140625" style="505" customWidth="1"/>
    <col min="14844" max="14844" width="9.109375" style="505" customWidth="1"/>
    <col min="14845" max="14845" width="10.6640625" style="505" customWidth="1"/>
    <col min="14846" max="14846" width="9.109375" style="505" customWidth="1"/>
    <col min="14847" max="14847" width="10.109375" style="505" customWidth="1"/>
    <col min="14848" max="14848" width="11.109375" style="505" customWidth="1"/>
    <col min="14849" max="14968" width="9.109375" style="505" customWidth="1"/>
    <col min="14969" max="14969" width="2.5546875" style="505" customWidth="1"/>
    <col min="14970" max="14970" width="9.109375" style="505" customWidth="1"/>
    <col min="14971" max="14971" width="47.88671875" style="505" customWidth="1"/>
    <col min="14972" max="14972" width="6.6640625" style="505" customWidth="1"/>
    <col min="14973" max="14973" width="7.44140625" style="505" customWidth="1"/>
    <col min="14974" max="14974" width="7" style="505"/>
    <col min="14975" max="14975" width="8.5546875" style="505" customWidth="1"/>
    <col min="14976" max="14976" width="12" style="505" customWidth="1"/>
    <col min="14977" max="14977" width="4.6640625" style="505" customWidth="1"/>
    <col min="14978" max="14978" width="9.109375" style="505" customWidth="1"/>
    <col min="14979" max="14979" width="11.6640625" style="505" customWidth="1"/>
    <col min="14980" max="15091" width="7" style="505"/>
    <col min="15092" max="15092" width="3.88671875" style="505" customWidth="1"/>
    <col min="15093" max="15093" width="14" style="505" customWidth="1"/>
    <col min="15094" max="15094" width="66.5546875" style="505" customWidth="1"/>
    <col min="15095" max="15095" width="9.44140625" style="505" customWidth="1"/>
    <col min="15096" max="15096" width="9.109375" style="505" customWidth="1"/>
    <col min="15097" max="15097" width="11.109375" style="505" bestFit="1" customWidth="1"/>
    <col min="15098" max="15098" width="9.109375" style="505" customWidth="1"/>
    <col min="15099" max="15099" width="10.44140625" style="505" customWidth="1"/>
    <col min="15100" max="15100" width="9.109375" style="505" customWidth="1"/>
    <col min="15101" max="15101" width="10.6640625" style="505" customWidth="1"/>
    <col min="15102" max="15102" width="9.109375" style="505" customWidth="1"/>
    <col min="15103" max="15103" width="10.109375" style="505" customWidth="1"/>
    <col min="15104" max="15104" width="11.109375" style="505" customWidth="1"/>
    <col min="15105" max="15224" width="9.109375" style="505" customWidth="1"/>
    <col min="15225" max="15225" width="2.5546875" style="505" customWidth="1"/>
    <col min="15226" max="15226" width="9.109375" style="505" customWidth="1"/>
    <col min="15227" max="15227" width="47.88671875" style="505" customWidth="1"/>
    <col min="15228" max="15228" width="6.6640625" style="505" customWidth="1"/>
    <col min="15229" max="15229" width="7.44140625" style="505" customWidth="1"/>
    <col min="15230" max="15230" width="7" style="505"/>
    <col min="15231" max="15231" width="8.5546875" style="505" customWidth="1"/>
    <col min="15232" max="15232" width="12" style="505" customWidth="1"/>
    <col min="15233" max="15233" width="4.6640625" style="505" customWidth="1"/>
    <col min="15234" max="15234" width="9.109375" style="505" customWidth="1"/>
    <col min="15235" max="15235" width="11.6640625" style="505" customWidth="1"/>
    <col min="15236" max="15347" width="7" style="505"/>
    <col min="15348" max="15348" width="3.88671875" style="505" customWidth="1"/>
    <col min="15349" max="15349" width="14" style="505" customWidth="1"/>
    <col min="15350" max="15350" width="66.5546875" style="505" customWidth="1"/>
    <col min="15351" max="15351" width="9.44140625" style="505" customWidth="1"/>
    <col min="15352" max="15352" width="9.109375" style="505" customWidth="1"/>
    <col min="15353" max="15353" width="11.109375" style="505" bestFit="1" customWidth="1"/>
    <col min="15354" max="15354" width="9.109375" style="505" customWidth="1"/>
    <col min="15355" max="15355" width="10.44140625" style="505" customWidth="1"/>
    <col min="15356" max="15356" width="9.109375" style="505" customWidth="1"/>
    <col min="15357" max="15357" width="10.6640625" style="505" customWidth="1"/>
    <col min="15358" max="15358" width="9.109375" style="505" customWidth="1"/>
    <col min="15359" max="15359" width="10.109375" style="505" customWidth="1"/>
    <col min="15360" max="15360" width="11.109375" style="505" customWidth="1"/>
    <col min="15361" max="15480" width="9.109375" style="505" customWidth="1"/>
    <col min="15481" max="15481" width="2.5546875" style="505" customWidth="1"/>
    <col min="15482" max="15482" width="9.109375" style="505" customWidth="1"/>
    <col min="15483" max="15483" width="47.88671875" style="505" customWidth="1"/>
    <col min="15484" max="15484" width="6.6640625" style="505" customWidth="1"/>
    <col min="15485" max="15485" width="7.44140625" style="505" customWidth="1"/>
    <col min="15486" max="15486" width="7" style="505"/>
    <col min="15487" max="15487" width="8.5546875" style="505" customWidth="1"/>
    <col min="15488" max="15488" width="12" style="505" customWidth="1"/>
    <col min="15489" max="15489" width="4.6640625" style="505" customWidth="1"/>
    <col min="15490" max="15490" width="9.109375" style="505" customWidth="1"/>
    <col min="15491" max="15491" width="11.6640625" style="505" customWidth="1"/>
    <col min="15492" max="15603" width="7" style="505"/>
    <col min="15604" max="15604" width="3.88671875" style="505" customWidth="1"/>
    <col min="15605" max="15605" width="14" style="505" customWidth="1"/>
    <col min="15606" max="15606" width="66.5546875" style="505" customWidth="1"/>
    <col min="15607" max="15607" width="9.44140625" style="505" customWidth="1"/>
    <col min="15608" max="15608" width="9.109375" style="505" customWidth="1"/>
    <col min="15609" max="15609" width="11.109375" style="505" bestFit="1" customWidth="1"/>
    <col min="15610" max="15610" width="9.109375" style="505" customWidth="1"/>
    <col min="15611" max="15611" width="10.44140625" style="505" customWidth="1"/>
    <col min="15612" max="15612" width="9.109375" style="505" customWidth="1"/>
    <col min="15613" max="15613" width="10.6640625" style="505" customWidth="1"/>
    <col min="15614" max="15614" width="9.109375" style="505" customWidth="1"/>
    <col min="15615" max="15615" width="10.109375" style="505" customWidth="1"/>
    <col min="15616" max="15616" width="11.109375" style="505" customWidth="1"/>
    <col min="15617" max="15736" width="9.109375" style="505" customWidth="1"/>
    <col min="15737" max="15737" width="2.5546875" style="505" customWidth="1"/>
    <col min="15738" max="15738" width="9.109375" style="505" customWidth="1"/>
    <col min="15739" max="15739" width="47.88671875" style="505" customWidth="1"/>
    <col min="15740" max="15740" width="6.6640625" style="505" customWidth="1"/>
    <col min="15741" max="15741" width="7.44140625" style="505" customWidth="1"/>
    <col min="15742" max="15742" width="7" style="505"/>
    <col min="15743" max="15743" width="8.5546875" style="505" customWidth="1"/>
    <col min="15744" max="15744" width="12" style="505" customWidth="1"/>
    <col min="15745" max="15745" width="4.6640625" style="505" customWidth="1"/>
    <col min="15746" max="15746" width="9.109375" style="505" customWidth="1"/>
    <col min="15747" max="15747" width="11.6640625" style="505" customWidth="1"/>
    <col min="15748" max="15859" width="7" style="505"/>
    <col min="15860" max="15860" width="3.88671875" style="505" customWidth="1"/>
    <col min="15861" max="15861" width="14" style="505" customWidth="1"/>
    <col min="15862" max="15862" width="66.5546875" style="505" customWidth="1"/>
    <col min="15863" max="15863" width="9.44140625" style="505" customWidth="1"/>
    <col min="15864" max="15864" width="9.109375" style="505" customWidth="1"/>
    <col min="15865" max="15865" width="11.109375" style="505" bestFit="1" customWidth="1"/>
    <col min="15866" max="15866" width="9.109375" style="505" customWidth="1"/>
    <col min="15867" max="15867" width="10.44140625" style="505" customWidth="1"/>
    <col min="15868" max="15868" width="9.109375" style="505" customWidth="1"/>
    <col min="15869" max="15869" width="10.6640625" style="505" customWidth="1"/>
    <col min="15870" max="15870" width="9.109375" style="505" customWidth="1"/>
    <col min="15871" max="15871" width="10.109375" style="505" customWidth="1"/>
    <col min="15872" max="15872" width="11.109375" style="505" customWidth="1"/>
    <col min="15873" max="15992" width="9.109375" style="505" customWidth="1"/>
    <col min="15993" max="15993" width="2.5546875" style="505" customWidth="1"/>
    <col min="15994" max="15994" width="9.109375" style="505" customWidth="1"/>
    <col min="15995" max="15995" width="47.88671875" style="505" customWidth="1"/>
    <col min="15996" max="15996" width="6.6640625" style="505" customWidth="1"/>
    <col min="15997" max="15997" width="7.44140625" style="505" customWidth="1"/>
    <col min="15998" max="15998" width="7" style="505"/>
    <col min="15999" max="15999" width="8.5546875" style="505" customWidth="1"/>
    <col min="16000" max="16000" width="12" style="505" customWidth="1"/>
    <col min="16001" max="16001" width="4.6640625" style="505" customWidth="1"/>
    <col min="16002" max="16002" width="9.109375" style="505" customWidth="1"/>
    <col min="16003" max="16003" width="11.6640625" style="505" customWidth="1"/>
    <col min="16004" max="16115" width="7" style="505"/>
    <col min="16116" max="16116" width="3.88671875" style="505" customWidth="1"/>
    <col min="16117" max="16117" width="14" style="505" customWidth="1"/>
    <col min="16118" max="16118" width="66.5546875" style="505" customWidth="1"/>
    <col min="16119" max="16119" width="9.44140625" style="505" customWidth="1"/>
    <col min="16120" max="16120" width="9.109375" style="505" customWidth="1"/>
    <col min="16121" max="16121" width="11.109375" style="505" bestFit="1" customWidth="1"/>
    <col min="16122" max="16122" width="9.109375" style="505" customWidth="1"/>
    <col min="16123" max="16123" width="10.44140625" style="505" customWidth="1"/>
    <col min="16124" max="16124" width="9.109375" style="505" customWidth="1"/>
    <col min="16125" max="16125" width="10.6640625" style="505" customWidth="1"/>
    <col min="16126" max="16126" width="9.109375" style="505" customWidth="1"/>
    <col min="16127" max="16127" width="10.109375" style="505" customWidth="1"/>
    <col min="16128" max="16128" width="11.109375" style="505" customWidth="1"/>
    <col min="16129" max="16248" width="9.109375" style="505" customWidth="1"/>
    <col min="16249" max="16249" width="2.5546875" style="505" customWidth="1"/>
    <col min="16250" max="16250" width="9.109375" style="505" customWidth="1"/>
    <col min="16251" max="16251" width="47.88671875" style="505" customWidth="1"/>
    <col min="16252" max="16252" width="6.6640625" style="505" customWidth="1"/>
    <col min="16253" max="16253" width="7.44140625" style="505" customWidth="1"/>
    <col min="16254" max="16254" width="7" style="505"/>
    <col min="16255" max="16255" width="8.5546875" style="505" customWidth="1"/>
    <col min="16256" max="16256" width="12" style="505" customWidth="1"/>
    <col min="16257" max="16257" width="4.6640625" style="505" customWidth="1"/>
    <col min="16258" max="16258" width="9.109375" style="505" customWidth="1"/>
    <col min="16259" max="16259" width="11.6640625" style="505" customWidth="1"/>
    <col min="16260" max="16384" width="7" style="505"/>
  </cols>
  <sheetData>
    <row r="1" spans="1:13" s="272" customFormat="1" ht="16.2">
      <c r="A1" s="732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</row>
    <row r="2" spans="1:13" s="272" customFormat="1" ht="16.2">
      <c r="A2" s="733" t="s">
        <v>1</v>
      </c>
      <c r="B2" s="733"/>
      <c r="C2" s="733"/>
      <c r="D2" s="468" t="str">
        <f>'B-6'!B11</f>
        <v>B-6.2</v>
      </c>
      <c r="E2" s="468"/>
      <c r="F2" s="468"/>
      <c r="G2" s="468"/>
      <c r="H2" s="468"/>
      <c r="I2" s="468"/>
      <c r="J2" s="468"/>
      <c r="K2" s="468"/>
      <c r="L2" s="468"/>
      <c r="M2" s="468"/>
    </row>
    <row r="3" spans="1:13" s="272" customFormat="1" ht="30.75" customHeight="1">
      <c r="A3" s="552"/>
      <c r="B3" s="731">
        <f>gan.barat!B34</f>
        <v>0</v>
      </c>
      <c r="C3" s="731"/>
      <c r="D3" s="731"/>
      <c r="E3" s="731"/>
      <c r="F3" s="731"/>
      <c r="G3" s="551"/>
      <c r="H3" s="551"/>
      <c r="I3" s="551"/>
      <c r="J3" s="551"/>
      <c r="K3" s="551"/>
      <c r="L3" s="551"/>
      <c r="M3" s="551"/>
    </row>
    <row r="4" spans="1:13" s="272" customFormat="1" ht="1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s="272" customFormat="1" ht="15">
      <c r="A5" s="727" t="s">
        <v>382</v>
      </c>
      <c r="B5" s="727" t="s">
        <v>383</v>
      </c>
      <c r="C5" s="727" t="s">
        <v>384</v>
      </c>
      <c r="D5" s="727" t="s">
        <v>385</v>
      </c>
      <c r="E5" s="727" t="s">
        <v>386</v>
      </c>
      <c r="F5" s="727" t="s">
        <v>387</v>
      </c>
      <c r="G5" s="726" t="s">
        <v>388</v>
      </c>
      <c r="H5" s="726"/>
      <c r="I5" s="726" t="s">
        <v>389</v>
      </c>
      <c r="J5" s="726"/>
      <c r="K5" s="727" t="s">
        <v>390</v>
      </c>
      <c r="L5" s="727"/>
      <c r="M5" s="278" t="s">
        <v>391</v>
      </c>
    </row>
    <row r="6" spans="1:13" s="272" customFormat="1" ht="15">
      <c r="A6" s="727"/>
      <c r="B6" s="727"/>
      <c r="C6" s="727"/>
      <c r="D6" s="727"/>
      <c r="E6" s="727"/>
      <c r="F6" s="727"/>
      <c r="G6" s="278" t="s">
        <v>392</v>
      </c>
      <c r="H6" s="278" t="s">
        <v>393</v>
      </c>
      <c r="I6" s="278" t="s">
        <v>392</v>
      </c>
      <c r="J6" s="278" t="s">
        <v>393</v>
      </c>
      <c r="K6" s="278" t="s">
        <v>392</v>
      </c>
      <c r="L6" s="278" t="s">
        <v>394</v>
      </c>
      <c r="M6" s="278" t="s">
        <v>395</v>
      </c>
    </row>
    <row r="7" spans="1:13" s="470" customFormat="1" ht="15">
      <c r="A7" s="469">
        <v>1</v>
      </c>
      <c r="B7" s="469">
        <v>3</v>
      </c>
      <c r="C7" s="469">
        <v>2</v>
      </c>
      <c r="D7" s="469">
        <v>4</v>
      </c>
      <c r="E7" s="469">
        <v>5</v>
      </c>
      <c r="F7" s="469">
        <v>6</v>
      </c>
      <c r="G7" s="278">
        <v>7</v>
      </c>
      <c r="H7" s="278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</row>
    <row r="8" spans="1:13" s="470" customFormat="1" ht="15">
      <c r="A8" s="471">
        <v>1</v>
      </c>
      <c r="B8" s="472" t="s">
        <v>583</v>
      </c>
      <c r="C8" s="473" t="s">
        <v>584</v>
      </c>
      <c r="D8" s="472" t="s">
        <v>585</v>
      </c>
      <c r="E8" s="471"/>
      <c r="F8" s="472" t="s">
        <v>45</v>
      </c>
      <c r="G8" s="970"/>
      <c r="H8" s="971"/>
      <c r="I8" s="972"/>
      <c r="J8" s="971"/>
      <c r="K8" s="972"/>
      <c r="L8" s="971"/>
      <c r="M8" s="973">
        <f>SUM(M9:M12)</f>
        <v>0</v>
      </c>
    </row>
    <row r="9" spans="1:13" s="470" customFormat="1" ht="15">
      <c r="A9" s="278"/>
      <c r="B9" s="474"/>
      <c r="C9" s="475" t="s">
        <v>58</v>
      </c>
      <c r="D9" s="278" t="s">
        <v>5</v>
      </c>
      <c r="E9" s="278">
        <v>13.3</v>
      </c>
      <c r="F9" s="476">
        <f>E9*F8</f>
        <v>26.6</v>
      </c>
      <c r="G9" s="974"/>
      <c r="H9" s="974"/>
      <c r="I9" s="974">
        <v>0</v>
      </c>
      <c r="J9" s="974">
        <f>I9*F9</f>
        <v>0</v>
      </c>
      <c r="K9" s="974"/>
      <c r="L9" s="974"/>
      <c r="M9" s="974">
        <f>L9+J9+H9</f>
        <v>0</v>
      </c>
    </row>
    <row r="10" spans="1:13" s="470" customFormat="1" ht="15">
      <c r="A10" s="278"/>
      <c r="B10" s="474"/>
      <c r="C10" s="475" t="s">
        <v>64</v>
      </c>
      <c r="D10" s="278" t="s">
        <v>69</v>
      </c>
      <c r="E10" s="278">
        <v>0.39</v>
      </c>
      <c r="F10" s="476">
        <f>E10*F8</f>
        <v>0.78</v>
      </c>
      <c r="G10" s="974"/>
      <c r="H10" s="974"/>
      <c r="I10" s="974"/>
      <c r="J10" s="974"/>
      <c r="K10" s="974">
        <v>0</v>
      </c>
      <c r="L10" s="974">
        <f>F10*K10</f>
        <v>0</v>
      </c>
      <c r="M10" s="974">
        <f t="shared" ref="M10" si="0">L10+J10+H10</f>
        <v>0</v>
      </c>
    </row>
    <row r="11" spans="1:13" s="470" customFormat="1" ht="15">
      <c r="A11" s="471"/>
      <c r="B11" s="474"/>
      <c r="C11" s="477" t="s">
        <v>586</v>
      </c>
      <c r="D11" s="474" t="s">
        <v>585</v>
      </c>
      <c r="E11" s="278">
        <v>1</v>
      </c>
      <c r="F11" s="476">
        <f>E11*F8</f>
        <v>2</v>
      </c>
      <c r="G11" s="974">
        <v>0</v>
      </c>
      <c r="H11" s="974">
        <f>F11*G11</f>
        <v>0</v>
      </c>
      <c r="I11" s="974"/>
      <c r="J11" s="975"/>
      <c r="K11" s="975"/>
      <c r="L11" s="975"/>
      <c r="M11" s="974">
        <f>L11+J11+H11</f>
        <v>0</v>
      </c>
    </row>
    <row r="12" spans="1:13" s="470" customFormat="1" ht="15">
      <c r="A12" s="471"/>
      <c r="B12" s="472"/>
      <c r="C12" s="475" t="s">
        <v>68</v>
      </c>
      <c r="D12" s="278" t="s">
        <v>69</v>
      </c>
      <c r="E12" s="278">
        <v>1.58</v>
      </c>
      <c r="F12" s="476">
        <f>E12*F8</f>
        <v>3.16</v>
      </c>
      <c r="G12" s="974">
        <v>0</v>
      </c>
      <c r="H12" s="974">
        <f t="shared" ref="H12" si="1">F12*G12</f>
        <v>0</v>
      </c>
      <c r="I12" s="974"/>
      <c r="J12" s="974"/>
      <c r="K12" s="974"/>
      <c r="L12" s="974"/>
      <c r="M12" s="974">
        <f>L12+J12+H12</f>
        <v>0</v>
      </c>
    </row>
    <row r="13" spans="1:13" s="470" customFormat="1" ht="30">
      <c r="A13" s="471">
        <v>2</v>
      </c>
      <c r="B13" s="479" t="s">
        <v>587</v>
      </c>
      <c r="C13" s="480" t="s">
        <v>588</v>
      </c>
      <c r="D13" s="471" t="s">
        <v>589</v>
      </c>
      <c r="E13" s="471"/>
      <c r="F13" s="478">
        <v>0.1</v>
      </c>
      <c r="G13" s="975"/>
      <c r="H13" s="975"/>
      <c r="I13" s="975"/>
      <c r="J13" s="975"/>
      <c r="K13" s="975"/>
      <c r="L13" s="975"/>
      <c r="M13" s="975">
        <f>SUM(M14:M26)</f>
        <v>0</v>
      </c>
    </row>
    <row r="14" spans="1:13" s="470" customFormat="1" ht="15">
      <c r="A14" s="278"/>
      <c r="B14" s="474"/>
      <c r="C14" s="475" t="s">
        <v>58</v>
      </c>
      <c r="D14" s="278" t="s">
        <v>5</v>
      </c>
      <c r="E14" s="278">
        <v>117</v>
      </c>
      <c r="F14" s="476">
        <f>E14*F13</f>
        <v>11.700000000000001</v>
      </c>
      <c r="G14" s="974"/>
      <c r="H14" s="974"/>
      <c r="I14" s="974">
        <v>0</v>
      </c>
      <c r="J14" s="974">
        <f>I14*F14</f>
        <v>0</v>
      </c>
      <c r="K14" s="974"/>
      <c r="L14" s="974"/>
      <c r="M14" s="974">
        <f t="shared" ref="M14:M25" si="2">L14+J14+H14</f>
        <v>0</v>
      </c>
    </row>
    <row r="15" spans="1:13" s="470" customFormat="1" ht="15">
      <c r="A15" s="278"/>
      <c r="B15" s="481"/>
      <c r="C15" s="475" t="s">
        <v>64</v>
      </c>
      <c r="D15" s="278" t="s">
        <v>69</v>
      </c>
      <c r="E15" s="278">
        <v>1.72</v>
      </c>
      <c r="F15" s="476">
        <f>E15*F13</f>
        <v>0.17200000000000001</v>
      </c>
      <c r="G15" s="974"/>
      <c r="H15" s="974"/>
      <c r="I15" s="974"/>
      <c r="J15" s="974"/>
      <c r="K15" s="974">
        <v>0</v>
      </c>
      <c r="L15" s="974">
        <f>F15*K15</f>
        <v>0</v>
      </c>
      <c r="M15" s="974">
        <f t="shared" si="2"/>
        <v>0</v>
      </c>
    </row>
    <row r="16" spans="1:13" s="470" customFormat="1" ht="15">
      <c r="A16" s="278"/>
      <c r="B16" s="282" t="s">
        <v>590</v>
      </c>
      <c r="C16" s="477" t="s">
        <v>591</v>
      </c>
      <c r="D16" s="482" t="s">
        <v>62</v>
      </c>
      <c r="E16" s="278">
        <v>100</v>
      </c>
      <c r="F16" s="476">
        <f>E16*F13</f>
        <v>10</v>
      </c>
      <c r="G16" s="928">
        <v>0</v>
      </c>
      <c r="H16" s="974">
        <f t="shared" ref="H16:H26" si="3">F16*G16</f>
        <v>0</v>
      </c>
      <c r="I16" s="974"/>
      <c r="J16" s="974"/>
      <c r="K16" s="974"/>
      <c r="L16" s="974"/>
      <c r="M16" s="974">
        <f t="shared" si="2"/>
        <v>0</v>
      </c>
    </row>
    <row r="17" spans="1:13" s="470" customFormat="1" ht="15">
      <c r="A17" s="278"/>
      <c r="B17" s="481" t="s">
        <v>592</v>
      </c>
      <c r="C17" s="477" t="s">
        <v>593</v>
      </c>
      <c r="D17" s="482" t="s">
        <v>65</v>
      </c>
      <c r="E17" s="278">
        <v>16</v>
      </c>
      <c r="F17" s="476">
        <f>E17*F13</f>
        <v>1.6</v>
      </c>
      <c r="G17" s="974">
        <v>0</v>
      </c>
      <c r="H17" s="974">
        <f t="shared" si="3"/>
        <v>0</v>
      </c>
      <c r="I17" s="974"/>
      <c r="J17" s="974"/>
      <c r="K17" s="974"/>
      <c r="L17" s="974"/>
      <c r="M17" s="974">
        <f t="shared" si="2"/>
        <v>0</v>
      </c>
    </row>
    <row r="18" spans="1:13" s="470" customFormat="1" ht="15">
      <c r="A18" s="278"/>
      <c r="B18" s="481" t="s">
        <v>594</v>
      </c>
      <c r="C18" s="477" t="s">
        <v>595</v>
      </c>
      <c r="D18" s="482" t="s">
        <v>65</v>
      </c>
      <c r="E18" s="278" t="s">
        <v>353</v>
      </c>
      <c r="F18" s="476">
        <v>6</v>
      </c>
      <c r="G18" s="911">
        <v>0</v>
      </c>
      <c r="H18" s="974">
        <f t="shared" si="3"/>
        <v>0</v>
      </c>
      <c r="I18" s="974"/>
      <c r="J18" s="974"/>
      <c r="K18" s="974"/>
      <c r="L18" s="974"/>
      <c r="M18" s="974">
        <f t="shared" si="2"/>
        <v>0</v>
      </c>
    </row>
    <row r="19" spans="1:13" s="470" customFormat="1" ht="15">
      <c r="A19" s="278"/>
      <c r="B19" s="481" t="s">
        <v>596</v>
      </c>
      <c r="C19" s="477" t="s">
        <v>597</v>
      </c>
      <c r="D19" s="482" t="s">
        <v>65</v>
      </c>
      <c r="E19" s="278" t="s">
        <v>353</v>
      </c>
      <c r="F19" s="476">
        <v>2</v>
      </c>
      <c r="G19" s="911">
        <v>0</v>
      </c>
      <c r="H19" s="974">
        <f t="shared" si="3"/>
        <v>0</v>
      </c>
      <c r="I19" s="974"/>
      <c r="J19" s="974"/>
      <c r="K19" s="974"/>
      <c r="L19" s="974"/>
      <c r="M19" s="974">
        <f t="shared" si="2"/>
        <v>0</v>
      </c>
    </row>
    <row r="20" spans="1:13" s="470" customFormat="1" ht="15">
      <c r="A20" s="278"/>
      <c r="B20" s="481" t="s">
        <v>598</v>
      </c>
      <c r="C20" s="477" t="s">
        <v>599</v>
      </c>
      <c r="D20" s="482" t="s">
        <v>65</v>
      </c>
      <c r="E20" s="278">
        <v>4</v>
      </c>
      <c r="F20" s="476">
        <f>E20*F13</f>
        <v>0.4</v>
      </c>
      <c r="G20" s="911">
        <v>0</v>
      </c>
      <c r="H20" s="974">
        <f t="shared" si="3"/>
        <v>0</v>
      </c>
      <c r="I20" s="974"/>
      <c r="J20" s="974"/>
      <c r="K20" s="974"/>
      <c r="L20" s="974"/>
      <c r="M20" s="974">
        <f t="shared" si="2"/>
        <v>0</v>
      </c>
    </row>
    <row r="21" spans="1:13" s="470" customFormat="1" ht="15">
      <c r="A21" s="278"/>
      <c r="B21" s="481" t="s">
        <v>596</v>
      </c>
      <c r="C21" s="477" t="s">
        <v>600</v>
      </c>
      <c r="D21" s="482" t="s">
        <v>65</v>
      </c>
      <c r="E21" s="278">
        <v>13</v>
      </c>
      <c r="F21" s="476">
        <f>E21*F13</f>
        <v>1.3</v>
      </c>
      <c r="G21" s="911">
        <v>0</v>
      </c>
      <c r="H21" s="974">
        <f t="shared" si="3"/>
        <v>0</v>
      </c>
      <c r="I21" s="974"/>
      <c r="J21" s="974"/>
      <c r="K21" s="974"/>
      <c r="L21" s="974"/>
      <c r="M21" s="974">
        <f t="shared" si="2"/>
        <v>0</v>
      </c>
    </row>
    <row r="22" spans="1:13" s="470" customFormat="1" ht="15">
      <c r="A22" s="278"/>
      <c r="B22" s="481" t="s">
        <v>601</v>
      </c>
      <c r="C22" s="477" t="s">
        <v>602</v>
      </c>
      <c r="D22" s="482" t="s">
        <v>65</v>
      </c>
      <c r="E22" s="278">
        <v>28</v>
      </c>
      <c r="F22" s="476">
        <f>E22*F13</f>
        <v>2.8000000000000003</v>
      </c>
      <c r="G22" s="974">
        <v>0</v>
      </c>
      <c r="H22" s="974">
        <f t="shared" si="3"/>
        <v>0</v>
      </c>
      <c r="I22" s="974"/>
      <c r="J22" s="974"/>
      <c r="K22" s="974"/>
      <c r="L22" s="974"/>
      <c r="M22" s="974">
        <f t="shared" si="2"/>
        <v>0</v>
      </c>
    </row>
    <row r="23" spans="1:13" s="470" customFormat="1" ht="15">
      <c r="A23" s="278"/>
      <c r="B23" s="481" t="s">
        <v>601</v>
      </c>
      <c r="C23" s="477" t="s">
        <v>603</v>
      </c>
      <c r="D23" s="482" t="s">
        <v>65</v>
      </c>
      <c r="E23" s="278">
        <v>6</v>
      </c>
      <c r="F23" s="476">
        <f>E23*F13</f>
        <v>0.60000000000000009</v>
      </c>
      <c r="G23" s="974">
        <v>0</v>
      </c>
      <c r="H23" s="974">
        <f t="shared" si="3"/>
        <v>0</v>
      </c>
      <c r="I23" s="974"/>
      <c r="J23" s="974"/>
      <c r="K23" s="974"/>
      <c r="L23" s="974"/>
      <c r="M23" s="974">
        <f t="shared" si="2"/>
        <v>0</v>
      </c>
    </row>
    <row r="24" spans="1:13" s="470" customFormat="1" ht="15">
      <c r="A24" s="278"/>
      <c r="B24" s="481" t="s">
        <v>601</v>
      </c>
      <c r="C24" s="477" t="s">
        <v>604</v>
      </c>
      <c r="D24" s="482" t="s">
        <v>65</v>
      </c>
      <c r="E24" s="278">
        <v>1</v>
      </c>
      <c r="F24" s="476">
        <v>1</v>
      </c>
      <c r="G24" s="974">
        <v>0</v>
      </c>
      <c r="H24" s="974">
        <f t="shared" si="3"/>
        <v>0</v>
      </c>
      <c r="I24" s="974"/>
      <c r="J24" s="974"/>
      <c r="K24" s="974"/>
      <c r="L24" s="974"/>
      <c r="M24" s="974">
        <f t="shared" si="2"/>
        <v>0</v>
      </c>
    </row>
    <row r="25" spans="1:13" s="470" customFormat="1" ht="15">
      <c r="A25" s="278"/>
      <c r="B25" s="481" t="s">
        <v>605</v>
      </c>
      <c r="C25" s="477" t="s">
        <v>606</v>
      </c>
      <c r="D25" s="482" t="s">
        <v>65</v>
      </c>
      <c r="E25" s="278">
        <v>3</v>
      </c>
      <c r="F25" s="476">
        <f>E25*F13</f>
        <v>0.30000000000000004</v>
      </c>
      <c r="G25" s="974">
        <v>0</v>
      </c>
      <c r="H25" s="974">
        <f t="shared" si="3"/>
        <v>0</v>
      </c>
      <c r="I25" s="974"/>
      <c r="J25" s="974"/>
      <c r="K25" s="974"/>
      <c r="L25" s="974"/>
      <c r="M25" s="974">
        <f t="shared" si="2"/>
        <v>0</v>
      </c>
    </row>
    <row r="26" spans="1:13" s="470" customFormat="1" ht="15">
      <c r="A26" s="278"/>
      <c r="B26" s="469"/>
      <c r="C26" s="475" t="s">
        <v>68</v>
      </c>
      <c r="D26" s="278" t="s">
        <v>69</v>
      </c>
      <c r="E26" s="278">
        <v>3.93</v>
      </c>
      <c r="F26" s="476">
        <f>E26*F13</f>
        <v>0.39300000000000002</v>
      </c>
      <c r="G26" s="974">
        <v>0</v>
      </c>
      <c r="H26" s="974">
        <f t="shared" si="3"/>
        <v>0</v>
      </c>
      <c r="I26" s="974"/>
      <c r="J26" s="974"/>
      <c r="K26" s="974"/>
      <c r="L26" s="974"/>
      <c r="M26" s="974">
        <f>L26+J26+H26</f>
        <v>0</v>
      </c>
    </row>
    <row r="27" spans="1:13" s="470" customFormat="1" ht="15">
      <c r="A27" s="471">
        <v>3</v>
      </c>
      <c r="B27" s="479" t="s">
        <v>607</v>
      </c>
      <c r="C27" s="483" t="s">
        <v>608</v>
      </c>
      <c r="D27" s="471" t="s">
        <v>585</v>
      </c>
      <c r="E27" s="471"/>
      <c r="F27" s="478">
        <v>2</v>
      </c>
      <c r="G27" s="975"/>
      <c r="H27" s="975"/>
      <c r="I27" s="975"/>
      <c r="J27" s="975"/>
      <c r="K27" s="975"/>
      <c r="L27" s="975"/>
      <c r="M27" s="975">
        <f>SUM(M28:M31)</f>
        <v>0</v>
      </c>
    </row>
    <row r="28" spans="1:13" s="470" customFormat="1" ht="15">
      <c r="A28" s="278"/>
      <c r="B28" s="474"/>
      <c r="C28" s="475" t="s">
        <v>58</v>
      </c>
      <c r="D28" s="278" t="s">
        <v>5</v>
      </c>
      <c r="E28" s="278">
        <v>1.51</v>
      </c>
      <c r="F28" s="476">
        <f>E28*F27</f>
        <v>3.02</v>
      </c>
      <c r="G28" s="974"/>
      <c r="H28" s="974"/>
      <c r="I28" s="974">
        <v>0</v>
      </c>
      <c r="J28" s="974">
        <f>I28*F28</f>
        <v>0</v>
      </c>
      <c r="K28" s="974"/>
      <c r="L28" s="974"/>
      <c r="M28" s="974">
        <f t="shared" ref="M28:M73" si="4">L28+J28+H28</f>
        <v>0</v>
      </c>
    </row>
    <row r="29" spans="1:13" s="470" customFormat="1" ht="15">
      <c r="A29" s="278"/>
      <c r="B29" s="481"/>
      <c r="C29" s="475" t="s">
        <v>64</v>
      </c>
      <c r="D29" s="278" t="s">
        <v>69</v>
      </c>
      <c r="E29" s="278">
        <v>0.13</v>
      </c>
      <c r="F29" s="476">
        <f>E29*F27</f>
        <v>0.26</v>
      </c>
      <c r="G29" s="974"/>
      <c r="H29" s="974"/>
      <c r="I29" s="974"/>
      <c r="J29" s="974"/>
      <c r="K29" s="974">
        <v>0</v>
      </c>
      <c r="L29" s="974">
        <f>F29*K29</f>
        <v>0</v>
      </c>
      <c r="M29" s="974">
        <f t="shared" si="4"/>
        <v>0</v>
      </c>
    </row>
    <row r="30" spans="1:13" s="470" customFormat="1" ht="15">
      <c r="A30" s="278"/>
      <c r="B30" s="481" t="s">
        <v>555</v>
      </c>
      <c r="C30" s="484" t="s">
        <v>609</v>
      </c>
      <c r="D30" s="278" t="s">
        <v>65</v>
      </c>
      <c r="E30" s="278">
        <v>1</v>
      </c>
      <c r="F30" s="476">
        <f>E30*F27</f>
        <v>2</v>
      </c>
      <c r="G30" s="974">
        <v>0</v>
      </c>
      <c r="H30" s="974">
        <f>F30*G30</f>
        <v>0</v>
      </c>
      <c r="I30" s="974"/>
      <c r="J30" s="974"/>
      <c r="K30" s="974"/>
      <c r="L30" s="974"/>
      <c r="M30" s="974">
        <f t="shared" si="4"/>
        <v>0</v>
      </c>
    </row>
    <row r="31" spans="1:13" s="470" customFormat="1" ht="15">
      <c r="A31" s="278"/>
      <c r="B31" s="469"/>
      <c r="C31" s="475" t="s">
        <v>68</v>
      </c>
      <c r="D31" s="278" t="s">
        <v>69</v>
      </c>
      <c r="E31" s="278">
        <v>7.0000000000000007E-2</v>
      </c>
      <c r="F31" s="476">
        <f>E31*F27</f>
        <v>0.14000000000000001</v>
      </c>
      <c r="G31" s="974">
        <v>0</v>
      </c>
      <c r="H31" s="974">
        <f>F31*G31</f>
        <v>0</v>
      </c>
      <c r="I31" s="974"/>
      <c r="J31" s="974"/>
      <c r="K31" s="974"/>
      <c r="L31" s="974"/>
      <c r="M31" s="974">
        <f t="shared" si="4"/>
        <v>0</v>
      </c>
    </row>
    <row r="32" spans="1:13" s="470" customFormat="1" ht="30">
      <c r="A32" s="471">
        <v>4</v>
      </c>
      <c r="B32" s="479" t="s">
        <v>610</v>
      </c>
      <c r="C32" s="480" t="s">
        <v>611</v>
      </c>
      <c r="D32" s="471" t="s">
        <v>589</v>
      </c>
      <c r="E32" s="471"/>
      <c r="F32" s="478">
        <v>0.2</v>
      </c>
      <c r="G32" s="975"/>
      <c r="H32" s="975"/>
      <c r="I32" s="975"/>
      <c r="J32" s="975"/>
      <c r="K32" s="975"/>
      <c r="L32" s="975"/>
      <c r="M32" s="975">
        <f>SUM(M33:M42)</f>
        <v>0</v>
      </c>
    </row>
    <row r="33" spans="1:144" s="470" customFormat="1" ht="15">
      <c r="A33" s="278"/>
      <c r="B33" s="474"/>
      <c r="C33" s="475" t="s">
        <v>58</v>
      </c>
      <c r="D33" s="278" t="s">
        <v>5</v>
      </c>
      <c r="E33" s="278">
        <v>156</v>
      </c>
      <c r="F33" s="476">
        <f>E33*F32</f>
        <v>31.200000000000003</v>
      </c>
      <c r="G33" s="974"/>
      <c r="H33" s="974"/>
      <c r="I33" s="974">
        <v>0</v>
      </c>
      <c r="J33" s="974">
        <f>I33*F33</f>
        <v>0</v>
      </c>
      <c r="K33" s="974"/>
      <c r="L33" s="974"/>
      <c r="M33" s="974">
        <f t="shared" si="4"/>
        <v>0</v>
      </c>
    </row>
    <row r="34" spans="1:144" s="485" customFormat="1" ht="15">
      <c r="A34" s="278"/>
      <c r="B34" s="481"/>
      <c r="C34" s="475" t="s">
        <v>64</v>
      </c>
      <c r="D34" s="278" t="s">
        <v>69</v>
      </c>
      <c r="E34" s="278">
        <v>2.17</v>
      </c>
      <c r="F34" s="476">
        <f>E34*F32</f>
        <v>0.434</v>
      </c>
      <c r="G34" s="974"/>
      <c r="H34" s="974"/>
      <c r="I34" s="974"/>
      <c r="J34" s="974"/>
      <c r="K34" s="974">
        <v>0</v>
      </c>
      <c r="L34" s="974">
        <f>F34*K34</f>
        <v>0</v>
      </c>
      <c r="M34" s="974">
        <f t="shared" si="4"/>
        <v>0</v>
      </c>
    </row>
    <row r="35" spans="1:144" s="485" customFormat="1" ht="15">
      <c r="A35" s="278"/>
      <c r="B35" s="282" t="s">
        <v>534</v>
      </c>
      <c r="C35" s="477" t="s">
        <v>612</v>
      </c>
      <c r="D35" s="278" t="s">
        <v>62</v>
      </c>
      <c r="E35" s="278">
        <v>100</v>
      </c>
      <c r="F35" s="476">
        <f>E35*F32</f>
        <v>20</v>
      </c>
      <c r="G35" s="974">
        <v>0</v>
      </c>
      <c r="H35" s="974">
        <f t="shared" ref="H35:H42" si="5">F35*G35</f>
        <v>0</v>
      </c>
      <c r="I35" s="974"/>
      <c r="J35" s="974"/>
      <c r="K35" s="974"/>
      <c r="L35" s="974"/>
      <c r="M35" s="974">
        <f t="shared" si="4"/>
        <v>0</v>
      </c>
    </row>
    <row r="36" spans="1:144" s="485" customFormat="1" ht="15">
      <c r="A36" s="278"/>
      <c r="B36" s="481" t="s">
        <v>613</v>
      </c>
      <c r="C36" s="486" t="s">
        <v>614</v>
      </c>
      <c r="D36" s="278" t="s">
        <v>65</v>
      </c>
      <c r="E36" s="278">
        <v>16</v>
      </c>
      <c r="F36" s="476">
        <f>E36*F32</f>
        <v>3.2</v>
      </c>
      <c r="G36" s="974">
        <v>0</v>
      </c>
      <c r="H36" s="974">
        <f t="shared" si="5"/>
        <v>0</v>
      </c>
      <c r="I36" s="974"/>
      <c r="J36" s="974"/>
      <c r="K36" s="974"/>
      <c r="L36" s="974"/>
      <c r="M36" s="974">
        <f t="shared" si="4"/>
        <v>0</v>
      </c>
    </row>
    <row r="37" spans="1:144" s="485" customFormat="1" ht="15">
      <c r="A37" s="278"/>
      <c r="B37" s="481" t="s">
        <v>615</v>
      </c>
      <c r="C37" s="486" t="s">
        <v>616</v>
      </c>
      <c r="D37" s="278" t="s">
        <v>65</v>
      </c>
      <c r="E37" s="278" t="s">
        <v>353</v>
      </c>
      <c r="F37" s="476">
        <v>6</v>
      </c>
      <c r="G37" s="974">
        <v>0</v>
      </c>
      <c r="H37" s="974">
        <f t="shared" si="5"/>
        <v>0</v>
      </c>
      <c r="I37" s="974"/>
      <c r="J37" s="974"/>
      <c r="K37" s="974"/>
      <c r="L37" s="974"/>
      <c r="M37" s="974">
        <f t="shared" si="4"/>
        <v>0</v>
      </c>
    </row>
    <row r="38" spans="1:144" s="485" customFormat="1" ht="15">
      <c r="A38" s="278"/>
      <c r="B38" s="481" t="s">
        <v>598</v>
      </c>
      <c r="C38" s="486" t="s">
        <v>617</v>
      </c>
      <c r="D38" s="278" t="s">
        <v>65</v>
      </c>
      <c r="E38" s="278" t="s">
        <v>353</v>
      </c>
      <c r="F38" s="476">
        <v>8</v>
      </c>
      <c r="G38" s="974">
        <v>0</v>
      </c>
      <c r="H38" s="974">
        <f t="shared" si="5"/>
        <v>0</v>
      </c>
      <c r="I38" s="974"/>
      <c r="J38" s="974"/>
      <c r="K38" s="974"/>
      <c r="L38" s="974"/>
      <c r="M38" s="974">
        <f t="shared" si="4"/>
        <v>0</v>
      </c>
    </row>
    <row r="39" spans="1:144" s="485" customFormat="1" ht="15">
      <c r="A39" s="278"/>
      <c r="B39" s="481" t="s">
        <v>618</v>
      </c>
      <c r="C39" s="486" t="s">
        <v>619</v>
      </c>
      <c r="D39" s="278" t="s">
        <v>65</v>
      </c>
      <c r="E39" s="278" t="s">
        <v>353</v>
      </c>
      <c r="F39" s="476">
        <v>4</v>
      </c>
      <c r="G39" s="974">
        <v>0</v>
      </c>
      <c r="H39" s="974">
        <f t="shared" si="5"/>
        <v>0</v>
      </c>
      <c r="I39" s="974"/>
      <c r="J39" s="974"/>
      <c r="K39" s="974"/>
      <c r="L39" s="974"/>
      <c r="M39" s="974">
        <f t="shared" si="4"/>
        <v>0</v>
      </c>
    </row>
    <row r="40" spans="1:144" s="485" customFormat="1" ht="15">
      <c r="A40" s="278"/>
      <c r="B40" s="481" t="s">
        <v>620</v>
      </c>
      <c r="C40" s="486" t="s">
        <v>621</v>
      </c>
      <c r="D40" s="278" t="s">
        <v>65</v>
      </c>
      <c r="E40" s="278">
        <v>4</v>
      </c>
      <c r="F40" s="476">
        <f>E40*F32</f>
        <v>0.8</v>
      </c>
      <c r="G40" s="974">
        <v>0</v>
      </c>
      <c r="H40" s="974">
        <f t="shared" si="5"/>
        <v>0</v>
      </c>
      <c r="I40" s="974"/>
      <c r="J40" s="974"/>
      <c r="K40" s="974"/>
      <c r="L40" s="974"/>
      <c r="M40" s="974">
        <f t="shared" si="4"/>
        <v>0</v>
      </c>
    </row>
    <row r="41" spans="1:144" s="485" customFormat="1" ht="15">
      <c r="A41" s="278"/>
      <c r="B41" s="481" t="s">
        <v>620</v>
      </c>
      <c r="C41" s="487" t="s">
        <v>622</v>
      </c>
      <c r="D41" s="278" t="s">
        <v>65</v>
      </c>
      <c r="E41" s="278">
        <v>2</v>
      </c>
      <c r="F41" s="476">
        <f>E41*F32</f>
        <v>0.4</v>
      </c>
      <c r="G41" s="974">
        <v>0</v>
      </c>
      <c r="H41" s="974">
        <f t="shared" si="5"/>
        <v>0</v>
      </c>
      <c r="I41" s="974"/>
      <c r="J41" s="974"/>
      <c r="K41" s="974"/>
      <c r="L41" s="974"/>
      <c r="M41" s="974">
        <f t="shared" si="4"/>
        <v>0</v>
      </c>
    </row>
    <row r="42" spans="1:144" s="470" customFormat="1" ht="15">
      <c r="A42" s="278"/>
      <c r="B42" s="469"/>
      <c r="C42" s="475" t="s">
        <v>68</v>
      </c>
      <c r="D42" s="278" t="s">
        <v>69</v>
      </c>
      <c r="E42" s="278">
        <v>7.08</v>
      </c>
      <c r="F42" s="476">
        <f>E42*F32</f>
        <v>1.4160000000000001</v>
      </c>
      <c r="G42" s="974">
        <v>0</v>
      </c>
      <c r="H42" s="974">
        <f t="shared" si="5"/>
        <v>0</v>
      </c>
      <c r="I42" s="974"/>
      <c r="J42" s="974"/>
      <c r="K42" s="974"/>
      <c r="L42" s="974"/>
      <c r="M42" s="974">
        <f t="shared" si="4"/>
        <v>0</v>
      </c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8"/>
      <c r="CI42" s="488"/>
      <c r="CJ42" s="488"/>
      <c r="CK42" s="488"/>
      <c r="CL42" s="488"/>
      <c r="CM42" s="488"/>
      <c r="CN42" s="488"/>
      <c r="CO42" s="488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8"/>
      <c r="DP42" s="488"/>
      <c r="DQ42" s="488"/>
      <c r="DR42" s="488"/>
      <c r="DS42" s="488"/>
      <c r="DT42" s="488"/>
      <c r="DU42" s="488"/>
      <c r="DV42" s="488"/>
      <c r="DW42" s="488"/>
      <c r="DX42" s="488"/>
      <c r="DY42" s="488"/>
      <c r="DZ42" s="488"/>
      <c r="EA42" s="488"/>
      <c r="EB42" s="488"/>
      <c r="EC42" s="488"/>
      <c r="ED42" s="488"/>
      <c r="EE42" s="488"/>
      <c r="EF42" s="488"/>
      <c r="EG42" s="488"/>
      <c r="EH42" s="488"/>
      <c r="EI42" s="488"/>
      <c r="EJ42" s="488"/>
      <c r="EK42" s="488"/>
      <c r="EL42" s="488"/>
      <c r="EM42" s="488"/>
      <c r="EN42" s="488"/>
    </row>
    <row r="43" spans="1:144" s="470" customFormat="1" ht="15">
      <c r="A43" s="471">
        <v>5</v>
      </c>
      <c r="B43" s="479" t="s">
        <v>623</v>
      </c>
      <c r="C43" s="483" t="s">
        <v>624</v>
      </c>
      <c r="D43" s="471" t="s">
        <v>585</v>
      </c>
      <c r="E43" s="471"/>
      <c r="F43" s="478">
        <v>4</v>
      </c>
      <c r="G43" s="975"/>
      <c r="H43" s="975"/>
      <c r="I43" s="975"/>
      <c r="J43" s="975"/>
      <c r="K43" s="975"/>
      <c r="L43" s="975"/>
      <c r="M43" s="975">
        <f>SUM(M44:M47)</f>
        <v>0</v>
      </c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89"/>
      <c r="CN43" s="489"/>
      <c r="CO43" s="489"/>
      <c r="CP43" s="489"/>
      <c r="CQ43" s="489"/>
      <c r="CR43" s="489"/>
      <c r="CS43" s="489"/>
      <c r="CT43" s="489"/>
      <c r="CU43" s="489"/>
      <c r="CV43" s="489"/>
      <c r="CW43" s="489"/>
      <c r="CX43" s="489"/>
      <c r="CY43" s="489"/>
      <c r="CZ43" s="489"/>
      <c r="DA43" s="489"/>
      <c r="DB43" s="489"/>
      <c r="DC43" s="489"/>
      <c r="DD43" s="489"/>
      <c r="DE43" s="489"/>
      <c r="DF43" s="489"/>
      <c r="DG43" s="489"/>
      <c r="DH43" s="489"/>
      <c r="DI43" s="489"/>
      <c r="DJ43" s="489"/>
      <c r="DK43" s="489"/>
      <c r="DL43" s="489"/>
      <c r="DM43" s="489"/>
      <c r="DN43" s="489"/>
      <c r="DO43" s="489"/>
      <c r="DP43" s="489"/>
      <c r="DQ43" s="489"/>
      <c r="DR43" s="489"/>
      <c r="DS43" s="489"/>
      <c r="DT43" s="489"/>
      <c r="DU43" s="489"/>
      <c r="DV43" s="489"/>
      <c r="DW43" s="489"/>
      <c r="DX43" s="489"/>
      <c r="DY43" s="489"/>
      <c r="DZ43" s="489"/>
      <c r="EA43" s="489"/>
      <c r="EB43" s="489"/>
      <c r="EC43" s="489"/>
      <c r="ED43" s="489"/>
      <c r="EE43" s="489"/>
      <c r="EF43" s="489"/>
      <c r="EG43" s="489"/>
      <c r="EH43" s="489"/>
      <c r="EI43" s="489"/>
      <c r="EJ43" s="489"/>
      <c r="EK43" s="489"/>
      <c r="EL43" s="489"/>
      <c r="EM43" s="489"/>
      <c r="EN43" s="489"/>
    </row>
    <row r="44" spans="1:144" s="470" customFormat="1" ht="15">
      <c r="A44" s="278"/>
      <c r="B44" s="474"/>
      <c r="C44" s="475" t="s">
        <v>58</v>
      </c>
      <c r="D44" s="278" t="s">
        <v>5</v>
      </c>
      <c r="E44" s="278">
        <v>1.51</v>
      </c>
      <c r="F44" s="476">
        <f>E44*F43</f>
        <v>6.04</v>
      </c>
      <c r="G44" s="974"/>
      <c r="H44" s="974"/>
      <c r="I44" s="974">
        <v>0</v>
      </c>
      <c r="J44" s="974">
        <f>I44*F44</f>
        <v>0</v>
      </c>
      <c r="K44" s="974"/>
      <c r="L44" s="974"/>
      <c r="M44" s="974">
        <f t="shared" si="4"/>
        <v>0</v>
      </c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8"/>
      <c r="CM44" s="488"/>
      <c r="CN44" s="488"/>
      <c r="CO44" s="488"/>
      <c r="CP44" s="488"/>
      <c r="CQ44" s="488"/>
      <c r="CR44" s="488"/>
      <c r="CS44" s="488"/>
      <c r="CT44" s="488"/>
      <c r="CU44" s="488"/>
      <c r="CV44" s="488"/>
      <c r="CW44" s="488"/>
      <c r="CX44" s="488"/>
      <c r="CY44" s="488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J44" s="488"/>
      <c r="DK44" s="488"/>
      <c r="DL44" s="488"/>
      <c r="DM44" s="488"/>
      <c r="DN44" s="488"/>
      <c r="DO44" s="488"/>
      <c r="DP44" s="488"/>
      <c r="DQ44" s="488"/>
      <c r="DR44" s="488"/>
      <c r="DS44" s="488"/>
      <c r="DT44" s="488"/>
      <c r="DU44" s="488"/>
      <c r="DV44" s="488"/>
      <c r="DW44" s="488"/>
      <c r="DX44" s="488"/>
      <c r="DY44" s="488"/>
      <c r="DZ44" s="488"/>
      <c r="EA44" s="488"/>
      <c r="EB44" s="488"/>
      <c r="EC44" s="488"/>
      <c r="ED44" s="488"/>
      <c r="EE44" s="488"/>
      <c r="EF44" s="488"/>
      <c r="EG44" s="488"/>
      <c r="EH44" s="488"/>
      <c r="EI44" s="488"/>
      <c r="EJ44" s="488"/>
      <c r="EK44" s="488"/>
      <c r="EL44" s="488"/>
      <c r="EM44" s="488"/>
      <c r="EN44" s="488"/>
    </row>
    <row r="45" spans="1:144" s="470" customFormat="1" ht="15">
      <c r="A45" s="278"/>
      <c r="B45" s="481"/>
      <c r="C45" s="475" t="s">
        <v>64</v>
      </c>
      <c r="D45" s="278" t="s">
        <v>69</v>
      </c>
      <c r="E45" s="278">
        <v>0.13</v>
      </c>
      <c r="F45" s="476">
        <f>E45*F43</f>
        <v>0.52</v>
      </c>
      <c r="G45" s="974"/>
      <c r="H45" s="974"/>
      <c r="I45" s="974"/>
      <c r="J45" s="974"/>
      <c r="K45" s="974">
        <v>0</v>
      </c>
      <c r="L45" s="974">
        <f>F45*K45</f>
        <v>0</v>
      </c>
      <c r="M45" s="974">
        <f t="shared" si="4"/>
        <v>0</v>
      </c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8"/>
      <c r="CI45" s="488"/>
      <c r="CJ45" s="488"/>
      <c r="CK45" s="488"/>
      <c r="CL45" s="488"/>
      <c r="CM45" s="488"/>
      <c r="CN45" s="488"/>
      <c r="CO45" s="488"/>
      <c r="CP45" s="488"/>
      <c r="CQ45" s="488"/>
      <c r="CR45" s="488"/>
      <c r="CS45" s="488"/>
      <c r="CT45" s="488"/>
      <c r="CU45" s="488"/>
      <c r="CV45" s="488"/>
      <c r="CW45" s="488"/>
      <c r="CX45" s="488"/>
      <c r="CY45" s="488"/>
      <c r="CZ45" s="488"/>
      <c r="DA45" s="488"/>
      <c r="DB45" s="488"/>
      <c r="DC45" s="488"/>
      <c r="DD45" s="488"/>
      <c r="DE45" s="488"/>
      <c r="DF45" s="488"/>
      <c r="DG45" s="488"/>
      <c r="DH45" s="488"/>
      <c r="DI45" s="488"/>
      <c r="DJ45" s="488"/>
      <c r="DK45" s="488"/>
      <c r="DL45" s="488"/>
      <c r="DM45" s="488"/>
      <c r="DN45" s="488"/>
      <c r="DO45" s="488"/>
      <c r="DP45" s="488"/>
      <c r="DQ45" s="488"/>
      <c r="DR45" s="488"/>
      <c r="DS45" s="488"/>
      <c r="DT45" s="488"/>
      <c r="DU45" s="488"/>
      <c r="DV45" s="488"/>
      <c r="DW45" s="488"/>
      <c r="DX45" s="488"/>
      <c r="DY45" s="488"/>
      <c r="DZ45" s="488"/>
      <c r="EA45" s="488"/>
      <c r="EB45" s="488"/>
      <c r="EC45" s="488"/>
      <c r="ED45" s="488"/>
      <c r="EE45" s="488"/>
      <c r="EF45" s="488"/>
      <c r="EG45" s="488"/>
      <c r="EH45" s="488"/>
      <c r="EI45" s="488"/>
      <c r="EJ45" s="488"/>
      <c r="EK45" s="488"/>
      <c r="EL45" s="488"/>
      <c r="EM45" s="488"/>
      <c r="EN45" s="488"/>
    </row>
    <row r="46" spans="1:144" s="470" customFormat="1" ht="15">
      <c r="A46" s="278"/>
      <c r="B46" s="481" t="s">
        <v>555</v>
      </c>
      <c r="C46" s="484" t="s">
        <v>625</v>
      </c>
      <c r="D46" s="278" t="s">
        <v>65</v>
      </c>
      <c r="E46" s="278">
        <v>1</v>
      </c>
      <c r="F46" s="476">
        <f>E46*F43</f>
        <v>4</v>
      </c>
      <c r="G46" s="974">
        <v>0</v>
      </c>
      <c r="H46" s="974">
        <f>F46*G46</f>
        <v>0</v>
      </c>
      <c r="I46" s="974"/>
      <c r="J46" s="974"/>
      <c r="K46" s="974"/>
      <c r="L46" s="974"/>
      <c r="M46" s="974">
        <f t="shared" si="4"/>
        <v>0</v>
      </c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488"/>
      <c r="CB46" s="488"/>
      <c r="CC46" s="488"/>
      <c r="CD46" s="488"/>
      <c r="CE46" s="488"/>
      <c r="CF46" s="488"/>
      <c r="CG46" s="488"/>
      <c r="CH46" s="488"/>
      <c r="CI46" s="488"/>
      <c r="CJ46" s="488"/>
      <c r="CK46" s="488"/>
      <c r="CL46" s="488"/>
      <c r="CM46" s="488"/>
      <c r="CN46" s="488"/>
      <c r="CO46" s="488"/>
      <c r="CP46" s="488"/>
      <c r="CQ46" s="488"/>
      <c r="CR46" s="488"/>
      <c r="CS46" s="488"/>
      <c r="CT46" s="488"/>
      <c r="CU46" s="488"/>
      <c r="CV46" s="488"/>
      <c r="CW46" s="488"/>
      <c r="CX46" s="488"/>
      <c r="CY46" s="488"/>
      <c r="CZ46" s="488"/>
      <c r="DA46" s="488"/>
      <c r="DB46" s="488"/>
      <c r="DC46" s="488"/>
      <c r="DD46" s="488"/>
      <c r="DE46" s="488"/>
      <c r="DF46" s="488"/>
      <c r="DG46" s="488"/>
      <c r="DH46" s="488"/>
      <c r="DI46" s="488"/>
      <c r="DJ46" s="488"/>
      <c r="DK46" s="488"/>
      <c r="DL46" s="488"/>
      <c r="DM46" s="488"/>
      <c r="DN46" s="488"/>
      <c r="DO46" s="488"/>
      <c r="DP46" s="488"/>
      <c r="DQ46" s="488"/>
      <c r="DR46" s="488"/>
      <c r="DS46" s="488"/>
      <c r="DT46" s="488"/>
      <c r="DU46" s="488"/>
      <c r="DV46" s="488"/>
      <c r="DW46" s="488"/>
      <c r="DX46" s="488"/>
      <c r="DY46" s="488"/>
      <c r="DZ46" s="488"/>
      <c r="EA46" s="488"/>
      <c r="EB46" s="488"/>
      <c r="EC46" s="488"/>
      <c r="ED46" s="488"/>
      <c r="EE46" s="488"/>
      <c r="EF46" s="488"/>
      <c r="EG46" s="488"/>
      <c r="EH46" s="488"/>
      <c r="EI46" s="488"/>
      <c r="EJ46" s="488"/>
      <c r="EK46" s="488"/>
      <c r="EL46" s="488"/>
      <c r="EM46" s="488"/>
      <c r="EN46" s="488"/>
    </row>
    <row r="47" spans="1:144" s="470" customFormat="1" ht="15">
      <c r="A47" s="278"/>
      <c r="B47" s="469"/>
      <c r="C47" s="475" t="s">
        <v>68</v>
      </c>
      <c r="D47" s="278" t="s">
        <v>69</v>
      </c>
      <c r="E47" s="278">
        <v>7.0000000000000007E-2</v>
      </c>
      <c r="F47" s="476">
        <f>E47*F43</f>
        <v>0.28000000000000003</v>
      </c>
      <c r="G47" s="974">
        <v>0</v>
      </c>
      <c r="H47" s="974">
        <f>F47*G47</f>
        <v>0</v>
      </c>
      <c r="I47" s="974"/>
      <c r="J47" s="974"/>
      <c r="K47" s="974"/>
      <c r="L47" s="974"/>
      <c r="M47" s="974">
        <f t="shared" si="4"/>
        <v>0</v>
      </c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8"/>
      <c r="CN47" s="488"/>
      <c r="CO47" s="488"/>
      <c r="CP47" s="488"/>
      <c r="CQ47" s="488"/>
      <c r="CR47" s="488"/>
      <c r="CS47" s="488"/>
      <c r="CT47" s="488"/>
      <c r="CU47" s="488"/>
      <c r="CV47" s="488"/>
      <c r="CW47" s="488"/>
      <c r="CX47" s="488"/>
      <c r="CY47" s="488"/>
      <c r="CZ47" s="488"/>
      <c r="DA47" s="488"/>
      <c r="DB47" s="488"/>
      <c r="DC47" s="488"/>
      <c r="DD47" s="488"/>
      <c r="DE47" s="488"/>
      <c r="DF47" s="488"/>
      <c r="DG47" s="488"/>
      <c r="DH47" s="488"/>
      <c r="DI47" s="488"/>
      <c r="DJ47" s="488"/>
      <c r="DK47" s="488"/>
      <c r="DL47" s="488"/>
      <c r="DM47" s="488"/>
      <c r="DN47" s="488"/>
      <c r="DO47" s="488"/>
      <c r="DP47" s="488"/>
      <c r="DQ47" s="488"/>
      <c r="DR47" s="488"/>
      <c r="DS47" s="488"/>
      <c r="DT47" s="488"/>
      <c r="DU47" s="488"/>
      <c r="DV47" s="488"/>
      <c r="DW47" s="488"/>
      <c r="DX47" s="488"/>
      <c r="DY47" s="488"/>
      <c r="DZ47" s="488"/>
      <c r="EA47" s="488"/>
      <c r="EB47" s="488"/>
      <c r="EC47" s="488"/>
      <c r="ED47" s="488"/>
      <c r="EE47" s="488"/>
      <c r="EF47" s="488"/>
      <c r="EG47" s="488"/>
      <c r="EH47" s="488"/>
      <c r="EI47" s="488"/>
      <c r="EJ47" s="488"/>
      <c r="EK47" s="488"/>
      <c r="EL47" s="488"/>
      <c r="EM47" s="488"/>
      <c r="EN47" s="488"/>
    </row>
    <row r="48" spans="1:144" s="470" customFormat="1" ht="15">
      <c r="A48" s="471">
        <v>6</v>
      </c>
      <c r="B48" s="479" t="s">
        <v>607</v>
      </c>
      <c r="C48" s="483" t="s">
        <v>626</v>
      </c>
      <c r="D48" s="471" t="s">
        <v>585</v>
      </c>
      <c r="E48" s="471"/>
      <c r="F48" s="478">
        <v>4</v>
      </c>
      <c r="G48" s="975"/>
      <c r="H48" s="975"/>
      <c r="I48" s="975"/>
      <c r="J48" s="975"/>
      <c r="K48" s="975"/>
      <c r="L48" s="975"/>
      <c r="M48" s="975">
        <f>SUM(M49:M52)</f>
        <v>0</v>
      </c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89"/>
      <c r="CX48" s="489"/>
      <c r="CY48" s="489"/>
      <c r="CZ48" s="489"/>
      <c r="DA48" s="489"/>
      <c r="DB48" s="489"/>
      <c r="DC48" s="489"/>
      <c r="DD48" s="489"/>
      <c r="DE48" s="489"/>
      <c r="DF48" s="489"/>
      <c r="DG48" s="489"/>
      <c r="DH48" s="489"/>
      <c r="DI48" s="489"/>
      <c r="DJ48" s="489"/>
      <c r="DK48" s="489"/>
      <c r="DL48" s="489"/>
      <c r="DM48" s="489"/>
      <c r="DN48" s="489"/>
      <c r="DO48" s="489"/>
      <c r="DP48" s="489"/>
      <c r="DQ48" s="489"/>
      <c r="DR48" s="489"/>
      <c r="DS48" s="489"/>
      <c r="DT48" s="489"/>
      <c r="DU48" s="489"/>
      <c r="DV48" s="489"/>
      <c r="DW48" s="489"/>
      <c r="DX48" s="489"/>
      <c r="DY48" s="489"/>
      <c r="DZ48" s="489"/>
      <c r="EA48" s="489"/>
      <c r="EB48" s="489"/>
      <c r="EC48" s="489"/>
      <c r="ED48" s="489"/>
      <c r="EE48" s="489"/>
      <c r="EF48" s="489"/>
      <c r="EG48" s="489"/>
      <c r="EH48" s="489"/>
      <c r="EI48" s="489"/>
      <c r="EJ48" s="489"/>
      <c r="EK48" s="489"/>
      <c r="EL48" s="489"/>
      <c r="EM48" s="489"/>
      <c r="EN48" s="489"/>
    </row>
    <row r="49" spans="1:144" s="470" customFormat="1" ht="15">
      <c r="A49" s="278"/>
      <c r="B49" s="474"/>
      <c r="C49" s="475" t="s">
        <v>58</v>
      </c>
      <c r="D49" s="278" t="s">
        <v>5</v>
      </c>
      <c r="E49" s="278">
        <v>1.51</v>
      </c>
      <c r="F49" s="476">
        <f>E49*F48</f>
        <v>6.04</v>
      </c>
      <c r="G49" s="974"/>
      <c r="H49" s="974"/>
      <c r="I49" s="974">
        <v>0</v>
      </c>
      <c r="J49" s="974">
        <f>I49*F49</f>
        <v>0</v>
      </c>
      <c r="K49" s="974"/>
      <c r="L49" s="974"/>
      <c r="M49" s="974">
        <f t="shared" si="4"/>
        <v>0</v>
      </c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8"/>
      <c r="CI49" s="488"/>
      <c r="CJ49" s="488"/>
      <c r="CK49" s="488"/>
      <c r="CL49" s="488"/>
      <c r="CM49" s="488"/>
      <c r="CN49" s="488"/>
      <c r="CO49" s="488"/>
      <c r="CP49" s="488"/>
      <c r="CQ49" s="488"/>
      <c r="CR49" s="488"/>
      <c r="CS49" s="488"/>
      <c r="CT49" s="488"/>
      <c r="CU49" s="488"/>
      <c r="CV49" s="488"/>
      <c r="CW49" s="488"/>
      <c r="CX49" s="488"/>
      <c r="CY49" s="488"/>
      <c r="CZ49" s="488"/>
      <c r="DA49" s="488"/>
      <c r="DB49" s="488"/>
      <c r="DC49" s="488"/>
      <c r="DD49" s="488"/>
      <c r="DE49" s="488"/>
      <c r="DF49" s="488"/>
      <c r="DG49" s="488"/>
      <c r="DH49" s="488"/>
      <c r="DI49" s="488"/>
      <c r="DJ49" s="488"/>
      <c r="DK49" s="488"/>
      <c r="DL49" s="488"/>
      <c r="DM49" s="488"/>
      <c r="DN49" s="488"/>
      <c r="DO49" s="488"/>
      <c r="DP49" s="488"/>
      <c r="DQ49" s="488"/>
      <c r="DR49" s="488"/>
      <c r="DS49" s="488"/>
      <c r="DT49" s="488"/>
      <c r="DU49" s="488"/>
      <c r="DV49" s="488"/>
      <c r="DW49" s="488"/>
      <c r="DX49" s="488"/>
      <c r="DY49" s="488"/>
      <c r="DZ49" s="488"/>
      <c r="EA49" s="488"/>
      <c r="EB49" s="488"/>
      <c r="EC49" s="488"/>
      <c r="ED49" s="488"/>
      <c r="EE49" s="488"/>
      <c r="EF49" s="488"/>
      <c r="EG49" s="488"/>
      <c r="EH49" s="488"/>
      <c r="EI49" s="488"/>
      <c r="EJ49" s="488"/>
      <c r="EK49" s="488"/>
      <c r="EL49" s="488"/>
      <c r="EM49" s="488"/>
      <c r="EN49" s="488"/>
    </row>
    <row r="50" spans="1:144" s="470" customFormat="1" ht="15">
      <c r="A50" s="278"/>
      <c r="B50" s="481"/>
      <c r="C50" s="475" t="s">
        <v>64</v>
      </c>
      <c r="D50" s="278" t="s">
        <v>69</v>
      </c>
      <c r="E50" s="278">
        <v>0.13</v>
      </c>
      <c r="F50" s="476">
        <f>E50*F48</f>
        <v>0.52</v>
      </c>
      <c r="G50" s="974"/>
      <c r="H50" s="974"/>
      <c r="I50" s="974"/>
      <c r="J50" s="974"/>
      <c r="K50" s="974">
        <v>0</v>
      </c>
      <c r="L50" s="974">
        <f>F50*K50</f>
        <v>0</v>
      </c>
      <c r="M50" s="974">
        <f t="shared" si="4"/>
        <v>0</v>
      </c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8"/>
      <c r="CL50" s="488"/>
      <c r="CM50" s="488"/>
      <c r="CN50" s="488"/>
      <c r="CO50" s="488"/>
      <c r="CP50" s="488"/>
      <c r="CQ50" s="488"/>
      <c r="CR50" s="488"/>
      <c r="CS50" s="488"/>
      <c r="CT50" s="488"/>
      <c r="CU50" s="488"/>
      <c r="CV50" s="488"/>
      <c r="CW50" s="488"/>
      <c r="CX50" s="488"/>
      <c r="CY50" s="488"/>
      <c r="CZ50" s="488"/>
      <c r="DA50" s="488"/>
      <c r="DB50" s="488"/>
      <c r="DC50" s="488"/>
      <c r="DD50" s="488"/>
      <c r="DE50" s="488"/>
      <c r="DF50" s="488"/>
      <c r="DG50" s="488"/>
      <c r="DH50" s="488"/>
      <c r="DI50" s="488"/>
      <c r="DJ50" s="488"/>
      <c r="DK50" s="488"/>
      <c r="DL50" s="488"/>
      <c r="DM50" s="488"/>
      <c r="DN50" s="488"/>
      <c r="DO50" s="488"/>
      <c r="DP50" s="488"/>
      <c r="DQ50" s="488"/>
      <c r="DR50" s="488"/>
      <c r="DS50" s="488"/>
      <c r="DT50" s="488"/>
      <c r="DU50" s="488"/>
      <c r="DV50" s="488"/>
      <c r="DW50" s="488"/>
      <c r="DX50" s="488"/>
      <c r="DY50" s="488"/>
      <c r="DZ50" s="488"/>
      <c r="EA50" s="488"/>
      <c r="EB50" s="488"/>
      <c r="EC50" s="488"/>
      <c r="ED50" s="488"/>
      <c r="EE50" s="488"/>
      <c r="EF50" s="488"/>
      <c r="EG50" s="488"/>
      <c r="EH50" s="488"/>
      <c r="EI50" s="488"/>
      <c r="EJ50" s="488"/>
      <c r="EK50" s="488"/>
      <c r="EL50" s="488"/>
      <c r="EM50" s="488"/>
      <c r="EN50" s="488"/>
    </row>
    <row r="51" spans="1:144" s="470" customFormat="1" ht="15">
      <c r="A51" s="278"/>
      <c r="B51" s="481" t="s">
        <v>555</v>
      </c>
      <c r="C51" s="484" t="s">
        <v>627</v>
      </c>
      <c r="D51" s="278" t="s">
        <v>65</v>
      </c>
      <c r="E51" s="278">
        <v>1</v>
      </c>
      <c r="F51" s="476">
        <f>E51*F48</f>
        <v>4</v>
      </c>
      <c r="G51" s="974">
        <v>0</v>
      </c>
      <c r="H51" s="974">
        <f>F51*G51</f>
        <v>0</v>
      </c>
      <c r="I51" s="974"/>
      <c r="J51" s="974"/>
      <c r="K51" s="974"/>
      <c r="L51" s="974"/>
      <c r="M51" s="974">
        <f t="shared" si="4"/>
        <v>0</v>
      </c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488"/>
      <c r="BQ51" s="488"/>
      <c r="BR51" s="488"/>
      <c r="BS51" s="488"/>
      <c r="BT51" s="488"/>
      <c r="BU51" s="488"/>
      <c r="BV51" s="488"/>
      <c r="BW51" s="488"/>
      <c r="BX51" s="488"/>
      <c r="BY51" s="488"/>
      <c r="BZ51" s="488"/>
      <c r="CA51" s="488"/>
      <c r="CB51" s="488"/>
      <c r="CC51" s="488"/>
      <c r="CD51" s="488"/>
      <c r="CE51" s="488"/>
      <c r="CF51" s="488"/>
      <c r="CG51" s="488"/>
      <c r="CH51" s="488"/>
      <c r="CI51" s="488"/>
      <c r="CJ51" s="488"/>
      <c r="CK51" s="488"/>
      <c r="CL51" s="488"/>
      <c r="CM51" s="488"/>
      <c r="CN51" s="488"/>
      <c r="CO51" s="488"/>
      <c r="CP51" s="488"/>
      <c r="CQ51" s="488"/>
      <c r="CR51" s="488"/>
      <c r="CS51" s="488"/>
      <c r="CT51" s="488"/>
      <c r="CU51" s="488"/>
      <c r="CV51" s="488"/>
      <c r="CW51" s="488"/>
      <c r="CX51" s="488"/>
      <c r="CY51" s="488"/>
      <c r="CZ51" s="488"/>
      <c r="DA51" s="488"/>
      <c r="DB51" s="488"/>
      <c r="DC51" s="488"/>
      <c r="DD51" s="488"/>
      <c r="DE51" s="488"/>
      <c r="DF51" s="488"/>
      <c r="DG51" s="488"/>
      <c r="DH51" s="488"/>
      <c r="DI51" s="488"/>
      <c r="DJ51" s="488"/>
      <c r="DK51" s="488"/>
      <c r="DL51" s="488"/>
      <c r="DM51" s="488"/>
      <c r="DN51" s="488"/>
      <c r="DO51" s="488"/>
      <c r="DP51" s="488"/>
      <c r="DQ51" s="488"/>
      <c r="DR51" s="488"/>
      <c r="DS51" s="488"/>
      <c r="DT51" s="488"/>
      <c r="DU51" s="488"/>
      <c r="DV51" s="488"/>
      <c r="DW51" s="488"/>
      <c r="DX51" s="488"/>
      <c r="DY51" s="488"/>
      <c r="DZ51" s="488"/>
      <c r="EA51" s="488"/>
      <c r="EB51" s="488"/>
      <c r="EC51" s="488"/>
      <c r="ED51" s="488"/>
      <c r="EE51" s="488"/>
      <c r="EF51" s="488"/>
      <c r="EG51" s="488"/>
      <c r="EH51" s="488"/>
      <c r="EI51" s="488"/>
      <c r="EJ51" s="488"/>
      <c r="EK51" s="488"/>
      <c r="EL51" s="488"/>
      <c r="EM51" s="488"/>
      <c r="EN51" s="488"/>
    </row>
    <row r="52" spans="1:144" s="470" customFormat="1" ht="15">
      <c r="A52" s="278"/>
      <c r="B52" s="469"/>
      <c r="C52" s="475" t="s">
        <v>68</v>
      </c>
      <c r="D52" s="278" t="s">
        <v>69</v>
      </c>
      <c r="E52" s="278">
        <v>7.0000000000000007E-2</v>
      </c>
      <c r="F52" s="476">
        <f>E52*F48</f>
        <v>0.28000000000000003</v>
      </c>
      <c r="G52" s="974">
        <v>0</v>
      </c>
      <c r="H52" s="974">
        <f>F52*G52</f>
        <v>0</v>
      </c>
      <c r="I52" s="974"/>
      <c r="J52" s="974"/>
      <c r="K52" s="974"/>
      <c r="L52" s="974"/>
      <c r="M52" s="974">
        <f t="shared" si="4"/>
        <v>0</v>
      </c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8"/>
      <c r="BZ52" s="488"/>
      <c r="CA52" s="488"/>
      <c r="CB52" s="488"/>
      <c r="CC52" s="488"/>
      <c r="CD52" s="488"/>
      <c r="CE52" s="488"/>
      <c r="CF52" s="488"/>
      <c r="CG52" s="488"/>
      <c r="CH52" s="488"/>
      <c r="CI52" s="488"/>
      <c r="CJ52" s="488"/>
      <c r="CK52" s="488"/>
      <c r="CL52" s="488"/>
      <c r="CM52" s="488"/>
      <c r="CN52" s="488"/>
      <c r="CO52" s="488"/>
      <c r="CP52" s="488"/>
      <c r="CQ52" s="488"/>
      <c r="CR52" s="488"/>
      <c r="CS52" s="488"/>
      <c r="CT52" s="488"/>
      <c r="CU52" s="488"/>
      <c r="CV52" s="488"/>
      <c r="CW52" s="488"/>
      <c r="CX52" s="488"/>
      <c r="CY52" s="488"/>
      <c r="CZ52" s="488"/>
      <c r="DA52" s="488"/>
      <c r="DB52" s="488"/>
      <c r="DC52" s="488"/>
      <c r="DD52" s="488"/>
      <c r="DE52" s="488"/>
      <c r="DF52" s="488"/>
      <c r="DG52" s="488"/>
      <c r="DH52" s="488"/>
      <c r="DI52" s="488"/>
      <c r="DJ52" s="488"/>
      <c r="DK52" s="488"/>
      <c r="DL52" s="488"/>
      <c r="DM52" s="488"/>
      <c r="DN52" s="488"/>
      <c r="DO52" s="488"/>
      <c r="DP52" s="488"/>
      <c r="DQ52" s="488"/>
      <c r="DR52" s="488"/>
      <c r="DS52" s="488"/>
      <c r="DT52" s="488"/>
      <c r="DU52" s="488"/>
      <c r="DV52" s="488"/>
      <c r="DW52" s="488"/>
      <c r="DX52" s="488"/>
      <c r="DY52" s="488"/>
      <c r="DZ52" s="488"/>
      <c r="EA52" s="488"/>
      <c r="EB52" s="488"/>
      <c r="EC52" s="488"/>
      <c r="ED52" s="488"/>
      <c r="EE52" s="488"/>
      <c r="EF52" s="488"/>
      <c r="EG52" s="488"/>
      <c r="EH52" s="488"/>
      <c r="EI52" s="488"/>
      <c r="EJ52" s="488"/>
      <c r="EK52" s="488"/>
      <c r="EL52" s="488"/>
      <c r="EM52" s="488"/>
      <c r="EN52" s="488"/>
    </row>
    <row r="53" spans="1:144" s="470" customFormat="1" ht="15">
      <c r="A53" s="471">
        <v>7</v>
      </c>
      <c r="B53" s="472"/>
      <c r="C53" s="473" t="s">
        <v>628</v>
      </c>
      <c r="D53" s="471" t="s">
        <v>65</v>
      </c>
      <c r="E53" s="471"/>
      <c r="F53" s="478">
        <v>4</v>
      </c>
      <c r="G53" s="975"/>
      <c r="H53" s="975"/>
      <c r="I53" s="975"/>
      <c r="J53" s="975"/>
      <c r="K53" s="975"/>
      <c r="L53" s="975"/>
      <c r="M53" s="975">
        <f>SUM(M54:M57)</f>
        <v>0</v>
      </c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  <c r="BM53" s="489"/>
      <c r="BN53" s="489"/>
      <c r="BO53" s="489"/>
      <c r="BP53" s="489"/>
      <c r="BQ53" s="489"/>
      <c r="BR53" s="489"/>
      <c r="BS53" s="489"/>
      <c r="BT53" s="489"/>
      <c r="BU53" s="489"/>
      <c r="BV53" s="489"/>
      <c r="BW53" s="489"/>
      <c r="BX53" s="489"/>
      <c r="BY53" s="489"/>
      <c r="BZ53" s="489"/>
      <c r="CA53" s="489"/>
      <c r="CB53" s="489"/>
      <c r="CC53" s="489"/>
      <c r="CD53" s="489"/>
      <c r="CE53" s="489"/>
      <c r="CF53" s="489"/>
      <c r="CG53" s="489"/>
      <c r="CH53" s="489"/>
      <c r="CI53" s="489"/>
      <c r="CJ53" s="489"/>
      <c r="CK53" s="489"/>
      <c r="CL53" s="489"/>
      <c r="CM53" s="489"/>
      <c r="CN53" s="489"/>
      <c r="CO53" s="489"/>
      <c r="CP53" s="489"/>
      <c r="CQ53" s="489"/>
      <c r="CR53" s="489"/>
      <c r="CS53" s="489"/>
      <c r="CT53" s="489"/>
      <c r="CU53" s="489"/>
      <c r="CV53" s="489"/>
      <c r="CW53" s="489"/>
      <c r="CX53" s="489"/>
      <c r="CY53" s="489"/>
      <c r="CZ53" s="489"/>
      <c r="DA53" s="489"/>
      <c r="DB53" s="489"/>
      <c r="DC53" s="489"/>
      <c r="DD53" s="489"/>
      <c r="DE53" s="489"/>
      <c r="DF53" s="489"/>
      <c r="DG53" s="489"/>
      <c r="DH53" s="489"/>
      <c r="DI53" s="489"/>
      <c r="DJ53" s="489"/>
      <c r="DK53" s="489"/>
      <c r="DL53" s="489"/>
      <c r="DM53" s="489"/>
      <c r="DN53" s="489"/>
      <c r="DO53" s="489"/>
      <c r="DP53" s="489"/>
      <c r="DQ53" s="489"/>
      <c r="DR53" s="489"/>
      <c r="DS53" s="489"/>
      <c r="DT53" s="489"/>
      <c r="DU53" s="489"/>
      <c r="DV53" s="489"/>
      <c r="DW53" s="489"/>
      <c r="DX53" s="489"/>
      <c r="DY53" s="489"/>
      <c r="DZ53" s="489"/>
      <c r="EA53" s="489"/>
      <c r="EB53" s="489"/>
      <c r="EC53" s="489"/>
      <c r="ED53" s="489"/>
      <c r="EE53" s="489"/>
      <c r="EF53" s="489"/>
      <c r="EG53" s="489"/>
      <c r="EH53" s="489"/>
      <c r="EI53" s="489"/>
      <c r="EJ53" s="489"/>
      <c r="EK53" s="489"/>
      <c r="EL53" s="489"/>
      <c r="EM53" s="489"/>
      <c r="EN53" s="489"/>
    </row>
    <row r="54" spans="1:144" s="470" customFormat="1" ht="15">
      <c r="A54" s="278"/>
      <c r="B54" s="474"/>
      <c r="C54" s="475" t="s">
        <v>58</v>
      </c>
      <c r="D54" s="278" t="s">
        <v>65</v>
      </c>
      <c r="E54" s="278">
        <v>1</v>
      </c>
      <c r="F54" s="476">
        <f>F53</f>
        <v>4</v>
      </c>
      <c r="G54" s="974"/>
      <c r="H54" s="974"/>
      <c r="I54" s="974">
        <v>0</v>
      </c>
      <c r="J54" s="974">
        <f>I54*F54</f>
        <v>0</v>
      </c>
      <c r="K54" s="974"/>
      <c r="L54" s="974"/>
      <c r="M54" s="974">
        <f t="shared" si="4"/>
        <v>0</v>
      </c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8"/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  <c r="DE54" s="488"/>
      <c r="DF54" s="488"/>
      <c r="DG54" s="488"/>
      <c r="DH54" s="488"/>
      <c r="DI54" s="488"/>
      <c r="DJ54" s="488"/>
      <c r="DK54" s="488"/>
      <c r="DL54" s="488"/>
      <c r="DM54" s="488"/>
      <c r="DN54" s="488"/>
      <c r="DO54" s="488"/>
      <c r="DP54" s="488"/>
      <c r="DQ54" s="488"/>
      <c r="DR54" s="488"/>
      <c r="DS54" s="488"/>
      <c r="DT54" s="488"/>
      <c r="DU54" s="488"/>
      <c r="DV54" s="488"/>
      <c r="DW54" s="488"/>
      <c r="DX54" s="488"/>
      <c r="DY54" s="488"/>
      <c r="DZ54" s="488"/>
      <c r="EA54" s="488"/>
      <c r="EB54" s="488"/>
      <c r="EC54" s="488"/>
      <c r="ED54" s="488"/>
      <c r="EE54" s="488"/>
      <c r="EF54" s="488"/>
      <c r="EG54" s="488"/>
      <c r="EH54" s="488"/>
      <c r="EI54" s="488"/>
      <c r="EJ54" s="488"/>
      <c r="EK54" s="488"/>
      <c r="EL54" s="488"/>
      <c r="EM54" s="488"/>
      <c r="EN54" s="488"/>
    </row>
    <row r="55" spans="1:144" s="470" customFormat="1" ht="15">
      <c r="A55" s="278"/>
      <c r="B55" s="474" t="s">
        <v>629</v>
      </c>
      <c r="C55" s="477" t="s">
        <v>630</v>
      </c>
      <c r="D55" s="278" t="s">
        <v>65</v>
      </c>
      <c r="E55" s="278" t="s">
        <v>353</v>
      </c>
      <c r="F55" s="476">
        <v>1</v>
      </c>
      <c r="G55" s="974">
        <v>0</v>
      </c>
      <c r="H55" s="974">
        <f>F55*G55</f>
        <v>0</v>
      </c>
      <c r="I55" s="974"/>
      <c r="J55" s="974"/>
      <c r="K55" s="974"/>
      <c r="L55" s="974"/>
      <c r="M55" s="974">
        <f t="shared" si="4"/>
        <v>0</v>
      </c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E55" s="488"/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488"/>
      <c r="CU55" s="488"/>
      <c r="CV55" s="488"/>
      <c r="CW55" s="488"/>
      <c r="CX55" s="488"/>
      <c r="CY55" s="488"/>
      <c r="CZ55" s="488"/>
      <c r="DA55" s="488"/>
      <c r="DB55" s="488"/>
      <c r="DC55" s="488"/>
      <c r="DD55" s="488"/>
      <c r="DE55" s="488"/>
      <c r="DF55" s="488"/>
      <c r="DG55" s="488"/>
      <c r="DH55" s="488"/>
      <c r="DI55" s="488"/>
      <c r="DJ55" s="488"/>
      <c r="DK55" s="488"/>
      <c r="DL55" s="488"/>
      <c r="DM55" s="488"/>
      <c r="DN55" s="488"/>
      <c r="DO55" s="488"/>
      <c r="DP55" s="488"/>
      <c r="DQ55" s="488"/>
      <c r="DR55" s="488"/>
      <c r="DS55" s="488"/>
      <c r="DT55" s="488"/>
      <c r="DU55" s="488"/>
      <c r="DV55" s="488"/>
      <c r="DW55" s="488"/>
      <c r="DX55" s="488"/>
      <c r="DY55" s="488"/>
      <c r="DZ55" s="488"/>
      <c r="EA55" s="488"/>
      <c r="EB55" s="488"/>
      <c r="EC55" s="488"/>
      <c r="ED55" s="488"/>
      <c r="EE55" s="488"/>
      <c r="EF55" s="488"/>
      <c r="EG55" s="488"/>
      <c r="EH55" s="488"/>
      <c r="EI55" s="488"/>
      <c r="EJ55" s="488"/>
      <c r="EK55" s="488"/>
      <c r="EL55" s="488"/>
      <c r="EM55" s="488"/>
      <c r="EN55" s="488"/>
    </row>
    <row r="56" spans="1:144" s="470" customFormat="1" ht="15">
      <c r="A56" s="278"/>
      <c r="B56" s="474" t="s">
        <v>629</v>
      </c>
      <c r="C56" s="477" t="s">
        <v>631</v>
      </c>
      <c r="D56" s="278" t="s">
        <v>65</v>
      </c>
      <c r="E56" s="278" t="s">
        <v>353</v>
      </c>
      <c r="F56" s="476">
        <v>2</v>
      </c>
      <c r="G56" s="974">
        <v>0</v>
      </c>
      <c r="H56" s="974">
        <f>F56*G56</f>
        <v>0</v>
      </c>
      <c r="I56" s="974"/>
      <c r="J56" s="974"/>
      <c r="K56" s="974"/>
      <c r="L56" s="974"/>
      <c r="M56" s="974">
        <f t="shared" si="4"/>
        <v>0</v>
      </c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88"/>
      <c r="BV56" s="488"/>
      <c r="BW56" s="488"/>
      <c r="BX56" s="488"/>
      <c r="BY56" s="488"/>
      <c r="BZ56" s="488"/>
      <c r="CA56" s="488"/>
      <c r="CB56" s="488"/>
      <c r="CC56" s="488"/>
      <c r="CD56" s="488"/>
      <c r="CE56" s="488"/>
      <c r="CF56" s="488"/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8"/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  <c r="DE56" s="488"/>
      <c r="DF56" s="488"/>
      <c r="DG56" s="488"/>
      <c r="DH56" s="488"/>
      <c r="DI56" s="488"/>
      <c r="DJ56" s="488"/>
      <c r="DK56" s="488"/>
      <c r="DL56" s="488"/>
      <c r="DM56" s="488"/>
      <c r="DN56" s="488"/>
      <c r="DO56" s="488"/>
      <c r="DP56" s="488"/>
      <c r="DQ56" s="488"/>
      <c r="DR56" s="488"/>
      <c r="DS56" s="488"/>
      <c r="DT56" s="488"/>
      <c r="DU56" s="488"/>
      <c r="DV56" s="488"/>
      <c r="DW56" s="488"/>
      <c r="DX56" s="488"/>
      <c r="DY56" s="488"/>
      <c r="DZ56" s="488"/>
      <c r="EA56" s="488"/>
      <c r="EB56" s="488"/>
      <c r="EC56" s="488"/>
      <c r="ED56" s="488"/>
      <c r="EE56" s="488"/>
      <c r="EF56" s="488"/>
      <c r="EG56" s="488"/>
      <c r="EH56" s="488"/>
      <c r="EI56" s="488"/>
      <c r="EJ56" s="488"/>
      <c r="EK56" s="488"/>
      <c r="EL56" s="488"/>
      <c r="EM56" s="488"/>
      <c r="EN56" s="488"/>
    </row>
    <row r="57" spans="1:144" s="470" customFormat="1" ht="15">
      <c r="A57" s="278"/>
      <c r="B57" s="474" t="s">
        <v>629</v>
      </c>
      <c r="C57" s="477" t="s">
        <v>632</v>
      </c>
      <c r="D57" s="278" t="s">
        <v>65</v>
      </c>
      <c r="E57" s="278" t="s">
        <v>353</v>
      </c>
      <c r="F57" s="476">
        <v>1</v>
      </c>
      <c r="G57" s="974">
        <v>0</v>
      </c>
      <c r="H57" s="974">
        <f>F57*G57</f>
        <v>0</v>
      </c>
      <c r="I57" s="974"/>
      <c r="J57" s="974"/>
      <c r="K57" s="974"/>
      <c r="L57" s="974"/>
      <c r="M57" s="974">
        <f t="shared" si="4"/>
        <v>0</v>
      </c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88"/>
      <c r="BR57" s="488"/>
      <c r="BS57" s="488"/>
      <c r="BT57" s="488"/>
      <c r="BU57" s="488"/>
      <c r="BV57" s="488"/>
      <c r="BW57" s="488"/>
      <c r="BX57" s="488"/>
      <c r="BY57" s="488"/>
      <c r="BZ57" s="488"/>
      <c r="CA57" s="488"/>
      <c r="CB57" s="488"/>
      <c r="CC57" s="488"/>
      <c r="CD57" s="488"/>
      <c r="CE57" s="488"/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488"/>
      <c r="CU57" s="488"/>
      <c r="CV57" s="488"/>
      <c r="CW57" s="488"/>
      <c r="CX57" s="488"/>
      <c r="CY57" s="488"/>
      <c r="CZ57" s="488"/>
      <c r="DA57" s="488"/>
      <c r="DB57" s="488"/>
      <c r="DC57" s="488"/>
      <c r="DD57" s="488"/>
      <c r="DE57" s="488"/>
      <c r="DF57" s="488"/>
      <c r="DG57" s="488"/>
      <c r="DH57" s="488"/>
      <c r="DI57" s="488"/>
      <c r="DJ57" s="488"/>
      <c r="DK57" s="488"/>
      <c r="DL57" s="488"/>
      <c r="DM57" s="488"/>
      <c r="DN57" s="488"/>
      <c r="DO57" s="488"/>
      <c r="DP57" s="488"/>
      <c r="DQ57" s="488"/>
      <c r="DR57" s="488"/>
      <c r="DS57" s="488"/>
      <c r="DT57" s="488"/>
      <c r="DU57" s="488"/>
      <c r="DV57" s="488"/>
      <c r="DW57" s="488"/>
      <c r="DX57" s="488"/>
      <c r="DY57" s="488"/>
      <c r="DZ57" s="488"/>
      <c r="EA57" s="488"/>
      <c r="EB57" s="488"/>
      <c r="EC57" s="488"/>
      <c r="ED57" s="488"/>
      <c r="EE57" s="488"/>
      <c r="EF57" s="488"/>
      <c r="EG57" s="488"/>
      <c r="EH57" s="488"/>
      <c r="EI57" s="488"/>
      <c r="EJ57" s="488"/>
      <c r="EK57" s="488"/>
      <c r="EL57" s="488"/>
      <c r="EM57" s="488"/>
      <c r="EN57" s="488"/>
    </row>
    <row r="58" spans="1:144" s="470" customFormat="1" ht="15">
      <c r="A58" s="471">
        <v>8</v>
      </c>
      <c r="B58" s="479" t="s">
        <v>633</v>
      </c>
      <c r="C58" s="483" t="s">
        <v>634</v>
      </c>
      <c r="D58" s="471" t="s">
        <v>585</v>
      </c>
      <c r="E58" s="471"/>
      <c r="F58" s="478">
        <v>2</v>
      </c>
      <c r="G58" s="975"/>
      <c r="H58" s="975"/>
      <c r="I58" s="975"/>
      <c r="J58" s="975"/>
      <c r="K58" s="975"/>
      <c r="L58" s="975"/>
      <c r="M58" s="975">
        <f>SUM(M59:M62)</f>
        <v>0</v>
      </c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/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89"/>
      <c r="BU58" s="489"/>
      <c r="BV58" s="489"/>
      <c r="BW58" s="489"/>
      <c r="BX58" s="489"/>
      <c r="BY58" s="489"/>
      <c r="BZ58" s="489"/>
      <c r="CA58" s="489"/>
      <c r="CB58" s="489"/>
      <c r="CC58" s="489"/>
      <c r="CD58" s="489"/>
      <c r="CE58" s="489"/>
      <c r="CF58" s="489"/>
      <c r="CG58" s="489"/>
      <c r="CH58" s="489"/>
      <c r="CI58" s="489"/>
      <c r="CJ58" s="489"/>
      <c r="CK58" s="489"/>
      <c r="CL58" s="489"/>
      <c r="CM58" s="489"/>
      <c r="CN58" s="489"/>
      <c r="CO58" s="489"/>
      <c r="CP58" s="489"/>
      <c r="CQ58" s="489"/>
      <c r="CR58" s="489"/>
      <c r="CS58" s="489"/>
      <c r="CT58" s="489"/>
      <c r="CU58" s="489"/>
      <c r="CV58" s="489"/>
      <c r="CW58" s="489"/>
      <c r="CX58" s="489"/>
      <c r="CY58" s="489"/>
      <c r="CZ58" s="489"/>
      <c r="DA58" s="489"/>
      <c r="DB58" s="489"/>
      <c r="DC58" s="489"/>
      <c r="DD58" s="489"/>
      <c r="DE58" s="489"/>
      <c r="DF58" s="489"/>
      <c r="DG58" s="489"/>
      <c r="DH58" s="489"/>
      <c r="DI58" s="489"/>
      <c r="DJ58" s="489"/>
      <c r="DK58" s="489"/>
      <c r="DL58" s="489"/>
      <c r="DM58" s="489"/>
      <c r="DN58" s="489"/>
      <c r="DO58" s="489"/>
      <c r="DP58" s="489"/>
      <c r="DQ58" s="489"/>
      <c r="DR58" s="489"/>
      <c r="DS58" s="489"/>
      <c r="DT58" s="489"/>
      <c r="DU58" s="489"/>
      <c r="DV58" s="489"/>
      <c r="DW58" s="489"/>
      <c r="DX58" s="489"/>
      <c r="DY58" s="489"/>
      <c r="DZ58" s="489"/>
      <c r="EA58" s="489"/>
      <c r="EB58" s="489"/>
      <c r="EC58" s="489"/>
      <c r="ED58" s="489"/>
      <c r="EE58" s="489"/>
      <c r="EF58" s="489"/>
      <c r="EG58" s="489"/>
      <c r="EH58" s="489"/>
      <c r="EI58" s="489"/>
      <c r="EJ58" s="489"/>
      <c r="EK58" s="489"/>
      <c r="EL58" s="489"/>
      <c r="EM58" s="489"/>
      <c r="EN58" s="489"/>
    </row>
    <row r="59" spans="1:144" s="470" customFormat="1" ht="15">
      <c r="A59" s="278"/>
      <c r="B59" s="474"/>
      <c r="C59" s="475" t="s">
        <v>58</v>
      </c>
      <c r="D59" s="278" t="s">
        <v>5</v>
      </c>
      <c r="E59" s="278">
        <v>1.51</v>
      </c>
      <c r="F59" s="476">
        <f>E59*F58</f>
        <v>3.02</v>
      </c>
      <c r="G59" s="974"/>
      <c r="H59" s="974"/>
      <c r="I59" s="974">
        <v>0</v>
      </c>
      <c r="J59" s="974">
        <f>I59*F59</f>
        <v>0</v>
      </c>
      <c r="K59" s="974"/>
      <c r="L59" s="974"/>
      <c r="M59" s="974">
        <f t="shared" si="4"/>
        <v>0</v>
      </c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488"/>
      <c r="CD59" s="488"/>
      <c r="CE59" s="488"/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488"/>
      <c r="CU59" s="488"/>
      <c r="CV59" s="488"/>
      <c r="CW59" s="488"/>
      <c r="CX59" s="488"/>
      <c r="CY59" s="488"/>
      <c r="CZ59" s="488"/>
      <c r="DA59" s="488"/>
      <c r="DB59" s="488"/>
      <c r="DC59" s="488"/>
      <c r="DD59" s="488"/>
      <c r="DE59" s="488"/>
      <c r="DF59" s="488"/>
      <c r="DG59" s="488"/>
      <c r="DH59" s="488"/>
      <c r="DI59" s="488"/>
      <c r="DJ59" s="488"/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8"/>
      <c r="EH59" s="488"/>
      <c r="EI59" s="488"/>
      <c r="EJ59" s="488"/>
      <c r="EK59" s="488"/>
      <c r="EL59" s="488"/>
      <c r="EM59" s="488"/>
      <c r="EN59" s="488"/>
    </row>
    <row r="60" spans="1:144" s="470" customFormat="1" ht="15">
      <c r="A60" s="278"/>
      <c r="B60" s="481"/>
      <c r="C60" s="475" t="s">
        <v>64</v>
      </c>
      <c r="D60" s="278" t="s">
        <v>69</v>
      </c>
      <c r="E60" s="278">
        <v>0.13</v>
      </c>
      <c r="F60" s="476">
        <f>E60*F58</f>
        <v>0.26</v>
      </c>
      <c r="G60" s="974"/>
      <c r="H60" s="974"/>
      <c r="I60" s="974"/>
      <c r="J60" s="974"/>
      <c r="K60" s="974">
        <v>0</v>
      </c>
      <c r="L60" s="974">
        <f>F60*K60</f>
        <v>0</v>
      </c>
      <c r="M60" s="974">
        <f t="shared" si="4"/>
        <v>0</v>
      </c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8"/>
      <c r="BT60" s="488"/>
      <c r="BU60" s="488"/>
      <c r="BV60" s="488"/>
      <c r="BW60" s="488"/>
      <c r="BX60" s="488"/>
      <c r="BY60" s="488"/>
      <c r="BZ60" s="488"/>
      <c r="CA60" s="488"/>
      <c r="CB60" s="488"/>
      <c r="CC60" s="488"/>
      <c r="CD60" s="488"/>
      <c r="CE60" s="488"/>
      <c r="CF60" s="488"/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8"/>
      <c r="CT60" s="488"/>
      <c r="CU60" s="488"/>
      <c r="CV60" s="488"/>
      <c r="CW60" s="488"/>
      <c r="CX60" s="488"/>
      <c r="CY60" s="488"/>
      <c r="CZ60" s="488"/>
      <c r="DA60" s="488"/>
      <c r="DB60" s="488"/>
      <c r="DC60" s="488"/>
      <c r="DD60" s="488"/>
      <c r="DE60" s="488"/>
      <c r="DF60" s="488"/>
      <c r="DG60" s="488"/>
      <c r="DH60" s="488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/>
      <c r="DU60" s="488"/>
      <c r="DV60" s="488"/>
      <c r="DW60" s="488"/>
      <c r="DX60" s="488"/>
      <c r="DY60" s="488"/>
      <c r="DZ60" s="488"/>
      <c r="EA60" s="488"/>
      <c r="EB60" s="488"/>
      <c r="EC60" s="488"/>
      <c r="ED60" s="488"/>
      <c r="EE60" s="488"/>
      <c r="EF60" s="488"/>
      <c r="EG60" s="488"/>
      <c r="EH60" s="488"/>
      <c r="EI60" s="488"/>
      <c r="EJ60" s="488"/>
      <c r="EK60" s="488"/>
      <c r="EL60" s="488"/>
      <c r="EM60" s="488"/>
      <c r="EN60" s="488"/>
    </row>
    <row r="61" spans="1:144" s="470" customFormat="1" ht="15">
      <c r="A61" s="278"/>
      <c r="B61" s="481" t="s">
        <v>635</v>
      </c>
      <c r="C61" s="484" t="s">
        <v>636</v>
      </c>
      <c r="D61" s="278" t="s">
        <v>65</v>
      </c>
      <c r="E61" s="278">
        <v>1</v>
      </c>
      <c r="F61" s="476">
        <f>E61*F58</f>
        <v>2</v>
      </c>
      <c r="G61" s="974">
        <v>0</v>
      </c>
      <c r="H61" s="974">
        <f>F61*G61</f>
        <v>0</v>
      </c>
      <c r="I61" s="974"/>
      <c r="J61" s="974"/>
      <c r="K61" s="974"/>
      <c r="L61" s="974"/>
      <c r="M61" s="974">
        <f t="shared" si="4"/>
        <v>0</v>
      </c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488"/>
      <c r="BR61" s="488"/>
      <c r="BS61" s="488"/>
      <c r="BT61" s="488"/>
      <c r="BU61" s="488"/>
      <c r="BV61" s="488"/>
      <c r="BW61" s="488"/>
      <c r="BX61" s="488"/>
      <c r="BY61" s="488"/>
      <c r="BZ61" s="488"/>
      <c r="CA61" s="488"/>
      <c r="CB61" s="488"/>
      <c r="CC61" s="488"/>
      <c r="CD61" s="488"/>
      <c r="CE61" s="488"/>
      <c r="CF61" s="488"/>
      <c r="CG61" s="488"/>
      <c r="CH61" s="488"/>
      <c r="CI61" s="488"/>
      <c r="CJ61" s="488"/>
      <c r="CK61" s="488"/>
      <c r="CL61" s="488"/>
      <c r="CM61" s="488"/>
      <c r="CN61" s="488"/>
      <c r="CO61" s="488"/>
      <c r="CP61" s="488"/>
      <c r="CQ61" s="488"/>
      <c r="CR61" s="488"/>
      <c r="CS61" s="488"/>
      <c r="CT61" s="488"/>
      <c r="CU61" s="488"/>
      <c r="CV61" s="488"/>
      <c r="CW61" s="488"/>
      <c r="CX61" s="488"/>
      <c r="CY61" s="488"/>
      <c r="CZ61" s="488"/>
      <c r="DA61" s="488"/>
      <c r="DB61" s="488"/>
      <c r="DC61" s="488"/>
      <c r="DD61" s="488"/>
      <c r="DE61" s="488"/>
      <c r="DF61" s="488"/>
      <c r="DG61" s="488"/>
      <c r="DH61" s="488"/>
      <c r="DI61" s="488"/>
      <c r="DJ61" s="488"/>
      <c r="DK61" s="488"/>
      <c r="DL61" s="488"/>
      <c r="DM61" s="488"/>
      <c r="DN61" s="488"/>
      <c r="DO61" s="488"/>
      <c r="DP61" s="488"/>
      <c r="DQ61" s="488"/>
      <c r="DR61" s="488"/>
      <c r="DS61" s="488"/>
      <c r="DT61" s="488"/>
      <c r="DU61" s="488"/>
      <c r="DV61" s="488"/>
      <c r="DW61" s="488"/>
      <c r="DX61" s="488"/>
      <c r="DY61" s="488"/>
      <c r="DZ61" s="488"/>
      <c r="EA61" s="488"/>
      <c r="EB61" s="488"/>
      <c r="EC61" s="488"/>
      <c r="ED61" s="488"/>
      <c r="EE61" s="488"/>
      <c r="EF61" s="488"/>
      <c r="EG61" s="488"/>
      <c r="EH61" s="488"/>
      <c r="EI61" s="488"/>
      <c r="EJ61" s="488"/>
      <c r="EK61" s="488"/>
      <c r="EL61" s="488"/>
      <c r="EM61" s="488"/>
      <c r="EN61" s="488"/>
    </row>
    <row r="62" spans="1:144" s="470" customFormat="1" ht="15">
      <c r="A62" s="278"/>
      <c r="B62" s="469"/>
      <c r="C62" s="475" t="s">
        <v>68</v>
      </c>
      <c r="D62" s="278" t="s">
        <v>69</v>
      </c>
      <c r="E62" s="278">
        <v>7.0000000000000007E-2</v>
      </c>
      <c r="F62" s="476">
        <f>E62*F58</f>
        <v>0.14000000000000001</v>
      </c>
      <c r="G62" s="974">
        <v>0</v>
      </c>
      <c r="H62" s="974">
        <f>F62*G62</f>
        <v>0</v>
      </c>
      <c r="I62" s="974"/>
      <c r="J62" s="974"/>
      <c r="K62" s="974"/>
      <c r="L62" s="974"/>
      <c r="M62" s="974">
        <f t="shared" si="4"/>
        <v>0</v>
      </c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88"/>
      <c r="BR62" s="488"/>
      <c r="BS62" s="488"/>
      <c r="BT62" s="488"/>
      <c r="BU62" s="488"/>
      <c r="BV62" s="488"/>
      <c r="BW62" s="488"/>
      <c r="BX62" s="488"/>
      <c r="BY62" s="488"/>
      <c r="BZ62" s="488"/>
      <c r="CA62" s="488"/>
      <c r="CB62" s="488"/>
      <c r="CC62" s="488"/>
      <c r="CD62" s="488"/>
      <c r="CE62" s="488"/>
      <c r="CF62" s="488"/>
      <c r="CG62" s="488"/>
      <c r="CH62" s="488"/>
      <c r="CI62" s="488"/>
      <c r="CJ62" s="488"/>
      <c r="CK62" s="488"/>
      <c r="CL62" s="488"/>
      <c r="CM62" s="488"/>
      <c r="CN62" s="488"/>
      <c r="CO62" s="488"/>
      <c r="CP62" s="488"/>
      <c r="CQ62" s="488"/>
      <c r="CR62" s="488"/>
      <c r="CS62" s="488"/>
      <c r="CT62" s="488"/>
      <c r="CU62" s="488"/>
      <c r="CV62" s="488"/>
      <c r="CW62" s="488"/>
      <c r="CX62" s="488"/>
      <c r="CY62" s="488"/>
      <c r="CZ62" s="488"/>
      <c r="DA62" s="488"/>
      <c r="DB62" s="488"/>
      <c r="DC62" s="488"/>
      <c r="DD62" s="488"/>
      <c r="DE62" s="488"/>
      <c r="DF62" s="488"/>
      <c r="DG62" s="488"/>
      <c r="DH62" s="488"/>
      <c r="DI62" s="488"/>
      <c r="DJ62" s="488"/>
      <c r="DK62" s="488"/>
      <c r="DL62" s="488"/>
      <c r="DM62" s="488"/>
      <c r="DN62" s="488"/>
      <c r="DO62" s="488"/>
      <c r="DP62" s="488"/>
      <c r="DQ62" s="488"/>
      <c r="DR62" s="488"/>
      <c r="DS62" s="488"/>
      <c r="DT62" s="488"/>
      <c r="DU62" s="488"/>
      <c r="DV62" s="488"/>
      <c r="DW62" s="488"/>
      <c r="DX62" s="488"/>
      <c r="DY62" s="488"/>
      <c r="DZ62" s="488"/>
      <c r="EA62" s="488"/>
      <c r="EB62" s="488"/>
      <c r="EC62" s="488"/>
      <c r="ED62" s="488"/>
      <c r="EE62" s="488"/>
      <c r="EF62" s="488"/>
      <c r="EG62" s="488"/>
      <c r="EH62" s="488"/>
      <c r="EI62" s="488"/>
      <c r="EJ62" s="488"/>
      <c r="EK62" s="488"/>
      <c r="EL62" s="488"/>
      <c r="EM62" s="488"/>
      <c r="EN62" s="488"/>
    </row>
    <row r="63" spans="1:144" s="470" customFormat="1" ht="15">
      <c r="A63" s="471">
        <v>9</v>
      </c>
      <c r="B63" s="479" t="s">
        <v>637</v>
      </c>
      <c r="C63" s="473" t="s">
        <v>638</v>
      </c>
      <c r="D63" s="471" t="s">
        <v>62</v>
      </c>
      <c r="E63" s="471"/>
      <c r="F63" s="478">
        <v>30</v>
      </c>
      <c r="G63" s="975"/>
      <c r="H63" s="975"/>
      <c r="I63" s="975"/>
      <c r="J63" s="975"/>
      <c r="K63" s="975"/>
      <c r="L63" s="975"/>
      <c r="M63" s="975">
        <f>SUM(M64:M66)</f>
        <v>0</v>
      </c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89"/>
      <c r="AL63" s="489"/>
      <c r="AM63" s="489"/>
      <c r="AN63" s="489"/>
      <c r="AO63" s="489"/>
      <c r="AP63" s="489"/>
      <c r="AQ63" s="489"/>
      <c r="AR63" s="489"/>
      <c r="AS63" s="489"/>
      <c r="AT63" s="489"/>
      <c r="AU63" s="489"/>
      <c r="AV63" s="489"/>
      <c r="AW63" s="489"/>
      <c r="AX63" s="489"/>
      <c r="AY63" s="489"/>
      <c r="AZ63" s="489"/>
      <c r="BA63" s="489"/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  <c r="BM63" s="489"/>
      <c r="BN63" s="489"/>
      <c r="BO63" s="489"/>
      <c r="BP63" s="489"/>
      <c r="BQ63" s="489"/>
      <c r="BR63" s="489"/>
      <c r="BS63" s="489"/>
      <c r="BT63" s="489"/>
      <c r="BU63" s="489"/>
      <c r="BV63" s="489"/>
      <c r="BW63" s="489"/>
      <c r="BX63" s="489"/>
      <c r="BY63" s="489"/>
      <c r="BZ63" s="489"/>
      <c r="CA63" s="489"/>
      <c r="CB63" s="489"/>
      <c r="CC63" s="489"/>
      <c r="CD63" s="489"/>
      <c r="CE63" s="489"/>
      <c r="CF63" s="489"/>
      <c r="CG63" s="489"/>
      <c r="CH63" s="489"/>
      <c r="CI63" s="489"/>
      <c r="CJ63" s="489"/>
      <c r="CK63" s="489"/>
      <c r="CL63" s="489"/>
      <c r="CM63" s="489"/>
      <c r="CN63" s="489"/>
      <c r="CO63" s="489"/>
      <c r="CP63" s="489"/>
      <c r="CQ63" s="489"/>
      <c r="CR63" s="489"/>
      <c r="CS63" s="489"/>
      <c r="CT63" s="489"/>
      <c r="CU63" s="489"/>
      <c r="CV63" s="489"/>
      <c r="CW63" s="489"/>
      <c r="CX63" s="489"/>
      <c r="CY63" s="489"/>
      <c r="CZ63" s="489"/>
      <c r="DA63" s="489"/>
      <c r="DB63" s="489"/>
      <c r="DC63" s="489"/>
      <c r="DD63" s="489"/>
      <c r="DE63" s="489"/>
      <c r="DF63" s="489"/>
      <c r="DG63" s="489"/>
      <c r="DH63" s="489"/>
      <c r="DI63" s="489"/>
      <c r="DJ63" s="489"/>
      <c r="DK63" s="489"/>
      <c r="DL63" s="489"/>
      <c r="DM63" s="489"/>
      <c r="DN63" s="489"/>
      <c r="DO63" s="489"/>
      <c r="DP63" s="489"/>
      <c r="DQ63" s="489"/>
      <c r="DR63" s="489"/>
      <c r="DS63" s="489"/>
      <c r="DT63" s="489"/>
      <c r="DU63" s="489"/>
      <c r="DV63" s="489"/>
      <c r="DW63" s="489"/>
      <c r="DX63" s="489"/>
      <c r="DY63" s="489"/>
      <c r="DZ63" s="489"/>
      <c r="EA63" s="489"/>
      <c r="EB63" s="489"/>
      <c r="EC63" s="489"/>
      <c r="ED63" s="489"/>
      <c r="EE63" s="489"/>
      <c r="EF63" s="489"/>
      <c r="EG63" s="489"/>
      <c r="EH63" s="489"/>
      <c r="EI63" s="489"/>
      <c r="EJ63" s="489"/>
      <c r="EK63" s="489"/>
      <c r="EL63" s="489"/>
      <c r="EM63" s="489"/>
      <c r="EN63" s="489"/>
    </row>
    <row r="64" spans="1:144" s="470" customFormat="1" ht="15">
      <c r="A64" s="278"/>
      <c r="B64" s="474"/>
      <c r="C64" s="475" t="s">
        <v>58</v>
      </c>
      <c r="D64" s="278" t="s">
        <v>5</v>
      </c>
      <c r="E64" s="278">
        <f>5.16*0.01</f>
        <v>5.16E-2</v>
      </c>
      <c r="F64" s="476">
        <f>E64*F63</f>
        <v>1.548</v>
      </c>
      <c r="G64" s="974"/>
      <c r="H64" s="974"/>
      <c r="I64" s="974">
        <v>0</v>
      </c>
      <c r="J64" s="974">
        <f>I64*F64</f>
        <v>0</v>
      </c>
      <c r="K64" s="974"/>
      <c r="L64" s="974"/>
      <c r="M64" s="974">
        <f t="shared" si="4"/>
        <v>0</v>
      </c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88"/>
      <c r="BR64" s="488"/>
      <c r="BS64" s="488"/>
      <c r="BT64" s="488"/>
      <c r="BU64" s="488"/>
      <c r="BV64" s="488"/>
      <c r="BW64" s="488"/>
      <c r="BX64" s="488"/>
      <c r="BY64" s="488"/>
      <c r="BZ64" s="488"/>
      <c r="CA64" s="488"/>
      <c r="CB64" s="488"/>
      <c r="CC64" s="488"/>
      <c r="CD64" s="488"/>
      <c r="CE64" s="488"/>
      <c r="CF64" s="488"/>
      <c r="CG64" s="488"/>
      <c r="CH64" s="488"/>
      <c r="CI64" s="488"/>
      <c r="CJ64" s="488"/>
      <c r="CK64" s="488"/>
      <c r="CL64" s="488"/>
      <c r="CM64" s="488"/>
      <c r="CN64" s="488"/>
      <c r="CO64" s="488"/>
      <c r="CP64" s="488"/>
      <c r="CQ64" s="488"/>
      <c r="CR64" s="488"/>
      <c r="CS64" s="488"/>
      <c r="CT64" s="488"/>
      <c r="CU64" s="488"/>
      <c r="CV64" s="488"/>
      <c r="CW64" s="488"/>
      <c r="CX64" s="488"/>
      <c r="CY64" s="488"/>
      <c r="CZ64" s="488"/>
      <c r="DA64" s="488"/>
      <c r="DB64" s="488"/>
      <c r="DC64" s="488"/>
      <c r="DD64" s="488"/>
      <c r="DE64" s="488"/>
      <c r="DF64" s="488"/>
      <c r="DG64" s="488"/>
      <c r="DH64" s="488"/>
      <c r="DI64" s="488"/>
      <c r="DJ64" s="488"/>
      <c r="DK64" s="488"/>
      <c r="DL64" s="488"/>
      <c r="DM64" s="488"/>
      <c r="DN64" s="488"/>
      <c r="DO64" s="488"/>
      <c r="DP64" s="488"/>
      <c r="DQ64" s="488"/>
      <c r="DR64" s="488"/>
      <c r="DS64" s="488"/>
      <c r="DT64" s="488"/>
      <c r="DU64" s="488"/>
      <c r="DV64" s="488"/>
      <c r="DW64" s="488"/>
      <c r="DX64" s="488"/>
      <c r="DY64" s="488"/>
      <c r="DZ64" s="488"/>
      <c r="EA64" s="488"/>
      <c r="EB64" s="488"/>
      <c r="EC64" s="488"/>
      <c r="ED64" s="488"/>
      <c r="EE64" s="488"/>
      <c r="EF64" s="488"/>
      <c r="EG64" s="488"/>
      <c r="EH64" s="488"/>
      <c r="EI64" s="488"/>
      <c r="EJ64" s="488"/>
      <c r="EK64" s="488"/>
      <c r="EL64" s="488"/>
      <c r="EM64" s="488"/>
      <c r="EN64" s="488"/>
    </row>
    <row r="65" spans="1:144" s="470" customFormat="1" ht="15">
      <c r="A65" s="278"/>
      <c r="B65" s="490" t="s">
        <v>639</v>
      </c>
      <c r="C65" s="475" t="s">
        <v>640</v>
      </c>
      <c r="D65" s="278" t="s">
        <v>6</v>
      </c>
      <c r="E65" s="278">
        <v>0.01</v>
      </c>
      <c r="F65" s="476">
        <f>E65*F63</f>
        <v>0.3</v>
      </c>
      <c r="G65" s="974">
        <v>0</v>
      </c>
      <c r="H65" s="974">
        <f>F65*G65</f>
        <v>0</v>
      </c>
      <c r="I65" s="974"/>
      <c r="J65" s="974"/>
      <c r="K65" s="974"/>
      <c r="L65" s="974"/>
      <c r="M65" s="974">
        <f t="shared" si="4"/>
        <v>0</v>
      </c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488"/>
      <c r="BX65" s="488"/>
      <c r="BY65" s="488"/>
      <c r="BZ65" s="488"/>
      <c r="CA65" s="488"/>
      <c r="CB65" s="488"/>
      <c r="CC65" s="488"/>
      <c r="CD65" s="488"/>
      <c r="CE65" s="488"/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488"/>
      <c r="CU65" s="488"/>
      <c r="CV65" s="488"/>
      <c r="CW65" s="488"/>
      <c r="CX65" s="488"/>
      <c r="CY65" s="488"/>
      <c r="CZ65" s="488"/>
      <c r="DA65" s="488"/>
      <c r="DB65" s="488"/>
      <c r="DC65" s="488"/>
      <c r="DD65" s="488"/>
      <c r="DE65" s="488"/>
      <c r="DF65" s="488"/>
      <c r="DG65" s="488"/>
      <c r="DH65" s="488"/>
      <c r="DI65" s="488"/>
      <c r="DJ65" s="488"/>
      <c r="DK65" s="488"/>
      <c r="DL65" s="488"/>
      <c r="DM65" s="488"/>
      <c r="DN65" s="488"/>
      <c r="DO65" s="488"/>
      <c r="DP65" s="488"/>
      <c r="DQ65" s="488"/>
      <c r="DR65" s="488"/>
      <c r="DS65" s="488"/>
      <c r="DT65" s="488"/>
      <c r="DU65" s="488"/>
      <c r="DV65" s="488"/>
      <c r="DW65" s="488"/>
      <c r="DX65" s="488"/>
      <c r="DY65" s="488"/>
      <c r="DZ65" s="488"/>
      <c r="EA65" s="488"/>
      <c r="EB65" s="488"/>
      <c r="EC65" s="488"/>
      <c r="ED65" s="488"/>
      <c r="EE65" s="488"/>
      <c r="EF65" s="488"/>
      <c r="EG65" s="488"/>
      <c r="EH65" s="488"/>
      <c r="EI65" s="488"/>
      <c r="EJ65" s="488"/>
      <c r="EK65" s="488"/>
      <c r="EL65" s="488"/>
      <c r="EM65" s="488"/>
      <c r="EN65" s="488"/>
    </row>
    <row r="66" spans="1:144" s="470" customFormat="1" ht="15">
      <c r="A66" s="278"/>
      <c r="B66" s="469"/>
      <c r="C66" s="475" t="s">
        <v>68</v>
      </c>
      <c r="D66" s="278" t="s">
        <v>69</v>
      </c>
      <c r="E66" s="278">
        <f>0.11*0.01</f>
        <v>1.1000000000000001E-3</v>
      </c>
      <c r="F66" s="476">
        <f>E66*F62</f>
        <v>1.5400000000000003E-4</v>
      </c>
      <c r="G66" s="974">
        <v>0</v>
      </c>
      <c r="H66" s="974">
        <f>F66*G66</f>
        <v>0</v>
      </c>
      <c r="I66" s="974"/>
      <c r="J66" s="974"/>
      <c r="K66" s="974"/>
      <c r="L66" s="974"/>
      <c r="M66" s="974">
        <f t="shared" si="4"/>
        <v>0</v>
      </c>
      <c r="N66" s="488"/>
      <c r="O66" s="488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8"/>
      <c r="AS66" s="488"/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8"/>
      <c r="BX66" s="488"/>
      <c r="BY66" s="488"/>
      <c r="BZ66" s="488"/>
      <c r="CA66" s="488"/>
      <c r="CB66" s="488"/>
      <c r="CC66" s="488"/>
      <c r="CD66" s="488"/>
      <c r="CE66" s="488"/>
      <c r="CF66" s="488"/>
      <c r="CG66" s="488"/>
      <c r="CH66" s="488"/>
      <c r="CI66" s="488"/>
      <c r="CJ66" s="488"/>
      <c r="CK66" s="488"/>
      <c r="CL66" s="488"/>
      <c r="CM66" s="488"/>
      <c r="CN66" s="488"/>
      <c r="CO66" s="488"/>
      <c r="CP66" s="488"/>
      <c r="CQ66" s="488"/>
      <c r="CR66" s="488"/>
      <c r="CS66" s="488"/>
      <c r="CT66" s="488"/>
      <c r="CU66" s="488"/>
      <c r="CV66" s="488"/>
      <c r="CW66" s="488"/>
      <c r="CX66" s="488"/>
      <c r="CY66" s="488"/>
      <c r="CZ66" s="488"/>
      <c r="DA66" s="488"/>
      <c r="DB66" s="488"/>
      <c r="DC66" s="488"/>
      <c r="DD66" s="488"/>
      <c r="DE66" s="488"/>
      <c r="DF66" s="488"/>
      <c r="DG66" s="488"/>
      <c r="DH66" s="488"/>
      <c r="DI66" s="488"/>
      <c r="DJ66" s="488"/>
      <c r="DK66" s="488"/>
      <c r="DL66" s="488"/>
      <c r="DM66" s="488"/>
      <c r="DN66" s="488"/>
      <c r="DO66" s="488"/>
      <c r="DP66" s="488"/>
      <c r="DQ66" s="488"/>
      <c r="DR66" s="488"/>
      <c r="DS66" s="488"/>
      <c r="DT66" s="488"/>
      <c r="DU66" s="488"/>
      <c r="DV66" s="488"/>
      <c r="DW66" s="488"/>
      <c r="DX66" s="488"/>
      <c r="DY66" s="488"/>
      <c r="DZ66" s="488"/>
      <c r="EA66" s="488"/>
      <c r="EB66" s="488"/>
      <c r="EC66" s="488"/>
      <c r="ED66" s="488"/>
      <c r="EE66" s="488"/>
      <c r="EF66" s="488"/>
      <c r="EG66" s="488"/>
      <c r="EH66" s="488"/>
      <c r="EI66" s="488"/>
      <c r="EJ66" s="488"/>
      <c r="EK66" s="488"/>
      <c r="EL66" s="488"/>
      <c r="EM66" s="488"/>
      <c r="EN66" s="488"/>
    </row>
    <row r="67" spans="1:144" s="470" customFormat="1" ht="30">
      <c r="A67" s="491">
        <v>10</v>
      </c>
      <c r="B67" s="472" t="s">
        <v>641</v>
      </c>
      <c r="C67" s="492" t="s">
        <v>642</v>
      </c>
      <c r="D67" s="493" t="s">
        <v>67</v>
      </c>
      <c r="E67" s="493"/>
      <c r="F67" s="494">
        <v>0.1</v>
      </c>
      <c r="G67" s="976"/>
      <c r="H67" s="976"/>
      <c r="I67" s="976"/>
      <c r="J67" s="976"/>
      <c r="K67" s="976"/>
      <c r="L67" s="976"/>
      <c r="M67" s="975">
        <f>SUM(M68:M73)</f>
        <v>0</v>
      </c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  <c r="Y67" s="489"/>
      <c r="Z67" s="489"/>
      <c r="AA67" s="489"/>
      <c r="AB67" s="489"/>
      <c r="AC67" s="489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  <c r="BM67" s="489"/>
      <c r="BN67" s="489"/>
      <c r="BO67" s="489"/>
      <c r="BP67" s="489"/>
      <c r="BQ67" s="489"/>
      <c r="BR67" s="489"/>
      <c r="BS67" s="489"/>
      <c r="BT67" s="489"/>
      <c r="BU67" s="489"/>
      <c r="BV67" s="489"/>
      <c r="BW67" s="489"/>
      <c r="BX67" s="489"/>
      <c r="BY67" s="489"/>
      <c r="BZ67" s="489"/>
      <c r="CA67" s="489"/>
      <c r="CB67" s="489"/>
      <c r="CC67" s="489"/>
      <c r="CD67" s="489"/>
      <c r="CE67" s="489"/>
      <c r="CF67" s="489"/>
      <c r="CG67" s="489"/>
      <c r="CH67" s="489"/>
      <c r="CI67" s="489"/>
      <c r="CJ67" s="489"/>
      <c r="CK67" s="489"/>
      <c r="CL67" s="489"/>
      <c r="CM67" s="489"/>
      <c r="CN67" s="489"/>
      <c r="CO67" s="489"/>
      <c r="CP67" s="489"/>
      <c r="CQ67" s="489"/>
      <c r="CR67" s="489"/>
      <c r="CS67" s="489"/>
      <c r="CT67" s="489"/>
      <c r="CU67" s="489"/>
      <c r="CV67" s="489"/>
      <c r="CW67" s="489"/>
      <c r="CX67" s="489"/>
      <c r="CY67" s="489"/>
      <c r="CZ67" s="489"/>
      <c r="DA67" s="489"/>
      <c r="DB67" s="489"/>
      <c r="DC67" s="489"/>
      <c r="DD67" s="489"/>
      <c r="DE67" s="489"/>
      <c r="DF67" s="489"/>
      <c r="DG67" s="489"/>
      <c r="DH67" s="489"/>
      <c r="DI67" s="489"/>
      <c r="DJ67" s="489"/>
      <c r="DK67" s="489"/>
      <c r="DL67" s="489"/>
      <c r="DM67" s="489"/>
      <c r="DN67" s="489"/>
      <c r="DO67" s="489"/>
      <c r="DP67" s="489"/>
      <c r="DQ67" s="489"/>
      <c r="DR67" s="489"/>
      <c r="DS67" s="489"/>
      <c r="DT67" s="489"/>
      <c r="DU67" s="489"/>
      <c r="DV67" s="489"/>
      <c r="DW67" s="489"/>
      <c r="DX67" s="489"/>
      <c r="DY67" s="489"/>
      <c r="DZ67" s="489"/>
      <c r="EA67" s="489"/>
      <c r="EB67" s="489"/>
      <c r="EC67" s="489"/>
      <c r="ED67" s="489"/>
      <c r="EE67" s="489"/>
      <c r="EF67" s="489"/>
      <c r="EG67" s="489"/>
      <c r="EH67" s="489"/>
      <c r="EI67" s="489"/>
      <c r="EJ67" s="489"/>
      <c r="EK67" s="489"/>
      <c r="EL67" s="489"/>
      <c r="EM67" s="489"/>
      <c r="EN67" s="489"/>
    </row>
    <row r="68" spans="1:144" s="470" customFormat="1" ht="15">
      <c r="A68" s="278"/>
      <c r="B68" s="474"/>
      <c r="C68" s="475" t="s">
        <v>58</v>
      </c>
      <c r="D68" s="278" t="s">
        <v>5</v>
      </c>
      <c r="E68" s="278">
        <v>34.9</v>
      </c>
      <c r="F68" s="476">
        <f>F67*E68</f>
        <v>3.49</v>
      </c>
      <c r="G68" s="974"/>
      <c r="H68" s="974"/>
      <c r="I68" s="974">
        <v>0</v>
      </c>
      <c r="J68" s="974">
        <f>I68*F68</f>
        <v>0</v>
      </c>
      <c r="K68" s="974"/>
      <c r="L68" s="974"/>
      <c r="M68" s="974">
        <f t="shared" si="4"/>
        <v>0</v>
      </c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88"/>
      <c r="CF68" s="488"/>
      <c r="CG68" s="488"/>
      <c r="CH68" s="488"/>
      <c r="CI68" s="488"/>
      <c r="CJ68" s="488"/>
      <c r="CK68" s="488"/>
      <c r="CL68" s="488"/>
      <c r="CM68" s="488"/>
      <c r="CN68" s="488"/>
      <c r="CO68" s="488"/>
      <c r="CP68" s="488"/>
      <c r="CQ68" s="488"/>
      <c r="CR68" s="488"/>
      <c r="CS68" s="488"/>
      <c r="CT68" s="488"/>
      <c r="CU68" s="488"/>
      <c r="CV68" s="488"/>
      <c r="CW68" s="488"/>
      <c r="CX68" s="488"/>
      <c r="CY68" s="488"/>
      <c r="CZ68" s="488"/>
      <c r="DA68" s="488"/>
      <c r="DB68" s="488"/>
      <c r="DC68" s="488"/>
      <c r="DD68" s="488"/>
      <c r="DE68" s="488"/>
      <c r="DF68" s="488"/>
      <c r="DG68" s="488"/>
      <c r="DH68" s="488"/>
      <c r="DI68" s="488"/>
      <c r="DJ68" s="488"/>
      <c r="DK68" s="488"/>
      <c r="DL68" s="488"/>
      <c r="DM68" s="488"/>
      <c r="DN68" s="488"/>
      <c r="DO68" s="488"/>
      <c r="DP68" s="488"/>
      <c r="DQ68" s="488"/>
      <c r="DR68" s="488"/>
      <c r="DS68" s="488"/>
      <c r="DT68" s="488"/>
      <c r="DU68" s="488"/>
      <c r="DV68" s="488"/>
      <c r="DW68" s="488"/>
      <c r="DX68" s="488"/>
      <c r="DY68" s="488"/>
      <c r="DZ68" s="488"/>
      <c r="EA68" s="488"/>
      <c r="EB68" s="488"/>
      <c r="EC68" s="488"/>
      <c r="ED68" s="488"/>
      <c r="EE68" s="488"/>
      <c r="EF68" s="488"/>
      <c r="EG68" s="488"/>
      <c r="EH68" s="488"/>
      <c r="EI68" s="488"/>
      <c r="EJ68" s="488"/>
      <c r="EK68" s="488"/>
      <c r="EL68" s="488"/>
      <c r="EM68" s="488"/>
      <c r="EN68" s="488"/>
    </row>
    <row r="69" spans="1:144" s="470" customFormat="1" ht="15">
      <c r="A69" s="495"/>
      <c r="B69" s="496"/>
      <c r="C69" s="497" t="s">
        <v>64</v>
      </c>
      <c r="D69" s="498" t="s">
        <v>69</v>
      </c>
      <c r="E69" s="498">
        <v>4.07</v>
      </c>
      <c r="F69" s="499">
        <f>E69*F67</f>
        <v>0.40700000000000003</v>
      </c>
      <c r="G69" s="977"/>
      <c r="H69" s="977"/>
      <c r="I69" s="977"/>
      <c r="J69" s="977"/>
      <c r="K69" s="977">
        <v>0</v>
      </c>
      <c r="L69" s="977">
        <f>K69*F69</f>
        <v>0</v>
      </c>
      <c r="M69" s="974">
        <f t="shared" si="4"/>
        <v>0</v>
      </c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  <c r="BX69" s="488"/>
      <c r="BY69" s="488"/>
      <c r="BZ69" s="488"/>
      <c r="CA69" s="488"/>
      <c r="CB69" s="488"/>
      <c r="CC69" s="488"/>
      <c r="CD69" s="488"/>
      <c r="CE69" s="488"/>
      <c r="CF69" s="488"/>
      <c r="CG69" s="488"/>
      <c r="CH69" s="488"/>
      <c r="CI69" s="488"/>
      <c r="CJ69" s="488"/>
      <c r="CK69" s="488"/>
      <c r="CL69" s="488"/>
      <c r="CM69" s="488"/>
      <c r="CN69" s="488"/>
      <c r="CO69" s="488"/>
      <c r="CP69" s="488"/>
      <c r="CQ69" s="488"/>
      <c r="CR69" s="488"/>
      <c r="CS69" s="488"/>
      <c r="CT69" s="488"/>
      <c r="CU69" s="488"/>
      <c r="CV69" s="488"/>
      <c r="CW69" s="488"/>
      <c r="CX69" s="488"/>
      <c r="CY69" s="488"/>
      <c r="CZ69" s="488"/>
      <c r="DA69" s="488"/>
      <c r="DB69" s="488"/>
      <c r="DC69" s="488"/>
      <c r="DD69" s="488"/>
      <c r="DE69" s="488"/>
      <c r="DF69" s="488"/>
      <c r="DG69" s="488"/>
      <c r="DH69" s="488"/>
      <c r="DI69" s="488"/>
      <c r="DJ69" s="488"/>
      <c r="DK69" s="488"/>
      <c r="DL69" s="488"/>
      <c r="DM69" s="488"/>
      <c r="DN69" s="488"/>
      <c r="DO69" s="488"/>
      <c r="DP69" s="488"/>
      <c r="DQ69" s="488"/>
      <c r="DR69" s="488"/>
      <c r="DS69" s="488"/>
      <c r="DT69" s="488"/>
      <c r="DU69" s="488"/>
      <c r="DV69" s="488"/>
      <c r="DW69" s="488"/>
      <c r="DX69" s="488"/>
      <c r="DY69" s="488"/>
      <c r="DZ69" s="488"/>
      <c r="EA69" s="488"/>
      <c r="EB69" s="488"/>
      <c r="EC69" s="488"/>
      <c r="ED69" s="488"/>
      <c r="EE69" s="488"/>
      <c r="EF69" s="488"/>
      <c r="EG69" s="488"/>
      <c r="EH69" s="488"/>
      <c r="EI69" s="488"/>
      <c r="EJ69" s="488"/>
      <c r="EK69" s="488"/>
      <c r="EL69" s="488"/>
      <c r="EM69" s="488"/>
      <c r="EN69" s="488"/>
    </row>
    <row r="70" spans="1:144" s="470" customFormat="1" ht="15">
      <c r="A70" s="495"/>
      <c r="B70" s="498" t="s">
        <v>643</v>
      </c>
      <c r="C70" s="500" t="s">
        <v>644</v>
      </c>
      <c r="D70" s="498" t="s">
        <v>67</v>
      </c>
      <c r="E70" s="498">
        <v>1</v>
      </c>
      <c r="F70" s="499">
        <f>F67*E70</f>
        <v>0.1</v>
      </c>
      <c r="G70" s="977">
        <v>0</v>
      </c>
      <c r="H70" s="977">
        <f>F70*G70</f>
        <v>0</v>
      </c>
      <c r="I70" s="977"/>
      <c r="J70" s="977"/>
      <c r="K70" s="977"/>
      <c r="L70" s="977"/>
      <c r="M70" s="974">
        <f t="shared" si="4"/>
        <v>0</v>
      </c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488"/>
      <c r="AB70" s="488"/>
      <c r="AC70" s="488"/>
      <c r="AD70" s="488"/>
      <c r="AE70" s="488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8"/>
      <c r="BF70" s="488"/>
      <c r="BG70" s="488"/>
      <c r="BH70" s="488"/>
      <c r="BI70" s="488"/>
      <c r="BJ70" s="488"/>
      <c r="BK70" s="488"/>
      <c r="BL70" s="488"/>
      <c r="BM70" s="488"/>
      <c r="BN70" s="488"/>
      <c r="BO70" s="488"/>
      <c r="BP70" s="488"/>
      <c r="BQ70" s="488"/>
      <c r="BR70" s="488"/>
      <c r="BS70" s="488"/>
      <c r="BT70" s="488"/>
      <c r="BU70" s="488"/>
      <c r="BV70" s="488"/>
      <c r="BW70" s="488"/>
      <c r="BX70" s="488"/>
      <c r="BY70" s="488"/>
      <c r="BZ70" s="488"/>
      <c r="CA70" s="488"/>
      <c r="CB70" s="488"/>
      <c r="CC70" s="488"/>
      <c r="CD70" s="488"/>
      <c r="CE70" s="488"/>
      <c r="CF70" s="488"/>
      <c r="CG70" s="488"/>
      <c r="CH70" s="488"/>
      <c r="CI70" s="488"/>
      <c r="CJ70" s="488"/>
      <c r="CK70" s="488"/>
      <c r="CL70" s="488"/>
      <c r="CM70" s="488"/>
      <c r="CN70" s="488"/>
      <c r="CO70" s="488"/>
      <c r="CP70" s="488"/>
      <c r="CQ70" s="488"/>
      <c r="CR70" s="488"/>
      <c r="CS70" s="488"/>
      <c r="CT70" s="488"/>
      <c r="CU70" s="488"/>
      <c r="CV70" s="488"/>
      <c r="CW70" s="488"/>
      <c r="CX70" s="488"/>
      <c r="CY70" s="488"/>
      <c r="CZ70" s="488"/>
      <c r="DA70" s="488"/>
      <c r="DB70" s="488"/>
      <c r="DC70" s="488"/>
      <c r="DD70" s="488"/>
      <c r="DE70" s="488"/>
      <c r="DF70" s="488"/>
      <c r="DG70" s="488"/>
      <c r="DH70" s="488"/>
      <c r="DI70" s="488"/>
      <c r="DJ70" s="488"/>
      <c r="DK70" s="488"/>
      <c r="DL70" s="488"/>
      <c r="DM70" s="488"/>
      <c r="DN70" s="488"/>
      <c r="DO70" s="488"/>
      <c r="DP70" s="488"/>
      <c r="DQ70" s="488"/>
      <c r="DR70" s="488"/>
      <c r="DS70" s="488"/>
      <c r="DT70" s="488"/>
      <c r="DU70" s="488"/>
      <c r="DV70" s="488"/>
      <c r="DW70" s="488"/>
      <c r="DX70" s="488"/>
      <c r="DY70" s="488"/>
      <c r="DZ70" s="488"/>
      <c r="EA70" s="488"/>
      <c r="EB70" s="488"/>
      <c r="EC70" s="488"/>
      <c r="ED70" s="488"/>
      <c r="EE70" s="488"/>
      <c r="EF70" s="488"/>
      <c r="EG70" s="488"/>
      <c r="EH70" s="488"/>
      <c r="EI70" s="488"/>
      <c r="EJ70" s="488"/>
      <c r="EK70" s="488"/>
      <c r="EL70" s="488"/>
      <c r="EM70" s="488"/>
      <c r="EN70" s="488"/>
    </row>
    <row r="71" spans="1:144" s="470" customFormat="1" ht="15">
      <c r="A71" s="495"/>
      <c r="B71" s="481" t="s">
        <v>508</v>
      </c>
      <c r="C71" s="477" t="s">
        <v>298</v>
      </c>
      <c r="D71" s="278" t="s">
        <v>70</v>
      </c>
      <c r="E71" s="498">
        <v>3.3</v>
      </c>
      <c r="F71" s="499">
        <f>E71*F67</f>
        <v>0.33</v>
      </c>
      <c r="G71" s="974">
        <v>0</v>
      </c>
      <c r="H71" s="977">
        <f>F71*G71</f>
        <v>0</v>
      </c>
      <c r="I71" s="977"/>
      <c r="J71" s="977"/>
      <c r="K71" s="977"/>
      <c r="L71" s="977"/>
      <c r="M71" s="974">
        <f t="shared" si="4"/>
        <v>0</v>
      </c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488"/>
      <c r="BR71" s="488"/>
      <c r="BS71" s="488"/>
      <c r="BT71" s="488"/>
      <c r="BU71" s="488"/>
      <c r="BV71" s="488"/>
      <c r="BW71" s="488"/>
      <c r="BX71" s="488"/>
      <c r="BY71" s="488"/>
      <c r="BZ71" s="488"/>
      <c r="CA71" s="488"/>
      <c r="CB71" s="488"/>
      <c r="CC71" s="488"/>
      <c r="CD71" s="488"/>
      <c r="CE71" s="488"/>
      <c r="CF71" s="488"/>
      <c r="CG71" s="488"/>
      <c r="CH71" s="488"/>
      <c r="CI71" s="488"/>
      <c r="CJ71" s="488"/>
      <c r="CK71" s="488"/>
      <c r="CL71" s="488"/>
      <c r="CM71" s="488"/>
      <c r="CN71" s="488"/>
      <c r="CO71" s="488"/>
      <c r="CP71" s="488"/>
      <c r="CQ71" s="488"/>
      <c r="CR71" s="488"/>
      <c r="CS71" s="488"/>
      <c r="CT71" s="488"/>
      <c r="CU71" s="488"/>
      <c r="CV71" s="488"/>
      <c r="CW71" s="488"/>
      <c r="CX71" s="488"/>
      <c r="CY71" s="488"/>
      <c r="CZ71" s="488"/>
      <c r="DA71" s="488"/>
      <c r="DB71" s="488"/>
      <c r="DC71" s="488"/>
      <c r="DD71" s="488"/>
      <c r="DE71" s="488"/>
      <c r="DF71" s="488"/>
      <c r="DG71" s="488"/>
      <c r="DH71" s="488"/>
      <c r="DI71" s="488"/>
      <c r="DJ71" s="488"/>
      <c r="DK71" s="488"/>
      <c r="DL71" s="488"/>
      <c r="DM71" s="488"/>
      <c r="DN71" s="488"/>
      <c r="DO71" s="488"/>
      <c r="DP71" s="488"/>
      <c r="DQ71" s="488"/>
      <c r="DR71" s="488"/>
      <c r="DS71" s="488"/>
      <c r="DT71" s="488"/>
      <c r="DU71" s="488"/>
      <c r="DV71" s="488"/>
      <c r="DW71" s="488"/>
      <c r="DX71" s="488"/>
      <c r="DY71" s="488"/>
      <c r="DZ71" s="488"/>
      <c r="EA71" s="488"/>
      <c r="EB71" s="488"/>
      <c r="EC71" s="488"/>
      <c r="ED71" s="488"/>
      <c r="EE71" s="488"/>
      <c r="EF71" s="488"/>
      <c r="EG71" s="488"/>
      <c r="EH71" s="488"/>
      <c r="EI71" s="488"/>
      <c r="EJ71" s="488"/>
      <c r="EK71" s="488"/>
      <c r="EL71" s="488"/>
      <c r="EM71" s="488"/>
      <c r="EN71" s="488"/>
    </row>
    <row r="72" spans="1:144" s="470" customFormat="1" ht="15">
      <c r="A72" s="495"/>
      <c r="B72" s="498" t="s">
        <v>645</v>
      </c>
      <c r="C72" s="484" t="s">
        <v>297</v>
      </c>
      <c r="D72" s="498" t="s">
        <v>70</v>
      </c>
      <c r="E72" s="498">
        <v>15.2</v>
      </c>
      <c r="F72" s="499">
        <f>E72*F67</f>
        <v>1.52</v>
      </c>
      <c r="G72" s="977">
        <v>0</v>
      </c>
      <c r="H72" s="977">
        <f>F72*G72</f>
        <v>0</v>
      </c>
      <c r="I72" s="977"/>
      <c r="J72" s="977"/>
      <c r="K72" s="977"/>
      <c r="L72" s="977"/>
      <c r="M72" s="974">
        <f t="shared" si="4"/>
        <v>0</v>
      </c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8"/>
      <c r="AS72" s="488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8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488"/>
      <c r="BR72" s="488"/>
      <c r="BS72" s="488"/>
      <c r="BT72" s="488"/>
      <c r="BU72" s="488"/>
      <c r="BV72" s="488"/>
      <c r="BW72" s="488"/>
      <c r="BX72" s="488"/>
      <c r="BY72" s="488"/>
      <c r="BZ72" s="488"/>
      <c r="CA72" s="488"/>
      <c r="CB72" s="488"/>
      <c r="CC72" s="488"/>
      <c r="CD72" s="488"/>
      <c r="CE72" s="488"/>
      <c r="CF72" s="488"/>
      <c r="CG72" s="488"/>
      <c r="CH72" s="488"/>
      <c r="CI72" s="488"/>
      <c r="CJ72" s="488"/>
      <c r="CK72" s="488"/>
      <c r="CL72" s="488"/>
      <c r="CM72" s="488"/>
      <c r="CN72" s="488"/>
      <c r="CO72" s="488"/>
      <c r="CP72" s="488"/>
      <c r="CQ72" s="488"/>
      <c r="CR72" s="488"/>
      <c r="CS72" s="488"/>
      <c r="CT72" s="488"/>
      <c r="CU72" s="488"/>
      <c r="CV72" s="488"/>
      <c r="CW72" s="488"/>
      <c r="CX72" s="488"/>
      <c r="CY72" s="488"/>
      <c r="CZ72" s="488"/>
      <c r="DA72" s="488"/>
      <c r="DB72" s="488"/>
      <c r="DC72" s="488"/>
      <c r="DD72" s="488"/>
      <c r="DE72" s="488"/>
      <c r="DF72" s="488"/>
      <c r="DG72" s="488"/>
      <c r="DH72" s="488"/>
      <c r="DI72" s="488"/>
      <c r="DJ72" s="488"/>
      <c r="DK72" s="488"/>
      <c r="DL72" s="488"/>
      <c r="DM72" s="488"/>
      <c r="DN72" s="488"/>
      <c r="DO72" s="488"/>
      <c r="DP72" s="488"/>
      <c r="DQ72" s="488"/>
      <c r="DR72" s="488"/>
      <c r="DS72" s="488"/>
      <c r="DT72" s="488"/>
      <c r="DU72" s="488"/>
      <c r="DV72" s="488"/>
      <c r="DW72" s="488"/>
      <c r="DX72" s="488"/>
      <c r="DY72" s="488"/>
      <c r="DZ72" s="488"/>
      <c r="EA72" s="488"/>
      <c r="EB72" s="488"/>
      <c r="EC72" s="488"/>
      <c r="ED72" s="488"/>
      <c r="EE72" s="488"/>
      <c r="EF72" s="488"/>
      <c r="EG72" s="488"/>
      <c r="EH72" s="488"/>
      <c r="EI72" s="488"/>
      <c r="EJ72" s="488"/>
      <c r="EK72" s="488"/>
      <c r="EL72" s="488"/>
      <c r="EM72" s="488"/>
      <c r="EN72" s="488"/>
    </row>
    <row r="73" spans="1:144" s="470" customFormat="1" ht="15">
      <c r="A73" s="278"/>
      <c r="B73" s="481"/>
      <c r="C73" s="475" t="s">
        <v>68</v>
      </c>
      <c r="D73" s="278" t="s">
        <v>69</v>
      </c>
      <c r="E73" s="278">
        <v>2.78</v>
      </c>
      <c r="F73" s="501">
        <f>E73*F67</f>
        <v>0.27799999999999997</v>
      </c>
      <c r="G73" s="974">
        <v>0</v>
      </c>
      <c r="H73" s="978">
        <f>F73*G73</f>
        <v>0</v>
      </c>
      <c r="I73" s="974"/>
      <c r="J73" s="978"/>
      <c r="K73" s="974"/>
      <c r="L73" s="974"/>
      <c r="M73" s="974">
        <f t="shared" si="4"/>
        <v>0</v>
      </c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88"/>
      <c r="BX73" s="488"/>
      <c r="BY73" s="488"/>
      <c r="BZ73" s="488"/>
      <c r="CA73" s="488"/>
      <c r="CB73" s="488"/>
      <c r="CC73" s="488"/>
      <c r="CD73" s="488"/>
      <c r="CE73" s="488"/>
      <c r="CF73" s="488"/>
      <c r="CG73" s="488"/>
      <c r="CH73" s="488"/>
      <c r="CI73" s="488"/>
      <c r="CJ73" s="488"/>
      <c r="CK73" s="488"/>
      <c r="CL73" s="488"/>
      <c r="CM73" s="488"/>
      <c r="CN73" s="488"/>
      <c r="CO73" s="488"/>
      <c r="CP73" s="488"/>
      <c r="CQ73" s="488"/>
      <c r="CR73" s="488"/>
      <c r="CS73" s="488"/>
      <c r="CT73" s="488"/>
      <c r="CU73" s="488"/>
      <c r="CV73" s="488"/>
      <c r="CW73" s="488"/>
      <c r="CX73" s="488"/>
      <c r="CY73" s="488"/>
      <c r="CZ73" s="488"/>
      <c r="DA73" s="488"/>
      <c r="DB73" s="488"/>
      <c r="DC73" s="488"/>
      <c r="DD73" s="488"/>
      <c r="DE73" s="488"/>
      <c r="DF73" s="488"/>
      <c r="DG73" s="488"/>
      <c r="DH73" s="488"/>
      <c r="DI73" s="488"/>
      <c r="DJ73" s="488"/>
      <c r="DK73" s="488"/>
      <c r="DL73" s="488"/>
      <c r="DM73" s="488"/>
      <c r="DN73" s="488"/>
      <c r="DO73" s="488"/>
      <c r="DP73" s="488"/>
      <c r="DQ73" s="488"/>
      <c r="DR73" s="488"/>
      <c r="DS73" s="488"/>
      <c r="DT73" s="488"/>
      <c r="DU73" s="488"/>
      <c r="DV73" s="488"/>
      <c r="DW73" s="488"/>
      <c r="DX73" s="488"/>
      <c r="DY73" s="488"/>
      <c r="DZ73" s="488"/>
      <c r="EA73" s="488"/>
      <c r="EB73" s="488"/>
      <c r="EC73" s="488"/>
      <c r="ED73" s="488"/>
      <c r="EE73" s="488"/>
      <c r="EF73" s="488"/>
      <c r="EG73" s="488"/>
      <c r="EH73" s="488"/>
      <c r="EI73" s="488"/>
      <c r="EJ73" s="488"/>
      <c r="EK73" s="488"/>
      <c r="EL73" s="488"/>
      <c r="EM73" s="488"/>
      <c r="EN73" s="488"/>
    </row>
    <row r="74" spans="1:144" s="470" customFormat="1" ht="30">
      <c r="A74" s="471">
        <v>11</v>
      </c>
      <c r="B74" s="479" t="s">
        <v>646</v>
      </c>
      <c r="C74" s="502" t="s">
        <v>647</v>
      </c>
      <c r="D74" s="471" t="s">
        <v>67</v>
      </c>
      <c r="E74" s="471"/>
      <c r="F74" s="503">
        <v>4.0000000000000001E-3</v>
      </c>
      <c r="G74" s="975"/>
      <c r="H74" s="975"/>
      <c r="I74" s="975"/>
      <c r="J74" s="975"/>
      <c r="K74" s="975"/>
      <c r="L74" s="975"/>
      <c r="M74" s="975">
        <f>SUM(M75:M78)</f>
        <v>0</v>
      </c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489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89"/>
      <c r="AS74" s="489"/>
      <c r="AT74" s="489"/>
      <c r="AU74" s="489"/>
      <c r="AV74" s="489"/>
      <c r="AW74" s="489"/>
      <c r="AX74" s="489"/>
      <c r="AY74" s="489"/>
      <c r="AZ74" s="489"/>
      <c r="BA74" s="489"/>
      <c r="BB74" s="489"/>
      <c r="BC74" s="489"/>
      <c r="BD74" s="489"/>
      <c r="BE74" s="489"/>
      <c r="BF74" s="489"/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489"/>
      <c r="CD74" s="489"/>
      <c r="CE74" s="489"/>
      <c r="CF74" s="489"/>
      <c r="CG74" s="489"/>
      <c r="CH74" s="489"/>
      <c r="CI74" s="489"/>
      <c r="CJ74" s="489"/>
      <c r="CK74" s="489"/>
      <c r="CL74" s="489"/>
      <c r="CM74" s="489"/>
      <c r="CN74" s="489"/>
      <c r="CO74" s="489"/>
      <c r="CP74" s="489"/>
      <c r="CQ74" s="489"/>
      <c r="CR74" s="489"/>
      <c r="CS74" s="489"/>
      <c r="CT74" s="489"/>
      <c r="CU74" s="489"/>
      <c r="CV74" s="489"/>
      <c r="CW74" s="489"/>
      <c r="CX74" s="489"/>
      <c r="CY74" s="489"/>
      <c r="CZ74" s="489"/>
      <c r="DA74" s="489"/>
      <c r="DB74" s="489"/>
      <c r="DC74" s="489"/>
      <c r="DD74" s="489"/>
      <c r="DE74" s="489"/>
      <c r="DF74" s="489"/>
      <c r="DG74" s="489"/>
      <c r="DH74" s="489"/>
      <c r="DI74" s="489"/>
      <c r="DJ74" s="489"/>
      <c r="DK74" s="489"/>
      <c r="DL74" s="489"/>
      <c r="DM74" s="489"/>
      <c r="DN74" s="489"/>
      <c r="DO74" s="489"/>
      <c r="DP74" s="489"/>
      <c r="DQ74" s="489"/>
      <c r="DR74" s="489"/>
      <c r="DS74" s="489"/>
      <c r="DT74" s="489"/>
      <c r="DU74" s="489"/>
      <c r="DV74" s="489"/>
      <c r="DW74" s="489"/>
      <c r="DX74" s="489"/>
      <c r="DY74" s="489"/>
      <c r="DZ74" s="489"/>
      <c r="EA74" s="489"/>
      <c r="EB74" s="489"/>
      <c r="EC74" s="489"/>
      <c r="ED74" s="489"/>
      <c r="EE74" s="489"/>
      <c r="EF74" s="489"/>
      <c r="EG74" s="489"/>
      <c r="EH74" s="489"/>
      <c r="EI74" s="489"/>
      <c r="EJ74" s="489"/>
      <c r="EK74" s="489"/>
      <c r="EL74" s="489"/>
      <c r="EM74" s="489"/>
      <c r="EN74" s="489"/>
    </row>
    <row r="75" spans="1:144" s="470" customFormat="1" ht="15">
      <c r="A75" s="278"/>
      <c r="B75" s="474"/>
      <c r="C75" s="475" t="s">
        <v>58</v>
      </c>
      <c r="D75" s="278" t="s">
        <v>5</v>
      </c>
      <c r="E75" s="278">
        <v>305</v>
      </c>
      <c r="F75" s="476">
        <f>E75*F74</f>
        <v>1.22</v>
      </c>
      <c r="G75" s="974"/>
      <c r="H75" s="974"/>
      <c r="I75" s="974">
        <v>0</v>
      </c>
      <c r="J75" s="974">
        <f>I75*F75</f>
        <v>0</v>
      </c>
      <c r="K75" s="974"/>
      <c r="L75" s="974"/>
      <c r="M75" s="974">
        <f t="shared" ref="M75:M92" si="6">L75+J75+H75</f>
        <v>0</v>
      </c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  <c r="BZ75" s="488"/>
      <c r="CA75" s="488"/>
      <c r="CB75" s="488"/>
      <c r="CC75" s="488"/>
      <c r="CD75" s="488"/>
      <c r="CE75" s="488"/>
      <c r="CF75" s="488"/>
      <c r="CG75" s="488"/>
      <c r="CH75" s="488"/>
      <c r="CI75" s="488"/>
      <c r="CJ75" s="488"/>
      <c r="CK75" s="488"/>
      <c r="CL75" s="488"/>
      <c r="CM75" s="488"/>
      <c r="CN75" s="488"/>
      <c r="CO75" s="488"/>
      <c r="CP75" s="488"/>
      <c r="CQ75" s="488"/>
      <c r="CR75" s="488"/>
      <c r="CS75" s="488"/>
      <c r="CT75" s="488"/>
      <c r="CU75" s="488"/>
      <c r="CV75" s="488"/>
      <c r="CW75" s="488"/>
      <c r="CX75" s="488"/>
      <c r="CY75" s="488"/>
      <c r="CZ75" s="488"/>
      <c r="DA75" s="488"/>
      <c r="DB75" s="488"/>
      <c r="DC75" s="488"/>
      <c r="DD75" s="488"/>
      <c r="DE75" s="488"/>
      <c r="DF75" s="488"/>
      <c r="DG75" s="488"/>
      <c r="DH75" s="488"/>
      <c r="DI75" s="488"/>
      <c r="DJ75" s="488"/>
      <c r="DK75" s="488"/>
      <c r="DL75" s="488"/>
      <c r="DM75" s="488"/>
      <c r="DN75" s="488"/>
      <c r="DO75" s="488"/>
      <c r="DP75" s="488"/>
      <c r="DQ75" s="488"/>
      <c r="DR75" s="488"/>
      <c r="DS75" s="488"/>
      <c r="DT75" s="488"/>
      <c r="DU75" s="488"/>
      <c r="DV75" s="488"/>
      <c r="DW75" s="488"/>
      <c r="DX75" s="488"/>
      <c r="DY75" s="488"/>
      <c r="DZ75" s="488"/>
      <c r="EA75" s="488"/>
      <c r="EB75" s="488"/>
      <c r="EC75" s="488"/>
      <c r="ED75" s="488"/>
      <c r="EE75" s="488"/>
      <c r="EF75" s="488"/>
      <c r="EG75" s="488"/>
      <c r="EH75" s="488"/>
      <c r="EI75" s="488"/>
      <c r="EJ75" s="488"/>
      <c r="EK75" s="488"/>
      <c r="EL75" s="488"/>
      <c r="EM75" s="488"/>
      <c r="EN75" s="488"/>
    </row>
    <row r="76" spans="1:144" s="470" customFormat="1" ht="15">
      <c r="A76" s="278"/>
      <c r="B76" s="481"/>
      <c r="C76" s="475" t="s">
        <v>64</v>
      </c>
      <c r="D76" s="278" t="s">
        <v>69</v>
      </c>
      <c r="E76" s="278">
        <v>162</v>
      </c>
      <c r="F76" s="476">
        <f>E76*F74</f>
        <v>0.64800000000000002</v>
      </c>
      <c r="G76" s="974"/>
      <c r="H76" s="974"/>
      <c r="I76" s="974"/>
      <c r="J76" s="974"/>
      <c r="K76" s="974">
        <v>0</v>
      </c>
      <c r="L76" s="974">
        <f>F76*K76</f>
        <v>0</v>
      </c>
      <c r="M76" s="974">
        <f t="shared" si="6"/>
        <v>0</v>
      </c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488"/>
      <c r="BC76" s="488"/>
      <c r="BD76" s="488"/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8"/>
      <c r="BZ76" s="488"/>
      <c r="CA76" s="488"/>
      <c r="CB76" s="488"/>
      <c r="CC76" s="488"/>
      <c r="CD76" s="488"/>
      <c r="CE76" s="488"/>
      <c r="CF76" s="488"/>
      <c r="CG76" s="488"/>
      <c r="CH76" s="488"/>
      <c r="CI76" s="488"/>
      <c r="CJ76" s="488"/>
      <c r="CK76" s="488"/>
      <c r="CL76" s="488"/>
      <c r="CM76" s="488"/>
      <c r="CN76" s="488"/>
      <c r="CO76" s="488"/>
      <c r="CP76" s="488"/>
      <c r="CQ76" s="488"/>
      <c r="CR76" s="488"/>
      <c r="CS76" s="488"/>
      <c r="CT76" s="488"/>
      <c r="CU76" s="488"/>
      <c r="CV76" s="488"/>
      <c r="CW76" s="488"/>
      <c r="CX76" s="488"/>
      <c r="CY76" s="488"/>
      <c r="CZ76" s="488"/>
      <c r="DA76" s="488"/>
      <c r="DB76" s="488"/>
      <c r="DC76" s="488"/>
      <c r="DD76" s="488"/>
      <c r="DE76" s="488"/>
      <c r="DF76" s="488"/>
      <c r="DG76" s="488"/>
      <c r="DH76" s="488"/>
      <c r="DI76" s="488"/>
      <c r="DJ76" s="488"/>
      <c r="DK76" s="488"/>
      <c r="DL76" s="488"/>
      <c r="DM76" s="488"/>
      <c r="DN76" s="488"/>
      <c r="DO76" s="488"/>
      <c r="DP76" s="488"/>
      <c r="DQ76" s="488"/>
      <c r="DR76" s="488"/>
      <c r="DS76" s="488"/>
      <c r="DT76" s="488"/>
      <c r="DU76" s="488"/>
      <c r="DV76" s="488"/>
      <c r="DW76" s="488"/>
      <c r="DX76" s="488"/>
      <c r="DY76" s="488"/>
      <c r="DZ76" s="488"/>
      <c r="EA76" s="488"/>
      <c r="EB76" s="488"/>
      <c r="EC76" s="488"/>
      <c r="ED76" s="488"/>
      <c r="EE76" s="488"/>
      <c r="EF76" s="488"/>
      <c r="EG76" s="488"/>
      <c r="EH76" s="488"/>
      <c r="EI76" s="488"/>
      <c r="EJ76" s="488"/>
      <c r="EK76" s="488"/>
      <c r="EL76" s="488"/>
      <c r="EM76" s="488"/>
      <c r="EN76" s="488"/>
    </row>
    <row r="77" spans="1:144" s="470" customFormat="1" ht="15">
      <c r="A77" s="278"/>
      <c r="B77" s="481" t="s">
        <v>648</v>
      </c>
      <c r="C77" s="500" t="s">
        <v>649</v>
      </c>
      <c r="D77" s="278" t="s">
        <v>67</v>
      </c>
      <c r="E77" s="278">
        <v>1</v>
      </c>
      <c r="F77" s="476">
        <f>E77*F74</f>
        <v>4.0000000000000001E-3</v>
      </c>
      <c r="G77" s="974">
        <v>0</v>
      </c>
      <c r="H77" s="974">
        <f>F77*G77</f>
        <v>0</v>
      </c>
      <c r="I77" s="974"/>
      <c r="J77" s="974"/>
      <c r="K77" s="974"/>
      <c r="L77" s="974"/>
      <c r="M77" s="974">
        <f t="shared" si="6"/>
        <v>0</v>
      </c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488"/>
      <c r="BX77" s="488"/>
      <c r="BY77" s="488"/>
      <c r="BZ77" s="488"/>
      <c r="CA77" s="488"/>
      <c r="CB77" s="488"/>
      <c r="CC77" s="488"/>
      <c r="CD77" s="488"/>
      <c r="CE77" s="488"/>
      <c r="CF77" s="488"/>
      <c r="CG77" s="488"/>
      <c r="CH77" s="488"/>
      <c r="CI77" s="488"/>
      <c r="CJ77" s="488"/>
      <c r="CK77" s="488"/>
      <c r="CL77" s="488"/>
      <c r="CM77" s="488"/>
      <c r="CN77" s="488"/>
      <c r="CO77" s="488"/>
      <c r="CP77" s="488"/>
      <c r="CQ77" s="488"/>
      <c r="CR77" s="488"/>
      <c r="CS77" s="488"/>
      <c r="CT77" s="488"/>
      <c r="CU77" s="488"/>
      <c r="CV77" s="488"/>
      <c r="CW77" s="488"/>
      <c r="CX77" s="488"/>
      <c r="CY77" s="488"/>
      <c r="CZ77" s="488"/>
      <c r="DA77" s="488"/>
      <c r="DB77" s="488"/>
      <c r="DC77" s="488"/>
      <c r="DD77" s="488"/>
      <c r="DE77" s="488"/>
      <c r="DF77" s="488"/>
      <c r="DG77" s="488"/>
      <c r="DH77" s="488"/>
      <c r="DI77" s="488"/>
      <c r="DJ77" s="488"/>
      <c r="DK77" s="488"/>
      <c r="DL77" s="488"/>
      <c r="DM77" s="488"/>
      <c r="DN77" s="488"/>
      <c r="DO77" s="488"/>
      <c r="DP77" s="488"/>
      <c r="DQ77" s="488"/>
      <c r="DR77" s="488"/>
      <c r="DS77" s="488"/>
      <c r="DT77" s="488"/>
      <c r="DU77" s="488"/>
      <c r="DV77" s="488"/>
      <c r="DW77" s="488"/>
      <c r="DX77" s="488"/>
      <c r="DY77" s="488"/>
      <c r="DZ77" s="488"/>
      <c r="EA77" s="488"/>
      <c r="EB77" s="488"/>
      <c r="EC77" s="488"/>
      <c r="ED77" s="488"/>
      <c r="EE77" s="488"/>
      <c r="EF77" s="488"/>
      <c r="EG77" s="488"/>
      <c r="EH77" s="488"/>
      <c r="EI77" s="488"/>
      <c r="EJ77" s="488"/>
      <c r="EK77" s="488"/>
      <c r="EL77" s="488"/>
      <c r="EM77" s="488"/>
      <c r="EN77" s="488"/>
    </row>
    <row r="78" spans="1:144" s="470" customFormat="1" ht="15">
      <c r="A78" s="278"/>
      <c r="B78" s="469"/>
      <c r="C78" s="475" t="s">
        <v>68</v>
      </c>
      <c r="D78" s="278" t="s">
        <v>69</v>
      </c>
      <c r="E78" s="278">
        <v>49.2</v>
      </c>
      <c r="F78" s="476">
        <f>E78*F74</f>
        <v>0.1968</v>
      </c>
      <c r="G78" s="974">
        <v>0</v>
      </c>
      <c r="H78" s="974">
        <f>F78*G78</f>
        <v>0</v>
      </c>
      <c r="I78" s="974"/>
      <c r="J78" s="974"/>
      <c r="K78" s="974"/>
      <c r="L78" s="974"/>
      <c r="M78" s="974">
        <f t="shared" si="6"/>
        <v>0</v>
      </c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/>
      <c r="BE78" s="488"/>
      <c r="BF78" s="488"/>
      <c r="BG78" s="488"/>
      <c r="BH78" s="488"/>
      <c r="BI78" s="488"/>
      <c r="BJ78" s="488"/>
      <c r="BK78" s="488"/>
      <c r="BL78" s="488"/>
      <c r="BM78" s="488"/>
      <c r="BN78" s="488"/>
      <c r="BO78" s="488"/>
      <c r="BP78" s="488"/>
      <c r="BQ78" s="488"/>
      <c r="BR78" s="488"/>
      <c r="BS78" s="488"/>
      <c r="BT78" s="488"/>
      <c r="BU78" s="488"/>
      <c r="BV78" s="488"/>
      <c r="BW78" s="488"/>
      <c r="BX78" s="488"/>
      <c r="BY78" s="488"/>
      <c r="BZ78" s="488"/>
      <c r="CA78" s="488"/>
      <c r="CB78" s="488"/>
      <c r="CC78" s="488"/>
      <c r="CD78" s="488"/>
      <c r="CE78" s="488"/>
      <c r="CF78" s="488"/>
      <c r="CG78" s="488"/>
      <c r="CH78" s="488"/>
      <c r="CI78" s="488"/>
      <c r="CJ78" s="488"/>
      <c r="CK78" s="488"/>
      <c r="CL78" s="488"/>
      <c r="CM78" s="488"/>
      <c r="CN78" s="488"/>
      <c r="CO78" s="488"/>
      <c r="CP78" s="488"/>
      <c r="CQ78" s="488"/>
      <c r="CR78" s="488"/>
      <c r="CS78" s="488"/>
      <c r="CT78" s="488"/>
      <c r="CU78" s="488"/>
      <c r="CV78" s="488"/>
      <c r="CW78" s="488"/>
      <c r="CX78" s="488"/>
      <c r="CY78" s="488"/>
      <c r="CZ78" s="488"/>
      <c r="DA78" s="488"/>
      <c r="DB78" s="488"/>
      <c r="DC78" s="488"/>
      <c r="DD78" s="488"/>
      <c r="DE78" s="488"/>
      <c r="DF78" s="488"/>
      <c r="DG78" s="488"/>
      <c r="DH78" s="488"/>
      <c r="DI78" s="488"/>
      <c r="DJ78" s="488"/>
      <c r="DK78" s="488"/>
      <c r="DL78" s="488"/>
      <c r="DM78" s="488"/>
      <c r="DN78" s="488"/>
      <c r="DO78" s="488"/>
      <c r="DP78" s="488"/>
      <c r="DQ78" s="488"/>
      <c r="DR78" s="488"/>
      <c r="DS78" s="488"/>
      <c r="DT78" s="488"/>
      <c r="DU78" s="488"/>
      <c r="DV78" s="488"/>
      <c r="DW78" s="488"/>
      <c r="DX78" s="488"/>
      <c r="DY78" s="488"/>
      <c r="DZ78" s="488"/>
      <c r="EA78" s="488"/>
      <c r="EB78" s="488"/>
      <c r="EC78" s="488"/>
      <c r="ED78" s="488"/>
      <c r="EE78" s="488"/>
      <c r="EF78" s="488"/>
      <c r="EG78" s="488"/>
      <c r="EH78" s="488"/>
      <c r="EI78" s="488"/>
      <c r="EJ78" s="488"/>
      <c r="EK78" s="488"/>
      <c r="EL78" s="488"/>
      <c r="EM78" s="488"/>
      <c r="EN78" s="488"/>
    </row>
    <row r="79" spans="1:144" s="470" customFormat="1" ht="15">
      <c r="A79" s="471">
        <v>12</v>
      </c>
      <c r="B79" s="472" t="s">
        <v>303</v>
      </c>
      <c r="C79" s="504" t="s">
        <v>650</v>
      </c>
      <c r="D79" s="471" t="s">
        <v>67</v>
      </c>
      <c r="E79" s="471"/>
      <c r="F79" s="478">
        <f>0.001*3*17.2</f>
        <v>5.16E-2</v>
      </c>
      <c r="G79" s="975"/>
      <c r="H79" s="975"/>
      <c r="I79" s="975"/>
      <c r="J79" s="975"/>
      <c r="K79" s="975"/>
      <c r="L79" s="975"/>
      <c r="M79" s="975">
        <f>SUM(M80:M87)</f>
        <v>0</v>
      </c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9"/>
      <c r="BA79" s="489"/>
      <c r="BB79" s="489"/>
      <c r="BC79" s="489"/>
      <c r="BD79" s="489"/>
      <c r="BE79" s="489"/>
      <c r="BF79" s="489"/>
      <c r="BG79" s="489"/>
      <c r="BH79" s="489"/>
      <c r="BI79" s="489"/>
      <c r="BJ79" s="489"/>
      <c r="BK79" s="489"/>
      <c r="BL79" s="489"/>
      <c r="BM79" s="489"/>
      <c r="BN79" s="489"/>
      <c r="BO79" s="489"/>
      <c r="BP79" s="489"/>
      <c r="BQ79" s="489"/>
      <c r="BR79" s="489"/>
      <c r="BS79" s="489"/>
      <c r="BT79" s="489"/>
      <c r="BU79" s="489"/>
      <c r="BV79" s="489"/>
      <c r="BW79" s="489"/>
      <c r="BX79" s="489"/>
      <c r="BY79" s="489"/>
      <c r="BZ79" s="489"/>
      <c r="CA79" s="489"/>
      <c r="CB79" s="489"/>
      <c r="CC79" s="489"/>
      <c r="CD79" s="489"/>
      <c r="CE79" s="489"/>
      <c r="CF79" s="489"/>
      <c r="CG79" s="489"/>
      <c r="CH79" s="489"/>
      <c r="CI79" s="489"/>
      <c r="CJ79" s="489"/>
      <c r="CK79" s="489"/>
      <c r="CL79" s="489"/>
      <c r="CM79" s="489"/>
      <c r="CN79" s="489"/>
      <c r="CO79" s="489"/>
      <c r="CP79" s="489"/>
      <c r="CQ79" s="489"/>
      <c r="CR79" s="489"/>
      <c r="CS79" s="489"/>
      <c r="CT79" s="489"/>
      <c r="CU79" s="489"/>
      <c r="CV79" s="489"/>
      <c r="CW79" s="489"/>
      <c r="CX79" s="489"/>
      <c r="CY79" s="489"/>
      <c r="CZ79" s="489"/>
      <c r="DA79" s="489"/>
      <c r="DB79" s="489"/>
      <c r="DC79" s="489"/>
      <c r="DD79" s="489"/>
      <c r="DE79" s="489"/>
      <c r="DF79" s="489"/>
      <c r="DG79" s="489"/>
      <c r="DH79" s="489"/>
      <c r="DI79" s="489"/>
      <c r="DJ79" s="489"/>
      <c r="DK79" s="489"/>
      <c r="DL79" s="489"/>
      <c r="DM79" s="489"/>
      <c r="DN79" s="489"/>
      <c r="DO79" s="489"/>
      <c r="DP79" s="489"/>
      <c r="DQ79" s="489"/>
      <c r="DR79" s="489"/>
      <c r="DS79" s="489"/>
      <c r="DT79" s="489"/>
      <c r="DU79" s="489"/>
      <c r="DV79" s="489"/>
      <c r="DW79" s="489"/>
      <c r="DX79" s="489"/>
      <c r="DY79" s="489"/>
      <c r="DZ79" s="489"/>
      <c r="EA79" s="489"/>
      <c r="EB79" s="489"/>
      <c r="EC79" s="489"/>
      <c r="ED79" s="489"/>
      <c r="EE79" s="489"/>
      <c r="EF79" s="489"/>
      <c r="EG79" s="489"/>
      <c r="EH79" s="489"/>
      <c r="EI79" s="489"/>
      <c r="EJ79" s="489"/>
      <c r="EK79" s="489"/>
      <c r="EL79" s="489"/>
      <c r="EM79" s="489"/>
      <c r="EN79" s="489"/>
    </row>
    <row r="80" spans="1:144" s="470" customFormat="1" ht="15">
      <c r="A80" s="278"/>
      <c r="B80" s="474"/>
      <c r="C80" s="475" t="s">
        <v>58</v>
      </c>
      <c r="D80" s="278" t="s">
        <v>5</v>
      </c>
      <c r="E80" s="278">
        <v>52.2</v>
      </c>
      <c r="F80" s="476">
        <f>E80*F79</f>
        <v>2.6935200000000004</v>
      </c>
      <c r="G80" s="974"/>
      <c r="H80" s="974"/>
      <c r="I80" s="974">
        <v>0</v>
      </c>
      <c r="J80" s="974">
        <f>I80*F80</f>
        <v>0</v>
      </c>
      <c r="K80" s="974"/>
      <c r="L80" s="974"/>
      <c r="M80" s="974">
        <f t="shared" si="6"/>
        <v>0</v>
      </c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8"/>
      <c r="BZ80" s="488"/>
      <c r="CA80" s="488"/>
      <c r="CB80" s="488"/>
      <c r="CC80" s="488"/>
      <c r="CD80" s="488"/>
      <c r="CE80" s="488"/>
      <c r="CF80" s="488"/>
      <c r="CG80" s="488"/>
      <c r="CH80" s="488"/>
      <c r="CI80" s="488"/>
      <c r="CJ80" s="488"/>
      <c r="CK80" s="488"/>
      <c r="CL80" s="488"/>
      <c r="CM80" s="488"/>
      <c r="CN80" s="488"/>
      <c r="CO80" s="488"/>
      <c r="CP80" s="488"/>
      <c r="CQ80" s="488"/>
      <c r="CR80" s="488"/>
      <c r="CS80" s="488"/>
      <c r="CT80" s="488"/>
      <c r="CU80" s="488"/>
      <c r="CV80" s="488"/>
      <c r="CW80" s="488"/>
      <c r="CX80" s="488"/>
      <c r="CY80" s="488"/>
      <c r="CZ80" s="488"/>
      <c r="DA80" s="488"/>
      <c r="DB80" s="488"/>
      <c r="DC80" s="488"/>
      <c r="DD80" s="488"/>
      <c r="DE80" s="488"/>
      <c r="DF80" s="488"/>
      <c r="DG80" s="488"/>
      <c r="DH80" s="488"/>
      <c r="DI80" s="488"/>
      <c r="DJ80" s="488"/>
      <c r="DK80" s="488"/>
      <c r="DL80" s="488"/>
      <c r="DM80" s="488"/>
      <c r="DN80" s="488"/>
      <c r="DO80" s="488"/>
      <c r="DP80" s="488"/>
      <c r="DQ80" s="488"/>
      <c r="DR80" s="488"/>
      <c r="DS80" s="488"/>
      <c r="DT80" s="488"/>
      <c r="DU80" s="488"/>
      <c r="DV80" s="488"/>
      <c r="DW80" s="488"/>
      <c r="DX80" s="488"/>
      <c r="DY80" s="488"/>
      <c r="DZ80" s="488"/>
      <c r="EA80" s="488"/>
      <c r="EB80" s="488"/>
      <c r="EC80" s="488"/>
      <c r="ED80" s="488"/>
      <c r="EE80" s="488"/>
      <c r="EF80" s="488"/>
      <c r="EG80" s="488"/>
      <c r="EH80" s="488"/>
      <c r="EI80" s="488"/>
      <c r="EJ80" s="488"/>
      <c r="EK80" s="488"/>
      <c r="EL80" s="488"/>
      <c r="EM80" s="488"/>
      <c r="EN80" s="488"/>
    </row>
    <row r="81" spans="1:144" s="470" customFormat="1" ht="15">
      <c r="A81" s="495"/>
      <c r="B81" s="496" t="s">
        <v>651</v>
      </c>
      <c r="C81" s="500" t="s">
        <v>305</v>
      </c>
      <c r="D81" s="498" t="s">
        <v>229</v>
      </c>
      <c r="E81" s="498">
        <v>0.74</v>
      </c>
      <c r="F81" s="499">
        <f>E81*F79</f>
        <v>3.8184000000000003E-2</v>
      </c>
      <c r="G81" s="977"/>
      <c r="H81" s="977"/>
      <c r="I81" s="977"/>
      <c r="J81" s="974"/>
      <c r="K81" s="977">
        <v>0</v>
      </c>
      <c r="L81" s="977">
        <f>K81*F81</f>
        <v>0</v>
      </c>
      <c r="M81" s="974">
        <f t="shared" si="6"/>
        <v>0</v>
      </c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  <c r="CC81" s="488"/>
      <c r="CD81" s="488"/>
      <c r="CE81" s="488"/>
      <c r="CF81" s="488"/>
      <c r="CG81" s="488"/>
      <c r="CH81" s="488"/>
      <c r="CI81" s="488"/>
      <c r="CJ81" s="488"/>
      <c r="CK81" s="488"/>
      <c r="CL81" s="488"/>
      <c r="CM81" s="488"/>
      <c r="CN81" s="488"/>
      <c r="CO81" s="488"/>
      <c r="CP81" s="488"/>
      <c r="CQ81" s="488"/>
      <c r="CR81" s="488"/>
      <c r="CS81" s="488"/>
      <c r="CT81" s="488"/>
      <c r="CU81" s="488"/>
      <c r="CV81" s="488"/>
      <c r="CW81" s="488"/>
      <c r="CX81" s="488"/>
      <c r="CY81" s="488"/>
      <c r="CZ81" s="488"/>
      <c r="DA81" s="488"/>
      <c r="DB81" s="488"/>
      <c r="DC81" s="488"/>
      <c r="DD81" s="488"/>
      <c r="DE81" s="488"/>
      <c r="DF81" s="488"/>
      <c r="DG81" s="488"/>
      <c r="DH81" s="488"/>
      <c r="DI81" s="488"/>
      <c r="DJ81" s="488"/>
      <c r="DK81" s="488"/>
      <c r="DL81" s="488"/>
      <c r="DM81" s="488"/>
      <c r="DN81" s="488"/>
      <c r="DO81" s="488"/>
      <c r="DP81" s="488"/>
      <c r="DQ81" s="488"/>
      <c r="DR81" s="488"/>
      <c r="DS81" s="488"/>
      <c r="DT81" s="488"/>
      <c r="DU81" s="488"/>
      <c r="DV81" s="488"/>
      <c r="DW81" s="488"/>
      <c r="DX81" s="488"/>
      <c r="DY81" s="488"/>
      <c r="DZ81" s="488"/>
      <c r="EA81" s="488"/>
      <c r="EB81" s="488"/>
      <c r="EC81" s="488"/>
      <c r="ED81" s="488"/>
      <c r="EE81" s="488"/>
      <c r="EF81" s="488"/>
      <c r="EG81" s="488"/>
      <c r="EH81" s="488"/>
      <c r="EI81" s="488"/>
      <c r="EJ81" s="488"/>
      <c r="EK81" s="488"/>
      <c r="EL81" s="488"/>
      <c r="EM81" s="488"/>
      <c r="EN81" s="488"/>
    </row>
    <row r="82" spans="1:144" ht="15">
      <c r="A82" s="278"/>
      <c r="B82" s="481"/>
      <c r="C82" s="475" t="s">
        <v>358</v>
      </c>
      <c r="D82" s="278" t="s">
        <v>69</v>
      </c>
      <c r="E82" s="278">
        <v>8.2899999999999991</v>
      </c>
      <c r="F82" s="476">
        <f>E82*F79</f>
        <v>0.42776399999999998</v>
      </c>
      <c r="G82" s="974"/>
      <c r="H82" s="974"/>
      <c r="I82" s="974"/>
      <c r="J82" s="974"/>
      <c r="K82" s="974">
        <v>0</v>
      </c>
      <c r="L82" s="974">
        <f>F82*K82</f>
        <v>0</v>
      </c>
      <c r="M82" s="974">
        <f t="shared" si="6"/>
        <v>0</v>
      </c>
    </row>
    <row r="83" spans="1:144" ht="15">
      <c r="A83" s="278"/>
      <c r="B83" s="481" t="s">
        <v>306</v>
      </c>
      <c r="C83" s="477" t="s">
        <v>652</v>
      </c>
      <c r="D83" s="278" t="s">
        <v>67</v>
      </c>
      <c r="E83" s="278"/>
      <c r="F83" s="476">
        <f>F79</f>
        <v>5.16E-2</v>
      </c>
      <c r="G83" s="974">
        <v>0</v>
      </c>
      <c r="H83" s="974">
        <f>F83*G83</f>
        <v>0</v>
      </c>
      <c r="I83" s="974"/>
      <c r="J83" s="974"/>
      <c r="K83" s="974"/>
      <c r="L83" s="974"/>
      <c r="M83" s="974">
        <f t="shared" si="6"/>
        <v>0</v>
      </c>
    </row>
    <row r="84" spans="1:144" s="306" customFormat="1" ht="15">
      <c r="A84" s="278"/>
      <c r="B84" s="311" t="s">
        <v>653</v>
      </c>
      <c r="C84" s="477" t="s">
        <v>654</v>
      </c>
      <c r="D84" s="278" t="s">
        <v>70</v>
      </c>
      <c r="E84" s="278">
        <v>10.5</v>
      </c>
      <c r="F84" s="476">
        <f>E84*F79</f>
        <v>0.54179999999999995</v>
      </c>
      <c r="G84" s="974">
        <v>0</v>
      </c>
      <c r="H84" s="974">
        <f>F84*G84</f>
        <v>0</v>
      </c>
      <c r="I84" s="974"/>
      <c r="J84" s="974"/>
      <c r="K84" s="974"/>
      <c r="L84" s="974"/>
      <c r="M84" s="974">
        <f t="shared" si="6"/>
        <v>0</v>
      </c>
    </row>
    <row r="85" spans="1:144" s="306" customFormat="1" ht="15">
      <c r="A85" s="278"/>
      <c r="B85" s="498" t="s">
        <v>645</v>
      </c>
      <c r="C85" s="477" t="s">
        <v>297</v>
      </c>
      <c r="D85" s="278" t="s">
        <v>70</v>
      </c>
      <c r="E85" s="278">
        <v>20.7</v>
      </c>
      <c r="F85" s="476">
        <f>E85*F79</f>
        <v>1.06812</v>
      </c>
      <c r="G85" s="977">
        <v>0</v>
      </c>
      <c r="H85" s="974">
        <f>F85*G85</f>
        <v>0</v>
      </c>
      <c r="I85" s="974"/>
      <c r="J85" s="974"/>
      <c r="K85" s="974"/>
      <c r="L85" s="974"/>
      <c r="M85" s="974">
        <f t="shared" si="6"/>
        <v>0</v>
      </c>
    </row>
    <row r="86" spans="1:144" s="485" customFormat="1" ht="15">
      <c r="A86" s="278"/>
      <c r="B86" s="481" t="s">
        <v>508</v>
      </c>
      <c r="C86" s="477" t="s">
        <v>298</v>
      </c>
      <c r="D86" s="278" t="s">
        <v>70</v>
      </c>
      <c r="E86" s="278">
        <v>2.5299999999999998</v>
      </c>
      <c r="F86" s="476">
        <f>E86*F79</f>
        <v>0.130548</v>
      </c>
      <c r="G86" s="974">
        <v>0</v>
      </c>
      <c r="H86" s="974">
        <f>F86*G86</f>
        <v>0</v>
      </c>
      <c r="I86" s="974"/>
      <c r="J86" s="974"/>
      <c r="K86" s="974"/>
      <c r="L86" s="974"/>
      <c r="M86" s="974">
        <f t="shared" si="6"/>
        <v>0</v>
      </c>
    </row>
    <row r="87" spans="1:144" s="485" customFormat="1" ht="15">
      <c r="A87" s="278"/>
      <c r="B87" s="469"/>
      <c r="C87" s="475" t="s">
        <v>68</v>
      </c>
      <c r="D87" s="278" t="s">
        <v>69</v>
      </c>
      <c r="E87" s="278">
        <v>2.78</v>
      </c>
      <c r="F87" s="476">
        <f>E87*F79</f>
        <v>0.14344799999999999</v>
      </c>
      <c r="G87" s="974">
        <v>0</v>
      </c>
      <c r="H87" s="974">
        <f>F87*G87</f>
        <v>0</v>
      </c>
      <c r="I87" s="974"/>
      <c r="J87" s="974"/>
      <c r="K87" s="974"/>
      <c r="L87" s="974"/>
      <c r="M87" s="974">
        <f t="shared" si="6"/>
        <v>0</v>
      </c>
    </row>
    <row r="88" spans="1:144" s="506" customFormat="1" ht="15">
      <c r="A88" s="471">
        <v>13</v>
      </c>
      <c r="B88" s="479" t="s">
        <v>538</v>
      </c>
      <c r="C88" s="473" t="s">
        <v>655</v>
      </c>
      <c r="D88" s="471" t="s">
        <v>65</v>
      </c>
      <c r="E88" s="471"/>
      <c r="F88" s="478">
        <v>12</v>
      </c>
      <c r="G88" s="975"/>
      <c r="H88" s="975"/>
      <c r="I88" s="975"/>
      <c r="J88" s="975"/>
      <c r="K88" s="975"/>
      <c r="L88" s="975"/>
      <c r="M88" s="975">
        <f>SUM(M89:M92)</f>
        <v>0</v>
      </c>
    </row>
    <row r="89" spans="1:144" ht="15">
      <c r="A89" s="278"/>
      <c r="B89" s="474"/>
      <c r="C89" s="475" t="s">
        <v>58</v>
      </c>
      <c r="D89" s="278" t="s">
        <v>5</v>
      </c>
      <c r="E89" s="278">
        <v>0.38900000000000001</v>
      </c>
      <c r="F89" s="476">
        <f>E89*F88</f>
        <v>4.6680000000000001</v>
      </c>
      <c r="G89" s="974"/>
      <c r="H89" s="974"/>
      <c r="I89" s="974">
        <v>0</v>
      </c>
      <c r="J89" s="974">
        <f>I89*F89</f>
        <v>0</v>
      </c>
      <c r="K89" s="974"/>
      <c r="L89" s="974"/>
      <c r="M89" s="974">
        <f t="shared" si="6"/>
        <v>0</v>
      </c>
    </row>
    <row r="90" spans="1:144" ht="15">
      <c r="A90" s="278"/>
      <c r="B90" s="481"/>
      <c r="C90" s="475" t="s">
        <v>64</v>
      </c>
      <c r="D90" s="278" t="s">
        <v>69</v>
      </c>
      <c r="E90" s="278">
        <v>0.151</v>
      </c>
      <c r="F90" s="476">
        <f>E90*F88</f>
        <v>1.8119999999999998</v>
      </c>
      <c r="G90" s="974"/>
      <c r="H90" s="974"/>
      <c r="I90" s="974"/>
      <c r="J90" s="974"/>
      <c r="K90" s="974">
        <v>0</v>
      </c>
      <c r="L90" s="974">
        <f>F90*K90</f>
        <v>0</v>
      </c>
      <c r="M90" s="974">
        <f t="shared" si="6"/>
        <v>0</v>
      </c>
    </row>
    <row r="91" spans="1:144" ht="15">
      <c r="A91" s="278"/>
      <c r="B91" s="481" t="s">
        <v>656</v>
      </c>
      <c r="C91" s="507" t="s">
        <v>657</v>
      </c>
      <c r="D91" s="278" t="s">
        <v>65</v>
      </c>
      <c r="E91" s="278">
        <v>1</v>
      </c>
      <c r="F91" s="476">
        <f>E91*F88</f>
        <v>12</v>
      </c>
      <c r="G91" s="974">
        <v>0</v>
      </c>
      <c r="H91" s="974">
        <f>F91*G91</f>
        <v>0</v>
      </c>
      <c r="I91" s="974"/>
      <c r="J91" s="974"/>
      <c r="K91" s="974"/>
      <c r="L91" s="974"/>
      <c r="M91" s="974">
        <f t="shared" si="6"/>
        <v>0</v>
      </c>
    </row>
    <row r="92" spans="1:144" ht="15">
      <c r="A92" s="278"/>
      <c r="B92" s="469"/>
      <c r="C92" s="475" t="s">
        <v>68</v>
      </c>
      <c r="D92" s="278" t="s">
        <v>69</v>
      </c>
      <c r="E92" s="278">
        <v>2.4E-2</v>
      </c>
      <c r="F92" s="476">
        <f>E92*F88</f>
        <v>0.28800000000000003</v>
      </c>
      <c r="G92" s="974">
        <v>0</v>
      </c>
      <c r="H92" s="974">
        <f>F92*G92</f>
        <v>0</v>
      </c>
      <c r="I92" s="974"/>
      <c r="J92" s="974"/>
      <c r="K92" s="974"/>
      <c r="L92" s="974"/>
      <c r="M92" s="974">
        <f t="shared" si="6"/>
        <v>0</v>
      </c>
    </row>
    <row r="93" spans="1:144">
      <c r="A93" s="508"/>
      <c r="B93" s="509"/>
      <c r="C93" s="510" t="s">
        <v>2</v>
      </c>
      <c r="D93" s="954"/>
      <c r="E93" s="955"/>
      <c r="F93" s="955"/>
      <c r="G93" s="955"/>
      <c r="H93" s="955">
        <f>SUM(H9:H92)</f>
        <v>0</v>
      </c>
      <c r="I93" s="955"/>
      <c r="J93" s="955">
        <f>SUM(J9:J92)</f>
        <v>0</v>
      </c>
      <c r="K93" s="955"/>
      <c r="L93" s="955">
        <f>SUM(L9:L92)</f>
        <v>0</v>
      </c>
      <c r="M93" s="955">
        <f>SUM(M8:M92)/2</f>
        <v>0</v>
      </c>
    </row>
    <row r="94" spans="1:144" s="513" customFormat="1">
      <c r="A94" s="511"/>
      <c r="B94" s="511"/>
      <c r="C94" s="512" t="s">
        <v>658</v>
      </c>
      <c r="D94" s="956">
        <v>0</v>
      </c>
      <c r="E94" s="957"/>
      <c r="F94" s="958"/>
      <c r="G94" s="958"/>
      <c r="H94" s="958"/>
      <c r="I94" s="958"/>
      <c r="J94" s="958"/>
      <c r="K94" s="958"/>
      <c r="L94" s="958"/>
      <c r="M94" s="957">
        <f>H93*0.05</f>
        <v>0</v>
      </c>
    </row>
    <row r="95" spans="1:144" s="515" customFormat="1">
      <c r="A95" s="510"/>
      <c r="B95" s="510"/>
      <c r="C95" s="514" t="s">
        <v>2</v>
      </c>
      <c r="D95" s="956"/>
      <c r="E95" s="955"/>
      <c r="F95" s="959"/>
      <c r="G95" s="959"/>
      <c r="H95" s="959"/>
      <c r="I95" s="959"/>
      <c r="J95" s="959"/>
      <c r="K95" s="959"/>
      <c r="L95" s="959"/>
      <c r="M95" s="955">
        <f>M94+M93</f>
        <v>0</v>
      </c>
    </row>
    <row r="96" spans="1:144" s="518" customFormat="1">
      <c r="A96" s="511"/>
      <c r="B96" s="516"/>
      <c r="C96" s="517" t="s">
        <v>3</v>
      </c>
      <c r="D96" s="956">
        <v>0</v>
      </c>
      <c r="E96" s="957"/>
      <c r="F96" s="958"/>
      <c r="G96" s="958"/>
      <c r="H96" s="958"/>
      <c r="I96" s="958"/>
      <c r="J96" s="958"/>
      <c r="K96" s="958"/>
      <c r="L96" s="958"/>
      <c r="M96" s="957">
        <f>M95*10%</f>
        <v>0</v>
      </c>
    </row>
    <row r="97" spans="1:243" s="518" customFormat="1">
      <c r="A97" s="510"/>
      <c r="B97" s="519"/>
      <c r="C97" s="514" t="s">
        <v>2</v>
      </c>
      <c r="D97" s="956"/>
      <c r="E97" s="955"/>
      <c r="F97" s="959"/>
      <c r="G97" s="959"/>
      <c r="H97" s="959"/>
      <c r="I97" s="959"/>
      <c r="J97" s="959"/>
      <c r="K97" s="959"/>
      <c r="L97" s="959"/>
      <c r="M97" s="955">
        <f>SUM(M95:M96)</f>
        <v>0</v>
      </c>
    </row>
    <row r="98" spans="1:243" s="518" customFormat="1">
      <c r="A98" s="511"/>
      <c r="B98" s="516"/>
      <c r="C98" s="517" t="s">
        <v>659</v>
      </c>
      <c r="D98" s="956">
        <v>0</v>
      </c>
      <c r="E98" s="957"/>
      <c r="F98" s="958"/>
      <c r="G98" s="958"/>
      <c r="H98" s="958"/>
      <c r="I98" s="958"/>
      <c r="J98" s="958"/>
      <c r="K98" s="958"/>
      <c r="L98" s="958"/>
      <c r="M98" s="957">
        <f>(M97-H11)*8%</f>
        <v>0</v>
      </c>
    </row>
    <row r="99" spans="1:243" s="518" customFormat="1">
      <c r="A99" s="510"/>
      <c r="B99" s="519"/>
      <c r="C99" s="514" t="s">
        <v>2</v>
      </c>
      <c r="D99" s="956"/>
      <c r="E99" s="955"/>
      <c r="F99" s="959"/>
      <c r="G99" s="959"/>
      <c r="H99" s="959"/>
      <c r="I99" s="959"/>
      <c r="J99" s="959"/>
      <c r="K99" s="959"/>
      <c r="L99" s="959"/>
      <c r="M99" s="955">
        <f>SUM(M97:M98)</f>
        <v>0</v>
      </c>
    </row>
    <row r="100" spans="1:243" s="518" customFormat="1">
      <c r="A100" s="520"/>
      <c r="B100" s="521"/>
      <c r="C100" s="522"/>
      <c r="D100" s="960"/>
      <c r="E100" s="961"/>
      <c r="F100" s="962"/>
      <c r="G100" s="962"/>
      <c r="H100" s="962"/>
      <c r="I100" s="962"/>
      <c r="J100" s="962"/>
      <c r="K100" s="962"/>
      <c r="L100" s="962"/>
      <c r="M100" s="961"/>
    </row>
    <row r="101" spans="1:243" ht="15">
      <c r="B101" s="515"/>
      <c r="C101" s="524"/>
      <c r="D101" s="963"/>
      <c r="E101" s="963"/>
      <c r="F101" s="964"/>
      <c r="G101" s="964"/>
      <c r="H101" s="965"/>
      <c r="I101" s="964"/>
      <c r="J101" s="965"/>
      <c r="K101" s="964"/>
      <c r="L101" s="965"/>
      <c r="M101" s="965"/>
    </row>
    <row r="102" spans="1:243" ht="15">
      <c r="A102" s="306"/>
      <c r="B102" s="306"/>
      <c r="C102" s="524"/>
      <c r="D102" s="966"/>
      <c r="E102" s="966"/>
      <c r="F102" s="966"/>
      <c r="G102" s="967"/>
      <c r="H102" s="967"/>
      <c r="I102" s="967"/>
      <c r="J102" s="968"/>
      <c r="K102" s="968"/>
      <c r="L102" s="968"/>
      <c r="M102" s="968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  <c r="AO102" s="306"/>
      <c r="AP102" s="306"/>
      <c r="AQ102" s="306"/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6"/>
      <c r="BQ102" s="306"/>
      <c r="BR102" s="306"/>
      <c r="BS102" s="306"/>
      <c r="BT102" s="306"/>
      <c r="BU102" s="306"/>
      <c r="BV102" s="306"/>
      <c r="BW102" s="306"/>
      <c r="BX102" s="306"/>
      <c r="BY102" s="306"/>
      <c r="BZ102" s="306"/>
      <c r="CA102" s="306"/>
      <c r="CB102" s="306"/>
      <c r="CC102" s="306"/>
      <c r="CD102" s="306"/>
      <c r="CE102" s="306"/>
      <c r="CF102" s="306"/>
      <c r="CG102" s="306"/>
      <c r="CH102" s="306"/>
      <c r="CI102" s="306"/>
      <c r="CJ102" s="306"/>
      <c r="CK102" s="306"/>
      <c r="CL102" s="306"/>
      <c r="CM102" s="306"/>
      <c r="CN102" s="306"/>
      <c r="CO102" s="306"/>
      <c r="CP102" s="306"/>
      <c r="CQ102" s="306"/>
      <c r="CR102" s="306"/>
      <c r="CS102" s="30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L102" s="306"/>
      <c r="FM102" s="306"/>
      <c r="FN102" s="306"/>
      <c r="FO102" s="306"/>
      <c r="FP102" s="306"/>
      <c r="FQ102" s="306"/>
      <c r="FR102" s="306"/>
      <c r="FS102" s="306"/>
      <c r="FT102" s="306"/>
      <c r="FU102" s="306"/>
      <c r="FV102" s="306"/>
      <c r="FW102" s="306"/>
      <c r="FX102" s="306"/>
      <c r="FY102" s="306"/>
      <c r="FZ102" s="306"/>
      <c r="GA102" s="306"/>
      <c r="GB102" s="306"/>
      <c r="GC102" s="306"/>
      <c r="GD102" s="306"/>
      <c r="GE102" s="306"/>
      <c r="GF102" s="306"/>
      <c r="GG102" s="306"/>
      <c r="GH102" s="306"/>
      <c r="GI102" s="306"/>
      <c r="GJ102" s="306"/>
      <c r="GK102" s="306"/>
      <c r="GL102" s="306"/>
      <c r="GM102" s="306"/>
      <c r="GN102" s="306"/>
      <c r="GO102" s="306"/>
      <c r="GP102" s="306"/>
      <c r="GQ102" s="306"/>
      <c r="GR102" s="306"/>
      <c r="GS102" s="306"/>
      <c r="GT102" s="306"/>
      <c r="GU102" s="306"/>
      <c r="GV102" s="306"/>
      <c r="GW102" s="306"/>
      <c r="GX102" s="306"/>
      <c r="GY102" s="306"/>
      <c r="GZ102" s="306"/>
      <c r="HA102" s="306"/>
      <c r="HB102" s="306"/>
      <c r="HC102" s="306"/>
      <c r="HD102" s="306"/>
      <c r="HE102" s="306"/>
      <c r="HF102" s="306"/>
      <c r="HG102" s="306"/>
      <c r="HH102" s="306"/>
      <c r="HI102" s="306"/>
      <c r="HJ102" s="306"/>
      <c r="HK102" s="306"/>
      <c r="HL102" s="306"/>
      <c r="HM102" s="306"/>
      <c r="HN102" s="306"/>
      <c r="HO102" s="306"/>
      <c r="HP102" s="306"/>
      <c r="HQ102" s="306"/>
      <c r="HR102" s="306"/>
      <c r="HS102" s="306"/>
      <c r="HT102" s="306"/>
      <c r="HU102" s="306"/>
      <c r="HV102" s="306"/>
      <c r="HW102" s="306"/>
      <c r="HX102" s="306"/>
      <c r="HY102" s="306"/>
      <c r="HZ102" s="306"/>
      <c r="IA102" s="306"/>
      <c r="IB102" s="306"/>
      <c r="IC102" s="306"/>
      <c r="ID102" s="306"/>
      <c r="IE102" s="306"/>
      <c r="IF102" s="306"/>
      <c r="IG102" s="306"/>
      <c r="IH102" s="306"/>
      <c r="II102" s="306"/>
    </row>
    <row r="103" spans="1:243" ht="15">
      <c r="A103" s="306"/>
      <c r="B103" s="306"/>
      <c r="C103" s="524"/>
      <c r="D103" s="969"/>
      <c r="E103" s="969"/>
      <c r="F103" s="967"/>
      <c r="G103" s="967"/>
      <c r="H103" s="967"/>
      <c r="I103" s="967"/>
      <c r="J103" s="968"/>
      <c r="K103" s="968"/>
      <c r="L103" s="968"/>
      <c r="M103" s="968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  <c r="BT103" s="306"/>
      <c r="BU103" s="306"/>
      <c r="BV103" s="306"/>
      <c r="BW103" s="306"/>
      <c r="BX103" s="306"/>
      <c r="BY103" s="306"/>
      <c r="BZ103" s="306"/>
      <c r="CA103" s="306"/>
      <c r="CB103" s="306"/>
      <c r="CC103" s="306"/>
      <c r="CD103" s="306"/>
      <c r="CE103" s="306"/>
      <c r="CF103" s="306"/>
      <c r="CG103" s="306"/>
      <c r="CH103" s="306"/>
      <c r="CI103" s="306"/>
      <c r="CJ103" s="306"/>
      <c r="CK103" s="306"/>
      <c r="CL103" s="306"/>
      <c r="CM103" s="306"/>
      <c r="CN103" s="306"/>
      <c r="CO103" s="306"/>
      <c r="CP103" s="306"/>
      <c r="CQ103" s="306"/>
      <c r="CR103" s="306"/>
      <c r="CS103" s="306"/>
      <c r="CT103" s="306"/>
      <c r="CU103" s="306"/>
      <c r="CV103" s="306"/>
      <c r="CW103" s="306"/>
      <c r="CX103" s="306"/>
      <c r="CY103" s="306"/>
      <c r="CZ103" s="306"/>
      <c r="DA103" s="306"/>
      <c r="DB103" s="306"/>
      <c r="DC103" s="306"/>
      <c r="DD103" s="306"/>
      <c r="DE103" s="306"/>
      <c r="DF103" s="306"/>
      <c r="DG103" s="306"/>
      <c r="DH103" s="306"/>
      <c r="DI103" s="306"/>
      <c r="DJ103" s="306"/>
      <c r="DK103" s="306"/>
      <c r="DL103" s="306"/>
      <c r="DM103" s="306"/>
      <c r="DN103" s="306"/>
      <c r="DO103" s="306"/>
      <c r="DP103" s="306"/>
      <c r="DQ103" s="306"/>
      <c r="DR103" s="306"/>
      <c r="DS103" s="306"/>
      <c r="DT103" s="306"/>
      <c r="DU103" s="306"/>
      <c r="DV103" s="306"/>
      <c r="DW103" s="306"/>
      <c r="DX103" s="306"/>
      <c r="DY103" s="306"/>
      <c r="DZ103" s="306"/>
      <c r="EA103" s="306"/>
      <c r="EB103" s="306"/>
      <c r="EC103" s="306"/>
      <c r="ED103" s="306"/>
      <c r="EE103" s="306"/>
      <c r="EF103" s="306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Q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306"/>
      <c r="FE103" s="306"/>
      <c r="FF103" s="306"/>
      <c r="FG103" s="306"/>
      <c r="FH103" s="306"/>
      <c r="FI103" s="306"/>
      <c r="FJ103" s="306"/>
      <c r="FK103" s="306"/>
      <c r="FL103" s="306"/>
      <c r="FM103" s="306"/>
      <c r="FN103" s="306"/>
      <c r="FO103" s="306"/>
      <c r="FP103" s="306"/>
      <c r="FQ103" s="306"/>
      <c r="FR103" s="306"/>
      <c r="FS103" s="306"/>
      <c r="FT103" s="306"/>
      <c r="FU103" s="306"/>
      <c r="FV103" s="306"/>
      <c r="FW103" s="306"/>
      <c r="FX103" s="306"/>
      <c r="FY103" s="306"/>
      <c r="FZ103" s="306"/>
      <c r="GA103" s="306"/>
      <c r="GB103" s="306"/>
      <c r="GC103" s="306"/>
      <c r="GD103" s="306"/>
      <c r="GE103" s="306"/>
      <c r="GF103" s="306"/>
      <c r="GG103" s="306"/>
      <c r="GH103" s="306"/>
      <c r="GI103" s="306"/>
      <c r="GJ103" s="306"/>
      <c r="GK103" s="306"/>
      <c r="GL103" s="306"/>
      <c r="GM103" s="306"/>
      <c r="GN103" s="306"/>
      <c r="GO103" s="306"/>
      <c r="GP103" s="306"/>
      <c r="GQ103" s="306"/>
      <c r="GR103" s="306"/>
      <c r="GS103" s="306"/>
      <c r="GT103" s="306"/>
      <c r="GU103" s="306"/>
      <c r="GV103" s="306"/>
      <c r="GW103" s="306"/>
      <c r="GX103" s="306"/>
      <c r="GY103" s="306"/>
      <c r="GZ103" s="306"/>
      <c r="HA103" s="306"/>
      <c r="HB103" s="306"/>
      <c r="HC103" s="306"/>
      <c r="HD103" s="306"/>
      <c r="HE103" s="306"/>
      <c r="HF103" s="306"/>
      <c r="HG103" s="306"/>
      <c r="HH103" s="306"/>
      <c r="HI103" s="306"/>
      <c r="HJ103" s="306"/>
      <c r="HK103" s="306"/>
      <c r="HL103" s="306"/>
      <c r="HM103" s="306"/>
      <c r="HN103" s="306"/>
      <c r="HO103" s="306"/>
      <c r="HP103" s="306"/>
      <c r="HQ103" s="306"/>
      <c r="HR103" s="306"/>
      <c r="HS103" s="306"/>
      <c r="HT103" s="306"/>
      <c r="HU103" s="306"/>
      <c r="HV103" s="306"/>
      <c r="HW103" s="306"/>
      <c r="HX103" s="306"/>
      <c r="HY103" s="306"/>
      <c r="HZ103" s="306"/>
      <c r="IA103" s="306"/>
      <c r="IB103" s="306"/>
      <c r="IC103" s="306"/>
      <c r="ID103" s="306"/>
      <c r="IE103" s="306"/>
      <c r="IF103" s="306"/>
      <c r="IG103" s="306"/>
      <c r="IH103" s="306"/>
      <c r="II103" s="306"/>
    </row>
  </sheetData>
  <sheetProtection algorithmName="SHA-512" hashValue="3YxXXt9vLKF9pswdPs91dk8r4DKeMY/xDM7fpwfwgFGfGnsHsZJH3w5RUtRL/WStqBSm1rbdsOzqkvpui9aMGw==" saltValue="orEZ3ceCrE3L0B6eWVc6aA==" spinCount="100000" sheet="1" objects="1" scenarios="1"/>
  <mergeCells count="14">
    <mergeCell ref="D101:E101"/>
    <mergeCell ref="D103:E103"/>
    <mergeCell ref="B3:F3"/>
    <mergeCell ref="A1:M1"/>
    <mergeCell ref="A2:C2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conditionalFormatting sqref="C64:C66 C54 A9:C9 A10:B10 A13:M13 C58:C62 A87:B90 E87:M88 C68:C92 A27:M27 A16:A25 A26:F26 H16:M26 A31:M32 A30 C30:F30 H30:M30 A43:M43 A35:A41 C35:F41 A42:F42 H35:M42 A47:M48 A46 H46:M46 C46:F46 A52:M52 A51 C51:F51 H51:M51 E58:M58 E55:F57 H55:M57 A58:B60 A55:A57 A53:B54 E53:M53 A62:B64 A61 E62:M63 E61:F61 H61:M61 A65 E65:F65 H65:M65 D58:D92 A66:B76 E66:M74 A81:A86 E77:F77 H77:M77 A78:B80 A77 E83:F86 H83:M86 E92:M92 E91:F91 H91:M91 A92:B92 A91 C16:F25 A15:M15 A14:H14 J14:M14 A29:M29 A28:H28 J28:M28 A34:M34 A33:H33 J33:M33 A45:M45 A44:H44 J44:M44 A50:M50 A49:H49 J49:M49 E54:H54 J54:M54 E60:M60 E59:H59 J59:M59 E64:H64 J64:M64 E76:M76 E75:H75 J75:M75 E90:M90 E89:H89 J89:M89 E78:M82">
    <cfRule type="cellIs" dxfId="56" priority="44" stopIfTrue="1" operator="equal">
      <formula>8223.307275</formula>
    </cfRule>
  </conditionalFormatting>
  <conditionalFormatting sqref="D9:M9 M11 H11">
    <cfRule type="cellIs" dxfId="55" priority="43" stopIfTrue="1" operator="equal">
      <formula>8223.307275</formula>
    </cfRule>
  </conditionalFormatting>
  <conditionalFormatting sqref="C10">
    <cfRule type="cellIs" dxfId="54" priority="42" stopIfTrue="1" operator="equal">
      <formula>8223.307275</formula>
    </cfRule>
  </conditionalFormatting>
  <conditionalFormatting sqref="D10:M10">
    <cfRule type="cellIs" dxfId="53" priority="41" stopIfTrue="1" operator="equal">
      <formula>8223.307275</formula>
    </cfRule>
  </conditionalFormatting>
  <conditionalFormatting sqref="C12">
    <cfRule type="cellIs" dxfId="52" priority="40" stopIfTrue="1" operator="equal">
      <formula>8223.307275</formula>
    </cfRule>
  </conditionalFormatting>
  <conditionalFormatting sqref="D12:M12">
    <cfRule type="cellIs" dxfId="51" priority="39" stopIfTrue="1" operator="equal">
      <formula>8223.307275</formula>
    </cfRule>
  </conditionalFormatting>
  <conditionalFormatting sqref="B30">
    <cfRule type="cellIs" dxfId="50" priority="32" stopIfTrue="1" operator="equal">
      <formula>8223.307275</formula>
    </cfRule>
  </conditionalFormatting>
  <conditionalFormatting sqref="B35 B41">
    <cfRule type="cellIs" dxfId="49" priority="36" stopIfTrue="1" operator="equal">
      <formula>8223.307275</formula>
    </cfRule>
  </conditionalFormatting>
  <conditionalFormatting sqref="B16:B25">
    <cfRule type="cellIs" dxfId="48" priority="38" stopIfTrue="1" operator="equal">
      <formula>8223.307275</formula>
    </cfRule>
  </conditionalFormatting>
  <conditionalFormatting sqref="G16:G26">
    <cfRule type="cellIs" dxfId="47" priority="37" stopIfTrue="1" operator="equal">
      <formula>8223.307275</formula>
    </cfRule>
  </conditionalFormatting>
  <conditionalFormatting sqref="G51">
    <cfRule type="cellIs" dxfId="46" priority="31" stopIfTrue="1" operator="equal">
      <formula>8223.307275</formula>
    </cfRule>
  </conditionalFormatting>
  <conditionalFormatting sqref="G35:G42">
    <cfRule type="cellIs" dxfId="45" priority="35" stopIfTrue="1" operator="equal">
      <formula>8223.307275</formula>
    </cfRule>
  </conditionalFormatting>
  <conditionalFormatting sqref="G30">
    <cfRule type="cellIs" dxfId="44" priority="34" stopIfTrue="1" operator="equal">
      <formula>8223.307275</formula>
    </cfRule>
  </conditionalFormatting>
  <conditionalFormatting sqref="G46">
    <cfRule type="cellIs" dxfId="43" priority="33" stopIfTrue="1" operator="equal">
      <formula>8223.307275</formula>
    </cfRule>
  </conditionalFormatting>
  <conditionalFormatting sqref="G55:G57">
    <cfRule type="cellIs" dxfId="42" priority="30" stopIfTrue="1" operator="equal">
      <formula>8223.307275</formula>
    </cfRule>
  </conditionalFormatting>
  <conditionalFormatting sqref="B55:B57">
    <cfRule type="cellIs" dxfId="41" priority="29" stopIfTrue="1" operator="equal">
      <formula>8223.307275</formula>
    </cfRule>
  </conditionalFormatting>
  <conditionalFormatting sqref="B61">
    <cfRule type="cellIs" dxfId="40" priority="28" stopIfTrue="1" operator="equal">
      <formula>8223.307275</formula>
    </cfRule>
  </conditionalFormatting>
  <conditionalFormatting sqref="G61">
    <cfRule type="cellIs" dxfId="39" priority="27" stopIfTrue="1" operator="equal">
      <formula>8223.307275</formula>
    </cfRule>
  </conditionalFormatting>
  <conditionalFormatting sqref="G65">
    <cfRule type="cellIs" dxfId="38" priority="26" stopIfTrue="1" operator="equal">
      <formula>8223.307275</formula>
    </cfRule>
  </conditionalFormatting>
  <conditionalFormatting sqref="B81:B83 B85:B86">
    <cfRule type="cellIs" dxfId="37" priority="25" stopIfTrue="1" operator="equal">
      <formula>8223.307275</formula>
    </cfRule>
  </conditionalFormatting>
  <conditionalFormatting sqref="B84">
    <cfRule type="cellIs" dxfId="36" priority="24" stopIfTrue="1" operator="equal">
      <formula>8223.307275</formula>
    </cfRule>
  </conditionalFormatting>
  <conditionalFormatting sqref="B91">
    <cfRule type="cellIs" dxfId="35" priority="19" stopIfTrue="1" operator="equal">
      <formula>8223.307275</formula>
    </cfRule>
  </conditionalFormatting>
  <conditionalFormatting sqref="B77">
    <cfRule type="cellIs" dxfId="34" priority="23" stopIfTrue="1" operator="equal">
      <formula>8223.307275</formula>
    </cfRule>
  </conditionalFormatting>
  <conditionalFormatting sqref="G77">
    <cfRule type="cellIs" dxfId="33" priority="22" stopIfTrue="1" operator="equal">
      <formula>8223.307275</formula>
    </cfRule>
  </conditionalFormatting>
  <conditionalFormatting sqref="G83 G85:G86">
    <cfRule type="cellIs" dxfId="32" priority="21" stopIfTrue="1" operator="equal">
      <formula>8223.307275</formula>
    </cfRule>
  </conditionalFormatting>
  <conditionalFormatting sqref="G84">
    <cfRule type="cellIs" dxfId="31" priority="20" stopIfTrue="1" operator="equal">
      <formula>8223.307275</formula>
    </cfRule>
  </conditionalFormatting>
  <conditionalFormatting sqref="G91">
    <cfRule type="cellIs" dxfId="30" priority="18" stopIfTrue="1" operator="equal">
      <formula>8223.307275</formula>
    </cfRule>
  </conditionalFormatting>
  <conditionalFormatting sqref="B36">
    <cfRule type="cellIs" dxfId="29" priority="17" stopIfTrue="1" operator="equal">
      <formula>8223.307275</formula>
    </cfRule>
  </conditionalFormatting>
  <conditionalFormatting sqref="B37">
    <cfRule type="cellIs" dxfId="28" priority="16" stopIfTrue="1" operator="equal">
      <formula>8223.307275</formula>
    </cfRule>
  </conditionalFormatting>
  <conditionalFormatting sqref="B38">
    <cfRule type="cellIs" dxfId="27" priority="15" stopIfTrue="1" operator="equal">
      <formula>8223.307275</formula>
    </cfRule>
  </conditionalFormatting>
  <conditionalFormatting sqref="B39">
    <cfRule type="cellIs" dxfId="26" priority="14" stopIfTrue="1" operator="equal">
      <formula>8223.307275</formula>
    </cfRule>
  </conditionalFormatting>
  <conditionalFormatting sqref="B40">
    <cfRule type="cellIs" dxfId="25" priority="13" stopIfTrue="1" operator="equal">
      <formula>8223.307275</formula>
    </cfRule>
  </conditionalFormatting>
  <conditionalFormatting sqref="B46">
    <cfRule type="cellIs" dxfId="24" priority="12" stopIfTrue="1" operator="equal">
      <formula>8223.307275</formula>
    </cfRule>
  </conditionalFormatting>
  <conditionalFormatting sqref="B51">
    <cfRule type="cellIs" dxfId="23" priority="11" stopIfTrue="1" operator="equal">
      <formula>8223.307275</formula>
    </cfRule>
  </conditionalFormatting>
  <conditionalFormatting sqref="I14">
    <cfRule type="cellIs" dxfId="22" priority="10" stopIfTrue="1" operator="equal">
      <formula>8223.307275</formula>
    </cfRule>
  </conditionalFormatting>
  <conditionalFormatting sqref="I28">
    <cfRule type="cellIs" dxfId="21" priority="9" stopIfTrue="1" operator="equal">
      <formula>8223.307275</formula>
    </cfRule>
  </conditionalFormatting>
  <conditionalFormatting sqref="I33">
    <cfRule type="cellIs" dxfId="20" priority="8" stopIfTrue="1" operator="equal">
      <formula>8223.307275</formula>
    </cfRule>
  </conditionalFormatting>
  <conditionalFormatting sqref="I44">
    <cfRule type="cellIs" dxfId="19" priority="7" stopIfTrue="1" operator="equal">
      <formula>8223.307275</formula>
    </cfRule>
  </conditionalFormatting>
  <conditionalFormatting sqref="I49">
    <cfRule type="cellIs" dxfId="18" priority="6" stopIfTrue="1" operator="equal">
      <formula>8223.307275</formula>
    </cfRule>
  </conditionalFormatting>
  <conditionalFormatting sqref="I54">
    <cfRule type="cellIs" dxfId="17" priority="5" stopIfTrue="1" operator="equal">
      <formula>8223.307275</formula>
    </cfRule>
  </conditionalFormatting>
  <conditionalFormatting sqref="I59">
    <cfRule type="cellIs" dxfId="16" priority="4" stopIfTrue="1" operator="equal">
      <formula>8223.307275</formula>
    </cfRule>
  </conditionalFormatting>
  <conditionalFormatting sqref="I64">
    <cfRule type="cellIs" dxfId="15" priority="3" stopIfTrue="1" operator="equal">
      <formula>8223.307275</formula>
    </cfRule>
  </conditionalFormatting>
  <conditionalFormatting sqref="I75">
    <cfRule type="cellIs" dxfId="14" priority="2" stopIfTrue="1" operator="equal">
      <formula>8223.307275</formula>
    </cfRule>
  </conditionalFormatting>
  <conditionalFormatting sqref="I89">
    <cfRule type="cellIs" dxfId="13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9" orientation="landscape" r:id="rId1"/>
  <rowBreaks count="1" manualBreakCount="1">
    <brk id="52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73"/>
  <sheetViews>
    <sheetView view="pageBreakPreview" topLeftCell="A49" zoomScale="85" zoomScaleNormal="100" zoomScaleSheetLayoutView="85" workbookViewId="0">
      <selection activeCell="B67" sqref="B67:M70"/>
    </sheetView>
  </sheetViews>
  <sheetFormatPr defaultColWidth="7" defaultRowHeight="15"/>
  <cols>
    <col min="1" max="1" width="3.88671875" style="464" customWidth="1"/>
    <col min="2" max="2" width="12.5546875" style="465" customWidth="1"/>
    <col min="3" max="3" width="66.5546875" style="465" customWidth="1"/>
    <col min="4" max="4" width="13.33203125" style="466" customWidth="1"/>
    <col min="5" max="5" width="9.109375" style="466" customWidth="1"/>
    <col min="6" max="6" width="9" style="466" customWidth="1"/>
    <col min="7" max="7" width="8.5546875" style="466" customWidth="1"/>
    <col min="8" max="8" width="8.5546875" style="467" customWidth="1"/>
    <col min="9" max="9" width="8.5546875" style="466" customWidth="1"/>
    <col min="10" max="10" width="8.5546875" style="467" customWidth="1"/>
    <col min="11" max="11" width="8.5546875" style="466" customWidth="1"/>
    <col min="12" max="12" width="8.5546875" style="467" customWidth="1"/>
    <col min="13" max="13" width="11.109375" style="467" customWidth="1"/>
    <col min="14" max="123" width="9.109375" style="313" customWidth="1"/>
    <col min="124" max="124" width="2.5546875" style="313" customWidth="1"/>
    <col min="125" max="125" width="9.109375" style="313" customWidth="1"/>
    <col min="126" max="126" width="47.88671875" style="313" customWidth="1"/>
    <col min="127" max="127" width="6.6640625" style="313" customWidth="1"/>
    <col min="128" max="128" width="7.44140625" style="313" customWidth="1"/>
    <col min="129" max="129" width="7" style="313"/>
    <col min="130" max="130" width="8.5546875" style="313" customWidth="1"/>
    <col min="131" max="131" width="12" style="313" customWidth="1"/>
    <col min="132" max="132" width="4.6640625" style="313" customWidth="1"/>
    <col min="133" max="133" width="9.109375" style="313" customWidth="1"/>
    <col min="134" max="134" width="11.6640625" style="313" customWidth="1"/>
    <col min="135" max="246" width="7" style="313"/>
    <col min="247" max="247" width="3.88671875" style="313" customWidth="1"/>
    <col min="248" max="248" width="11.5546875" style="313" customWidth="1"/>
    <col min="249" max="249" width="66.5546875" style="313" customWidth="1"/>
    <col min="250" max="250" width="9.44140625" style="313" customWidth="1"/>
    <col min="251" max="251" width="9.109375" style="313" customWidth="1"/>
    <col min="252" max="252" width="11.109375" style="313" bestFit="1" customWidth="1"/>
    <col min="253" max="253" width="9.109375" style="313" customWidth="1"/>
    <col min="254" max="254" width="10.44140625" style="313" customWidth="1"/>
    <col min="255" max="255" width="9.109375" style="313" customWidth="1"/>
    <col min="256" max="256" width="10.6640625" style="313" customWidth="1"/>
    <col min="257" max="257" width="9.109375" style="313" customWidth="1"/>
    <col min="258" max="258" width="10.109375" style="313" customWidth="1"/>
    <col min="259" max="259" width="11.109375" style="313" customWidth="1"/>
    <col min="260" max="379" width="9.109375" style="313" customWidth="1"/>
    <col min="380" max="380" width="2.5546875" style="313" customWidth="1"/>
    <col min="381" max="381" width="9.109375" style="313" customWidth="1"/>
    <col min="382" max="382" width="47.88671875" style="313" customWidth="1"/>
    <col min="383" max="383" width="6.6640625" style="313" customWidth="1"/>
    <col min="384" max="384" width="7.44140625" style="313" customWidth="1"/>
    <col min="385" max="385" width="7" style="313"/>
    <col min="386" max="386" width="8.5546875" style="313" customWidth="1"/>
    <col min="387" max="387" width="12" style="313" customWidth="1"/>
    <col min="388" max="388" width="4.6640625" style="313" customWidth="1"/>
    <col min="389" max="389" width="9.109375" style="313" customWidth="1"/>
    <col min="390" max="390" width="11.6640625" style="313" customWidth="1"/>
    <col min="391" max="502" width="7" style="313"/>
    <col min="503" max="503" width="3.88671875" style="313" customWidth="1"/>
    <col min="504" max="504" width="11.5546875" style="313" customWidth="1"/>
    <col min="505" max="505" width="66.5546875" style="313" customWidth="1"/>
    <col min="506" max="506" width="9.44140625" style="313" customWidth="1"/>
    <col min="507" max="507" width="9.109375" style="313" customWidth="1"/>
    <col min="508" max="508" width="11.109375" style="313" bestFit="1" customWidth="1"/>
    <col min="509" max="509" width="9.109375" style="313" customWidth="1"/>
    <col min="510" max="510" width="10.44140625" style="313" customWidth="1"/>
    <col min="511" max="511" width="9.109375" style="313" customWidth="1"/>
    <col min="512" max="512" width="10.6640625" style="313" customWidth="1"/>
    <col min="513" max="513" width="9.109375" style="313" customWidth="1"/>
    <col min="514" max="514" width="10.109375" style="313" customWidth="1"/>
    <col min="515" max="515" width="11.109375" style="313" customWidth="1"/>
    <col min="516" max="635" width="9.109375" style="313" customWidth="1"/>
    <col min="636" max="636" width="2.5546875" style="313" customWidth="1"/>
    <col min="637" max="637" width="9.109375" style="313" customWidth="1"/>
    <col min="638" max="638" width="47.88671875" style="313" customWidth="1"/>
    <col min="639" max="639" width="6.6640625" style="313" customWidth="1"/>
    <col min="640" max="640" width="7.44140625" style="313" customWidth="1"/>
    <col min="641" max="641" width="7" style="313"/>
    <col min="642" max="642" width="8.5546875" style="313" customWidth="1"/>
    <col min="643" max="643" width="12" style="313" customWidth="1"/>
    <col min="644" max="644" width="4.6640625" style="313" customWidth="1"/>
    <col min="645" max="645" width="9.109375" style="313" customWidth="1"/>
    <col min="646" max="646" width="11.6640625" style="313" customWidth="1"/>
    <col min="647" max="758" width="7" style="313"/>
    <col min="759" max="759" width="3.88671875" style="313" customWidth="1"/>
    <col min="760" max="760" width="11.5546875" style="313" customWidth="1"/>
    <col min="761" max="761" width="66.5546875" style="313" customWidth="1"/>
    <col min="762" max="762" width="9.44140625" style="313" customWidth="1"/>
    <col min="763" max="763" width="9.109375" style="313" customWidth="1"/>
    <col min="764" max="764" width="11.109375" style="313" bestFit="1" customWidth="1"/>
    <col min="765" max="765" width="9.109375" style="313" customWidth="1"/>
    <col min="766" max="766" width="10.44140625" style="313" customWidth="1"/>
    <col min="767" max="767" width="9.109375" style="313" customWidth="1"/>
    <col min="768" max="768" width="10.6640625" style="313" customWidth="1"/>
    <col min="769" max="769" width="9.109375" style="313" customWidth="1"/>
    <col min="770" max="770" width="10.109375" style="313" customWidth="1"/>
    <col min="771" max="771" width="11.109375" style="313" customWidth="1"/>
    <col min="772" max="891" width="9.109375" style="313" customWidth="1"/>
    <col min="892" max="892" width="2.5546875" style="313" customWidth="1"/>
    <col min="893" max="893" width="9.109375" style="313" customWidth="1"/>
    <col min="894" max="894" width="47.88671875" style="313" customWidth="1"/>
    <col min="895" max="895" width="6.6640625" style="313" customWidth="1"/>
    <col min="896" max="896" width="7.44140625" style="313" customWidth="1"/>
    <col min="897" max="897" width="7" style="313"/>
    <col min="898" max="898" width="8.5546875" style="313" customWidth="1"/>
    <col min="899" max="899" width="12" style="313" customWidth="1"/>
    <col min="900" max="900" width="4.6640625" style="313" customWidth="1"/>
    <col min="901" max="901" width="9.109375" style="313" customWidth="1"/>
    <col min="902" max="902" width="11.6640625" style="313" customWidth="1"/>
    <col min="903" max="1014" width="7" style="313"/>
    <col min="1015" max="1015" width="3.88671875" style="313" customWidth="1"/>
    <col min="1016" max="1016" width="11.5546875" style="313" customWidth="1"/>
    <col min="1017" max="1017" width="66.5546875" style="313" customWidth="1"/>
    <col min="1018" max="1018" width="9.44140625" style="313" customWidth="1"/>
    <col min="1019" max="1019" width="9.109375" style="313" customWidth="1"/>
    <col min="1020" max="1020" width="11.109375" style="313" bestFit="1" customWidth="1"/>
    <col min="1021" max="1021" width="9.109375" style="313" customWidth="1"/>
    <col min="1022" max="1022" width="10.44140625" style="313" customWidth="1"/>
    <col min="1023" max="1023" width="9.109375" style="313" customWidth="1"/>
    <col min="1024" max="1024" width="10.6640625" style="313" customWidth="1"/>
    <col min="1025" max="1025" width="9.109375" style="313" customWidth="1"/>
    <col min="1026" max="1026" width="10.109375" style="313" customWidth="1"/>
    <col min="1027" max="1027" width="11.109375" style="313" customWidth="1"/>
    <col min="1028" max="1147" width="9.109375" style="313" customWidth="1"/>
    <col min="1148" max="1148" width="2.5546875" style="313" customWidth="1"/>
    <col min="1149" max="1149" width="9.109375" style="313" customWidth="1"/>
    <col min="1150" max="1150" width="47.88671875" style="313" customWidth="1"/>
    <col min="1151" max="1151" width="6.6640625" style="313" customWidth="1"/>
    <col min="1152" max="1152" width="7.44140625" style="313" customWidth="1"/>
    <col min="1153" max="1153" width="7" style="313"/>
    <col min="1154" max="1154" width="8.5546875" style="313" customWidth="1"/>
    <col min="1155" max="1155" width="12" style="313" customWidth="1"/>
    <col min="1156" max="1156" width="4.6640625" style="313" customWidth="1"/>
    <col min="1157" max="1157" width="9.109375" style="313" customWidth="1"/>
    <col min="1158" max="1158" width="11.6640625" style="313" customWidth="1"/>
    <col min="1159" max="1270" width="7" style="313"/>
    <col min="1271" max="1271" width="3.88671875" style="313" customWidth="1"/>
    <col min="1272" max="1272" width="11.5546875" style="313" customWidth="1"/>
    <col min="1273" max="1273" width="66.5546875" style="313" customWidth="1"/>
    <col min="1274" max="1274" width="9.44140625" style="313" customWidth="1"/>
    <col min="1275" max="1275" width="9.109375" style="313" customWidth="1"/>
    <col min="1276" max="1276" width="11.109375" style="313" bestFit="1" customWidth="1"/>
    <col min="1277" max="1277" width="9.109375" style="313" customWidth="1"/>
    <col min="1278" max="1278" width="10.44140625" style="313" customWidth="1"/>
    <col min="1279" max="1279" width="9.109375" style="313" customWidth="1"/>
    <col min="1280" max="1280" width="10.6640625" style="313" customWidth="1"/>
    <col min="1281" max="1281" width="9.109375" style="313" customWidth="1"/>
    <col min="1282" max="1282" width="10.109375" style="313" customWidth="1"/>
    <col min="1283" max="1283" width="11.109375" style="313" customWidth="1"/>
    <col min="1284" max="1403" width="9.109375" style="313" customWidth="1"/>
    <col min="1404" max="1404" width="2.5546875" style="313" customWidth="1"/>
    <col min="1405" max="1405" width="9.109375" style="313" customWidth="1"/>
    <col min="1406" max="1406" width="47.88671875" style="313" customWidth="1"/>
    <col min="1407" max="1407" width="6.6640625" style="313" customWidth="1"/>
    <col min="1408" max="1408" width="7.44140625" style="313" customWidth="1"/>
    <col min="1409" max="1409" width="7" style="313"/>
    <col min="1410" max="1410" width="8.5546875" style="313" customWidth="1"/>
    <col min="1411" max="1411" width="12" style="313" customWidth="1"/>
    <col min="1412" max="1412" width="4.6640625" style="313" customWidth="1"/>
    <col min="1413" max="1413" width="9.109375" style="313" customWidth="1"/>
    <col min="1414" max="1414" width="11.6640625" style="313" customWidth="1"/>
    <col min="1415" max="1526" width="7" style="313"/>
    <col min="1527" max="1527" width="3.88671875" style="313" customWidth="1"/>
    <col min="1528" max="1528" width="11.5546875" style="313" customWidth="1"/>
    <col min="1529" max="1529" width="66.5546875" style="313" customWidth="1"/>
    <col min="1530" max="1530" width="9.44140625" style="313" customWidth="1"/>
    <col min="1531" max="1531" width="9.109375" style="313" customWidth="1"/>
    <col min="1532" max="1532" width="11.109375" style="313" bestFit="1" customWidth="1"/>
    <col min="1533" max="1533" width="9.109375" style="313" customWidth="1"/>
    <col min="1534" max="1534" width="10.44140625" style="313" customWidth="1"/>
    <col min="1535" max="1535" width="9.109375" style="313" customWidth="1"/>
    <col min="1536" max="1536" width="10.6640625" style="313" customWidth="1"/>
    <col min="1537" max="1537" width="9.109375" style="313" customWidth="1"/>
    <col min="1538" max="1538" width="10.109375" style="313" customWidth="1"/>
    <col min="1539" max="1539" width="11.109375" style="313" customWidth="1"/>
    <col min="1540" max="1659" width="9.109375" style="313" customWidth="1"/>
    <col min="1660" max="1660" width="2.5546875" style="313" customWidth="1"/>
    <col min="1661" max="1661" width="9.109375" style="313" customWidth="1"/>
    <col min="1662" max="1662" width="47.88671875" style="313" customWidth="1"/>
    <col min="1663" max="1663" width="6.6640625" style="313" customWidth="1"/>
    <col min="1664" max="1664" width="7.44140625" style="313" customWidth="1"/>
    <col min="1665" max="1665" width="7" style="313"/>
    <col min="1666" max="1666" width="8.5546875" style="313" customWidth="1"/>
    <col min="1667" max="1667" width="12" style="313" customWidth="1"/>
    <col min="1668" max="1668" width="4.6640625" style="313" customWidth="1"/>
    <col min="1669" max="1669" width="9.109375" style="313" customWidth="1"/>
    <col min="1670" max="1670" width="11.6640625" style="313" customWidth="1"/>
    <col min="1671" max="1782" width="7" style="313"/>
    <col min="1783" max="1783" width="3.88671875" style="313" customWidth="1"/>
    <col min="1784" max="1784" width="11.5546875" style="313" customWidth="1"/>
    <col min="1785" max="1785" width="66.5546875" style="313" customWidth="1"/>
    <col min="1786" max="1786" width="9.44140625" style="313" customWidth="1"/>
    <col min="1787" max="1787" width="9.109375" style="313" customWidth="1"/>
    <col min="1788" max="1788" width="11.109375" style="313" bestFit="1" customWidth="1"/>
    <col min="1789" max="1789" width="9.109375" style="313" customWidth="1"/>
    <col min="1790" max="1790" width="10.44140625" style="313" customWidth="1"/>
    <col min="1791" max="1791" width="9.109375" style="313" customWidth="1"/>
    <col min="1792" max="1792" width="10.6640625" style="313" customWidth="1"/>
    <col min="1793" max="1793" width="9.109375" style="313" customWidth="1"/>
    <col min="1794" max="1794" width="10.109375" style="313" customWidth="1"/>
    <col min="1795" max="1795" width="11.109375" style="313" customWidth="1"/>
    <col min="1796" max="1915" width="9.109375" style="313" customWidth="1"/>
    <col min="1916" max="1916" width="2.5546875" style="313" customWidth="1"/>
    <col min="1917" max="1917" width="9.109375" style="313" customWidth="1"/>
    <col min="1918" max="1918" width="47.88671875" style="313" customWidth="1"/>
    <col min="1919" max="1919" width="6.6640625" style="313" customWidth="1"/>
    <col min="1920" max="1920" width="7.44140625" style="313" customWidth="1"/>
    <col min="1921" max="1921" width="7" style="313"/>
    <col min="1922" max="1922" width="8.5546875" style="313" customWidth="1"/>
    <col min="1923" max="1923" width="12" style="313" customWidth="1"/>
    <col min="1924" max="1924" width="4.6640625" style="313" customWidth="1"/>
    <col min="1925" max="1925" width="9.109375" style="313" customWidth="1"/>
    <col min="1926" max="1926" width="11.6640625" style="313" customWidth="1"/>
    <col min="1927" max="2038" width="7" style="313"/>
    <col min="2039" max="2039" width="3.88671875" style="313" customWidth="1"/>
    <col min="2040" max="2040" width="11.5546875" style="313" customWidth="1"/>
    <col min="2041" max="2041" width="66.5546875" style="313" customWidth="1"/>
    <col min="2042" max="2042" width="9.44140625" style="313" customWidth="1"/>
    <col min="2043" max="2043" width="9.109375" style="313" customWidth="1"/>
    <col min="2044" max="2044" width="11.109375" style="313" bestFit="1" customWidth="1"/>
    <col min="2045" max="2045" width="9.109375" style="313" customWidth="1"/>
    <col min="2046" max="2046" width="10.44140625" style="313" customWidth="1"/>
    <col min="2047" max="2047" width="9.109375" style="313" customWidth="1"/>
    <col min="2048" max="2048" width="10.6640625" style="313" customWidth="1"/>
    <col min="2049" max="2049" width="9.109375" style="313" customWidth="1"/>
    <col min="2050" max="2050" width="10.109375" style="313" customWidth="1"/>
    <col min="2051" max="2051" width="11.109375" style="313" customWidth="1"/>
    <col min="2052" max="2171" width="9.109375" style="313" customWidth="1"/>
    <col min="2172" max="2172" width="2.5546875" style="313" customWidth="1"/>
    <col min="2173" max="2173" width="9.109375" style="313" customWidth="1"/>
    <col min="2174" max="2174" width="47.88671875" style="313" customWidth="1"/>
    <col min="2175" max="2175" width="6.6640625" style="313" customWidth="1"/>
    <col min="2176" max="2176" width="7.44140625" style="313" customWidth="1"/>
    <col min="2177" max="2177" width="7" style="313"/>
    <col min="2178" max="2178" width="8.5546875" style="313" customWidth="1"/>
    <col min="2179" max="2179" width="12" style="313" customWidth="1"/>
    <col min="2180" max="2180" width="4.6640625" style="313" customWidth="1"/>
    <col min="2181" max="2181" width="9.109375" style="313" customWidth="1"/>
    <col min="2182" max="2182" width="11.6640625" style="313" customWidth="1"/>
    <col min="2183" max="2294" width="7" style="313"/>
    <col min="2295" max="2295" width="3.88671875" style="313" customWidth="1"/>
    <col min="2296" max="2296" width="11.5546875" style="313" customWidth="1"/>
    <col min="2297" max="2297" width="66.5546875" style="313" customWidth="1"/>
    <col min="2298" max="2298" width="9.44140625" style="313" customWidth="1"/>
    <col min="2299" max="2299" width="9.109375" style="313" customWidth="1"/>
    <col min="2300" max="2300" width="11.109375" style="313" bestFit="1" customWidth="1"/>
    <col min="2301" max="2301" width="9.109375" style="313" customWidth="1"/>
    <col min="2302" max="2302" width="10.44140625" style="313" customWidth="1"/>
    <col min="2303" max="2303" width="9.109375" style="313" customWidth="1"/>
    <col min="2304" max="2304" width="10.6640625" style="313" customWidth="1"/>
    <col min="2305" max="2305" width="9.109375" style="313" customWidth="1"/>
    <col min="2306" max="2306" width="10.109375" style="313" customWidth="1"/>
    <col min="2307" max="2307" width="11.109375" style="313" customWidth="1"/>
    <col min="2308" max="2427" width="9.109375" style="313" customWidth="1"/>
    <col min="2428" max="2428" width="2.5546875" style="313" customWidth="1"/>
    <col min="2429" max="2429" width="9.109375" style="313" customWidth="1"/>
    <col min="2430" max="2430" width="47.88671875" style="313" customWidth="1"/>
    <col min="2431" max="2431" width="6.6640625" style="313" customWidth="1"/>
    <col min="2432" max="2432" width="7.44140625" style="313" customWidth="1"/>
    <col min="2433" max="2433" width="7" style="313"/>
    <col min="2434" max="2434" width="8.5546875" style="313" customWidth="1"/>
    <col min="2435" max="2435" width="12" style="313" customWidth="1"/>
    <col min="2436" max="2436" width="4.6640625" style="313" customWidth="1"/>
    <col min="2437" max="2437" width="9.109375" style="313" customWidth="1"/>
    <col min="2438" max="2438" width="11.6640625" style="313" customWidth="1"/>
    <col min="2439" max="2550" width="7" style="313"/>
    <col min="2551" max="2551" width="3.88671875" style="313" customWidth="1"/>
    <col min="2552" max="2552" width="11.5546875" style="313" customWidth="1"/>
    <col min="2553" max="2553" width="66.5546875" style="313" customWidth="1"/>
    <col min="2554" max="2554" width="9.44140625" style="313" customWidth="1"/>
    <col min="2555" max="2555" width="9.109375" style="313" customWidth="1"/>
    <col min="2556" max="2556" width="11.109375" style="313" bestFit="1" customWidth="1"/>
    <col min="2557" max="2557" width="9.109375" style="313" customWidth="1"/>
    <col min="2558" max="2558" width="10.44140625" style="313" customWidth="1"/>
    <col min="2559" max="2559" width="9.109375" style="313" customWidth="1"/>
    <col min="2560" max="2560" width="10.6640625" style="313" customWidth="1"/>
    <col min="2561" max="2561" width="9.109375" style="313" customWidth="1"/>
    <col min="2562" max="2562" width="10.109375" style="313" customWidth="1"/>
    <col min="2563" max="2563" width="11.109375" style="313" customWidth="1"/>
    <col min="2564" max="2683" width="9.109375" style="313" customWidth="1"/>
    <col min="2684" max="2684" width="2.5546875" style="313" customWidth="1"/>
    <col min="2685" max="2685" width="9.109375" style="313" customWidth="1"/>
    <col min="2686" max="2686" width="47.88671875" style="313" customWidth="1"/>
    <col min="2687" max="2687" width="6.6640625" style="313" customWidth="1"/>
    <col min="2688" max="2688" width="7.44140625" style="313" customWidth="1"/>
    <col min="2689" max="2689" width="7" style="313"/>
    <col min="2690" max="2690" width="8.5546875" style="313" customWidth="1"/>
    <col min="2691" max="2691" width="12" style="313" customWidth="1"/>
    <col min="2692" max="2692" width="4.6640625" style="313" customWidth="1"/>
    <col min="2693" max="2693" width="9.109375" style="313" customWidth="1"/>
    <col min="2694" max="2694" width="11.6640625" style="313" customWidth="1"/>
    <col min="2695" max="2806" width="7" style="313"/>
    <col min="2807" max="2807" width="3.88671875" style="313" customWidth="1"/>
    <col min="2808" max="2808" width="11.5546875" style="313" customWidth="1"/>
    <col min="2809" max="2809" width="66.5546875" style="313" customWidth="1"/>
    <col min="2810" max="2810" width="9.44140625" style="313" customWidth="1"/>
    <col min="2811" max="2811" width="9.109375" style="313" customWidth="1"/>
    <col min="2812" max="2812" width="11.109375" style="313" bestFit="1" customWidth="1"/>
    <col min="2813" max="2813" width="9.109375" style="313" customWidth="1"/>
    <col min="2814" max="2814" width="10.44140625" style="313" customWidth="1"/>
    <col min="2815" max="2815" width="9.109375" style="313" customWidth="1"/>
    <col min="2816" max="2816" width="10.6640625" style="313" customWidth="1"/>
    <col min="2817" max="2817" width="9.109375" style="313" customWidth="1"/>
    <col min="2818" max="2818" width="10.109375" style="313" customWidth="1"/>
    <col min="2819" max="2819" width="11.109375" style="313" customWidth="1"/>
    <col min="2820" max="2939" width="9.109375" style="313" customWidth="1"/>
    <col min="2940" max="2940" width="2.5546875" style="313" customWidth="1"/>
    <col min="2941" max="2941" width="9.109375" style="313" customWidth="1"/>
    <col min="2942" max="2942" width="47.88671875" style="313" customWidth="1"/>
    <col min="2943" max="2943" width="6.6640625" style="313" customWidth="1"/>
    <col min="2944" max="2944" width="7.44140625" style="313" customWidth="1"/>
    <col min="2945" max="2945" width="7" style="313"/>
    <col min="2946" max="2946" width="8.5546875" style="313" customWidth="1"/>
    <col min="2947" max="2947" width="12" style="313" customWidth="1"/>
    <col min="2948" max="2948" width="4.6640625" style="313" customWidth="1"/>
    <col min="2949" max="2949" width="9.109375" style="313" customWidth="1"/>
    <col min="2950" max="2950" width="11.6640625" style="313" customWidth="1"/>
    <col min="2951" max="3062" width="7" style="313"/>
    <col min="3063" max="3063" width="3.88671875" style="313" customWidth="1"/>
    <col min="3064" max="3064" width="11.5546875" style="313" customWidth="1"/>
    <col min="3065" max="3065" width="66.5546875" style="313" customWidth="1"/>
    <col min="3066" max="3066" width="9.44140625" style="313" customWidth="1"/>
    <col min="3067" max="3067" width="9.109375" style="313" customWidth="1"/>
    <col min="3068" max="3068" width="11.109375" style="313" bestFit="1" customWidth="1"/>
    <col min="3069" max="3069" width="9.109375" style="313" customWidth="1"/>
    <col min="3070" max="3070" width="10.44140625" style="313" customWidth="1"/>
    <col min="3071" max="3071" width="9.109375" style="313" customWidth="1"/>
    <col min="3072" max="3072" width="10.6640625" style="313" customWidth="1"/>
    <col min="3073" max="3073" width="9.109375" style="313" customWidth="1"/>
    <col min="3074" max="3074" width="10.109375" style="313" customWidth="1"/>
    <col min="3075" max="3075" width="11.109375" style="313" customWidth="1"/>
    <col min="3076" max="3195" width="9.109375" style="313" customWidth="1"/>
    <col min="3196" max="3196" width="2.5546875" style="313" customWidth="1"/>
    <col min="3197" max="3197" width="9.109375" style="313" customWidth="1"/>
    <col min="3198" max="3198" width="47.88671875" style="313" customWidth="1"/>
    <col min="3199" max="3199" width="6.6640625" style="313" customWidth="1"/>
    <col min="3200" max="3200" width="7.44140625" style="313" customWidth="1"/>
    <col min="3201" max="3201" width="7" style="313"/>
    <col min="3202" max="3202" width="8.5546875" style="313" customWidth="1"/>
    <col min="3203" max="3203" width="12" style="313" customWidth="1"/>
    <col min="3204" max="3204" width="4.6640625" style="313" customWidth="1"/>
    <col min="3205" max="3205" width="9.109375" style="313" customWidth="1"/>
    <col min="3206" max="3206" width="11.6640625" style="313" customWidth="1"/>
    <col min="3207" max="3318" width="7" style="313"/>
    <col min="3319" max="3319" width="3.88671875" style="313" customWidth="1"/>
    <col min="3320" max="3320" width="11.5546875" style="313" customWidth="1"/>
    <col min="3321" max="3321" width="66.5546875" style="313" customWidth="1"/>
    <col min="3322" max="3322" width="9.44140625" style="313" customWidth="1"/>
    <col min="3323" max="3323" width="9.109375" style="313" customWidth="1"/>
    <col min="3324" max="3324" width="11.109375" style="313" bestFit="1" customWidth="1"/>
    <col min="3325" max="3325" width="9.109375" style="313" customWidth="1"/>
    <col min="3326" max="3326" width="10.44140625" style="313" customWidth="1"/>
    <col min="3327" max="3327" width="9.109375" style="313" customWidth="1"/>
    <col min="3328" max="3328" width="10.6640625" style="313" customWidth="1"/>
    <col min="3329" max="3329" width="9.109375" style="313" customWidth="1"/>
    <col min="3330" max="3330" width="10.109375" style="313" customWidth="1"/>
    <col min="3331" max="3331" width="11.109375" style="313" customWidth="1"/>
    <col min="3332" max="3451" width="9.109375" style="313" customWidth="1"/>
    <col min="3452" max="3452" width="2.5546875" style="313" customWidth="1"/>
    <col min="3453" max="3453" width="9.109375" style="313" customWidth="1"/>
    <col min="3454" max="3454" width="47.88671875" style="313" customWidth="1"/>
    <col min="3455" max="3455" width="6.6640625" style="313" customWidth="1"/>
    <col min="3456" max="3456" width="7.44140625" style="313" customWidth="1"/>
    <col min="3457" max="3457" width="7" style="313"/>
    <col min="3458" max="3458" width="8.5546875" style="313" customWidth="1"/>
    <col min="3459" max="3459" width="12" style="313" customWidth="1"/>
    <col min="3460" max="3460" width="4.6640625" style="313" customWidth="1"/>
    <col min="3461" max="3461" width="9.109375" style="313" customWidth="1"/>
    <col min="3462" max="3462" width="11.6640625" style="313" customWidth="1"/>
    <col min="3463" max="3574" width="7" style="313"/>
    <col min="3575" max="3575" width="3.88671875" style="313" customWidth="1"/>
    <col min="3576" max="3576" width="11.5546875" style="313" customWidth="1"/>
    <col min="3577" max="3577" width="66.5546875" style="313" customWidth="1"/>
    <col min="3578" max="3578" width="9.44140625" style="313" customWidth="1"/>
    <col min="3579" max="3579" width="9.109375" style="313" customWidth="1"/>
    <col min="3580" max="3580" width="11.109375" style="313" bestFit="1" customWidth="1"/>
    <col min="3581" max="3581" width="9.109375" style="313" customWidth="1"/>
    <col min="3582" max="3582" width="10.44140625" style="313" customWidth="1"/>
    <col min="3583" max="3583" width="9.109375" style="313" customWidth="1"/>
    <col min="3584" max="3584" width="10.6640625" style="313" customWidth="1"/>
    <col min="3585" max="3585" width="9.109375" style="313" customWidth="1"/>
    <col min="3586" max="3586" width="10.109375" style="313" customWidth="1"/>
    <col min="3587" max="3587" width="11.109375" style="313" customWidth="1"/>
    <col min="3588" max="3707" width="9.109375" style="313" customWidth="1"/>
    <col min="3708" max="3708" width="2.5546875" style="313" customWidth="1"/>
    <col min="3709" max="3709" width="9.109375" style="313" customWidth="1"/>
    <col min="3710" max="3710" width="47.88671875" style="313" customWidth="1"/>
    <col min="3711" max="3711" width="6.6640625" style="313" customWidth="1"/>
    <col min="3712" max="3712" width="7.44140625" style="313" customWidth="1"/>
    <col min="3713" max="3713" width="7" style="313"/>
    <col min="3714" max="3714" width="8.5546875" style="313" customWidth="1"/>
    <col min="3715" max="3715" width="12" style="313" customWidth="1"/>
    <col min="3716" max="3716" width="4.6640625" style="313" customWidth="1"/>
    <col min="3717" max="3717" width="9.109375" style="313" customWidth="1"/>
    <col min="3718" max="3718" width="11.6640625" style="313" customWidth="1"/>
    <col min="3719" max="3830" width="7" style="313"/>
    <col min="3831" max="3831" width="3.88671875" style="313" customWidth="1"/>
    <col min="3832" max="3832" width="11.5546875" style="313" customWidth="1"/>
    <col min="3833" max="3833" width="66.5546875" style="313" customWidth="1"/>
    <col min="3834" max="3834" width="9.44140625" style="313" customWidth="1"/>
    <col min="3835" max="3835" width="9.109375" style="313" customWidth="1"/>
    <col min="3836" max="3836" width="11.109375" style="313" bestFit="1" customWidth="1"/>
    <col min="3837" max="3837" width="9.109375" style="313" customWidth="1"/>
    <col min="3838" max="3838" width="10.44140625" style="313" customWidth="1"/>
    <col min="3839" max="3839" width="9.109375" style="313" customWidth="1"/>
    <col min="3840" max="3840" width="10.6640625" style="313" customWidth="1"/>
    <col min="3841" max="3841" width="9.109375" style="313" customWidth="1"/>
    <col min="3842" max="3842" width="10.109375" style="313" customWidth="1"/>
    <col min="3843" max="3843" width="11.109375" style="313" customWidth="1"/>
    <col min="3844" max="3963" width="9.109375" style="313" customWidth="1"/>
    <col min="3964" max="3964" width="2.5546875" style="313" customWidth="1"/>
    <col min="3965" max="3965" width="9.109375" style="313" customWidth="1"/>
    <col min="3966" max="3966" width="47.88671875" style="313" customWidth="1"/>
    <col min="3967" max="3967" width="6.6640625" style="313" customWidth="1"/>
    <col min="3968" max="3968" width="7.44140625" style="313" customWidth="1"/>
    <col min="3969" max="3969" width="7" style="313"/>
    <col min="3970" max="3970" width="8.5546875" style="313" customWidth="1"/>
    <col min="3971" max="3971" width="12" style="313" customWidth="1"/>
    <col min="3972" max="3972" width="4.6640625" style="313" customWidth="1"/>
    <col min="3973" max="3973" width="9.109375" style="313" customWidth="1"/>
    <col min="3974" max="3974" width="11.6640625" style="313" customWidth="1"/>
    <col min="3975" max="4086" width="7" style="313"/>
    <col min="4087" max="4087" width="3.88671875" style="313" customWidth="1"/>
    <col min="4088" max="4088" width="11.5546875" style="313" customWidth="1"/>
    <col min="4089" max="4089" width="66.5546875" style="313" customWidth="1"/>
    <col min="4090" max="4090" width="9.44140625" style="313" customWidth="1"/>
    <col min="4091" max="4091" width="9.109375" style="313" customWidth="1"/>
    <col min="4092" max="4092" width="11.109375" style="313" bestFit="1" customWidth="1"/>
    <col min="4093" max="4093" width="9.109375" style="313" customWidth="1"/>
    <col min="4094" max="4094" width="10.44140625" style="313" customWidth="1"/>
    <col min="4095" max="4095" width="9.109375" style="313" customWidth="1"/>
    <col min="4096" max="4096" width="10.6640625" style="313" customWidth="1"/>
    <col min="4097" max="4097" width="9.109375" style="313" customWidth="1"/>
    <col min="4098" max="4098" width="10.109375" style="313" customWidth="1"/>
    <col min="4099" max="4099" width="11.109375" style="313" customWidth="1"/>
    <col min="4100" max="4219" width="9.109375" style="313" customWidth="1"/>
    <col min="4220" max="4220" width="2.5546875" style="313" customWidth="1"/>
    <col min="4221" max="4221" width="9.109375" style="313" customWidth="1"/>
    <col min="4222" max="4222" width="47.88671875" style="313" customWidth="1"/>
    <col min="4223" max="4223" width="6.6640625" style="313" customWidth="1"/>
    <col min="4224" max="4224" width="7.44140625" style="313" customWidth="1"/>
    <col min="4225" max="4225" width="7" style="313"/>
    <col min="4226" max="4226" width="8.5546875" style="313" customWidth="1"/>
    <col min="4227" max="4227" width="12" style="313" customWidth="1"/>
    <col min="4228" max="4228" width="4.6640625" style="313" customWidth="1"/>
    <col min="4229" max="4229" width="9.109375" style="313" customWidth="1"/>
    <col min="4230" max="4230" width="11.6640625" style="313" customWidth="1"/>
    <col min="4231" max="4342" width="7" style="313"/>
    <col min="4343" max="4343" width="3.88671875" style="313" customWidth="1"/>
    <col min="4344" max="4344" width="11.5546875" style="313" customWidth="1"/>
    <col min="4345" max="4345" width="66.5546875" style="313" customWidth="1"/>
    <col min="4346" max="4346" width="9.44140625" style="313" customWidth="1"/>
    <col min="4347" max="4347" width="9.109375" style="313" customWidth="1"/>
    <col min="4348" max="4348" width="11.109375" style="313" bestFit="1" customWidth="1"/>
    <col min="4349" max="4349" width="9.109375" style="313" customWidth="1"/>
    <col min="4350" max="4350" width="10.44140625" style="313" customWidth="1"/>
    <col min="4351" max="4351" width="9.109375" style="313" customWidth="1"/>
    <col min="4352" max="4352" width="10.6640625" style="313" customWidth="1"/>
    <col min="4353" max="4353" width="9.109375" style="313" customWidth="1"/>
    <col min="4354" max="4354" width="10.109375" style="313" customWidth="1"/>
    <col min="4355" max="4355" width="11.109375" style="313" customWidth="1"/>
    <col min="4356" max="4475" width="9.109375" style="313" customWidth="1"/>
    <col min="4476" max="4476" width="2.5546875" style="313" customWidth="1"/>
    <col min="4477" max="4477" width="9.109375" style="313" customWidth="1"/>
    <col min="4478" max="4478" width="47.88671875" style="313" customWidth="1"/>
    <col min="4479" max="4479" width="6.6640625" style="313" customWidth="1"/>
    <col min="4480" max="4480" width="7.44140625" style="313" customWidth="1"/>
    <col min="4481" max="4481" width="7" style="313"/>
    <col min="4482" max="4482" width="8.5546875" style="313" customWidth="1"/>
    <col min="4483" max="4483" width="12" style="313" customWidth="1"/>
    <col min="4484" max="4484" width="4.6640625" style="313" customWidth="1"/>
    <col min="4485" max="4485" width="9.109375" style="313" customWidth="1"/>
    <col min="4486" max="4486" width="11.6640625" style="313" customWidth="1"/>
    <col min="4487" max="4598" width="7" style="313"/>
    <col min="4599" max="4599" width="3.88671875" style="313" customWidth="1"/>
    <col min="4600" max="4600" width="11.5546875" style="313" customWidth="1"/>
    <col min="4601" max="4601" width="66.5546875" style="313" customWidth="1"/>
    <col min="4602" max="4602" width="9.44140625" style="313" customWidth="1"/>
    <col min="4603" max="4603" width="9.109375" style="313" customWidth="1"/>
    <col min="4604" max="4604" width="11.109375" style="313" bestFit="1" customWidth="1"/>
    <col min="4605" max="4605" width="9.109375" style="313" customWidth="1"/>
    <col min="4606" max="4606" width="10.44140625" style="313" customWidth="1"/>
    <col min="4607" max="4607" width="9.109375" style="313" customWidth="1"/>
    <col min="4608" max="4608" width="10.6640625" style="313" customWidth="1"/>
    <col min="4609" max="4609" width="9.109375" style="313" customWidth="1"/>
    <col min="4610" max="4610" width="10.109375" style="313" customWidth="1"/>
    <col min="4611" max="4611" width="11.109375" style="313" customWidth="1"/>
    <col min="4612" max="4731" width="9.109375" style="313" customWidth="1"/>
    <col min="4732" max="4732" width="2.5546875" style="313" customWidth="1"/>
    <col min="4733" max="4733" width="9.109375" style="313" customWidth="1"/>
    <col min="4734" max="4734" width="47.88671875" style="313" customWidth="1"/>
    <col min="4735" max="4735" width="6.6640625" style="313" customWidth="1"/>
    <col min="4736" max="4736" width="7.44140625" style="313" customWidth="1"/>
    <col min="4737" max="4737" width="7" style="313"/>
    <col min="4738" max="4738" width="8.5546875" style="313" customWidth="1"/>
    <col min="4739" max="4739" width="12" style="313" customWidth="1"/>
    <col min="4740" max="4740" width="4.6640625" style="313" customWidth="1"/>
    <col min="4741" max="4741" width="9.109375" style="313" customWidth="1"/>
    <col min="4742" max="4742" width="11.6640625" style="313" customWidth="1"/>
    <col min="4743" max="4854" width="7" style="313"/>
    <col min="4855" max="4855" width="3.88671875" style="313" customWidth="1"/>
    <col min="4856" max="4856" width="11.5546875" style="313" customWidth="1"/>
    <col min="4857" max="4857" width="66.5546875" style="313" customWidth="1"/>
    <col min="4858" max="4858" width="9.44140625" style="313" customWidth="1"/>
    <col min="4859" max="4859" width="9.109375" style="313" customWidth="1"/>
    <col min="4860" max="4860" width="11.109375" style="313" bestFit="1" customWidth="1"/>
    <col min="4861" max="4861" width="9.109375" style="313" customWidth="1"/>
    <col min="4862" max="4862" width="10.44140625" style="313" customWidth="1"/>
    <col min="4863" max="4863" width="9.109375" style="313" customWidth="1"/>
    <col min="4864" max="4864" width="10.6640625" style="313" customWidth="1"/>
    <col min="4865" max="4865" width="9.109375" style="313" customWidth="1"/>
    <col min="4866" max="4866" width="10.109375" style="313" customWidth="1"/>
    <col min="4867" max="4867" width="11.109375" style="313" customWidth="1"/>
    <col min="4868" max="4987" width="9.109375" style="313" customWidth="1"/>
    <col min="4988" max="4988" width="2.5546875" style="313" customWidth="1"/>
    <col min="4989" max="4989" width="9.109375" style="313" customWidth="1"/>
    <col min="4990" max="4990" width="47.88671875" style="313" customWidth="1"/>
    <col min="4991" max="4991" width="6.6640625" style="313" customWidth="1"/>
    <col min="4992" max="4992" width="7.44140625" style="313" customWidth="1"/>
    <col min="4993" max="4993" width="7" style="313"/>
    <col min="4994" max="4994" width="8.5546875" style="313" customWidth="1"/>
    <col min="4995" max="4995" width="12" style="313" customWidth="1"/>
    <col min="4996" max="4996" width="4.6640625" style="313" customWidth="1"/>
    <col min="4997" max="4997" width="9.109375" style="313" customWidth="1"/>
    <col min="4998" max="4998" width="11.6640625" style="313" customWidth="1"/>
    <col min="4999" max="5110" width="7" style="313"/>
    <col min="5111" max="5111" width="3.88671875" style="313" customWidth="1"/>
    <col min="5112" max="5112" width="11.5546875" style="313" customWidth="1"/>
    <col min="5113" max="5113" width="66.5546875" style="313" customWidth="1"/>
    <col min="5114" max="5114" width="9.44140625" style="313" customWidth="1"/>
    <col min="5115" max="5115" width="9.109375" style="313" customWidth="1"/>
    <col min="5116" max="5116" width="11.109375" style="313" bestFit="1" customWidth="1"/>
    <col min="5117" max="5117" width="9.109375" style="313" customWidth="1"/>
    <col min="5118" max="5118" width="10.44140625" style="313" customWidth="1"/>
    <col min="5119" max="5119" width="9.109375" style="313" customWidth="1"/>
    <col min="5120" max="5120" width="10.6640625" style="313" customWidth="1"/>
    <col min="5121" max="5121" width="9.109375" style="313" customWidth="1"/>
    <col min="5122" max="5122" width="10.109375" style="313" customWidth="1"/>
    <col min="5123" max="5123" width="11.109375" style="313" customWidth="1"/>
    <col min="5124" max="5243" width="9.109375" style="313" customWidth="1"/>
    <col min="5244" max="5244" width="2.5546875" style="313" customWidth="1"/>
    <col min="5245" max="5245" width="9.109375" style="313" customWidth="1"/>
    <col min="5246" max="5246" width="47.88671875" style="313" customWidth="1"/>
    <col min="5247" max="5247" width="6.6640625" style="313" customWidth="1"/>
    <col min="5248" max="5248" width="7.44140625" style="313" customWidth="1"/>
    <col min="5249" max="5249" width="7" style="313"/>
    <col min="5250" max="5250" width="8.5546875" style="313" customWidth="1"/>
    <col min="5251" max="5251" width="12" style="313" customWidth="1"/>
    <col min="5252" max="5252" width="4.6640625" style="313" customWidth="1"/>
    <col min="5253" max="5253" width="9.109375" style="313" customWidth="1"/>
    <col min="5254" max="5254" width="11.6640625" style="313" customWidth="1"/>
    <col min="5255" max="5366" width="7" style="313"/>
    <col min="5367" max="5367" width="3.88671875" style="313" customWidth="1"/>
    <col min="5368" max="5368" width="11.5546875" style="313" customWidth="1"/>
    <col min="5369" max="5369" width="66.5546875" style="313" customWidth="1"/>
    <col min="5370" max="5370" width="9.44140625" style="313" customWidth="1"/>
    <col min="5371" max="5371" width="9.109375" style="313" customWidth="1"/>
    <col min="5372" max="5372" width="11.109375" style="313" bestFit="1" customWidth="1"/>
    <col min="5373" max="5373" width="9.109375" style="313" customWidth="1"/>
    <col min="5374" max="5374" width="10.44140625" style="313" customWidth="1"/>
    <col min="5375" max="5375" width="9.109375" style="313" customWidth="1"/>
    <col min="5376" max="5376" width="10.6640625" style="313" customWidth="1"/>
    <col min="5377" max="5377" width="9.109375" style="313" customWidth="1"/>
    <col min="5378" max="5378" width="10.109375" style="313" customWidth="1"/>
    <col min="5379" max="5379" width="11.109375" style="313" customWidth="1"/>
    <col min="5380" max="5499" width="9.109375" style="313" customWidth="1"/>
    <col min="5500" max="5500" width="2.5546875" style="313" customWidth="1"/>
    <col min="5501" max="5501" width="9.109375" style="313" customWidth="1"/>
    <col min="5502" max="5502" width="47.88671875" style="313" customWidth="1"/>
    <col min="5503" max="5503" width="6.6640625" style="313" customWidth="1"/>
    <col min="5504" max="5504" width="7.44140625" style="313" customWidth="1"/>
    <col min="5505" max="5505" width="7" style="313"/>
    <col min="5506" max="5506" width="8.5546875" style="313" customWidth="1"/>
    <col min="5507" max="5507" width="12" style="313" customWidth="1"/>
    <col min="5508" max="5508" width="4.6640625" style="313" customWidth="1"/>
    <col min="5509" max="5509" width="9.109375" style="313" customWidth="1"/>
    <col min="5510" max="5510" width="11.6640625" style="313" customWidth="1"/>
    <col min="5511" max="5622" width="7" style="313"/>
    <col min="5623" max="5623" width="3.88671875" style="313" customWidth="1"/>
    <col min="5624" max="5624" width="11.5546875" style="313" customWidth="1"/>
    <col min="5625" max="5625" width="66.5546875" style="313" customWidth="1"/>
    <col min="5626" max="5626" width="9.44140625" style="313" customWidth="1"/>
    <col min="5627" max="5627" width="9.109375" style="313" customWidth="1"/>
    <col min="5628" max="5628" width="11.109375" style="313" bestFit="1" customWidth="1"/>
    <col min="5629" max="5629" width="9.109375" style="313" customWidth="1"/>
    <col min="5630" max="5630" width="10.44140625" style="313" customWidth="1"/>
    <col min="5631" max="5631" width="9.109375" style="313" customWidth="1"/>
    <col min="5632" max="5632" width="10.6640625" style="313" customWidth="1"/>
    <col min="5633" max="5633" width="9.109375" style="313" customWidth="1"/>
    <col min="5634" max="5634" width="10.109375" style="313" customWidth="1"/>
    <col min="5635" max="5635" width="11.109375" style="313" customWidth="1"/>
    <col min="5636" max="5755" width="9.109375" style="313" customWidth="1"/>
    <col min="5756" max="5756" width="2.5546875" style="313" customWidth="1"/>
    <col min="5757" max="5757" width="9.109375" style="313" customWidth="1"/>
    <col min="5758" max="5758" width="47.88671875" style="313" customWidth="1"/>
    <col min="5759" max="5759" width="6.6640625" style="313" customWidth="1"/>
    <col min="5760" max="5760" width="7.44140625" style="313" customWidth="1"/>
    <col min="5761" max="5761" width="7" style="313"/>
    <col min="5762" max="5762" width="8.5546875" style="313" customWidth="1"/>
    <col min="5763" max="5763" width="12" style="313" customWidth="1"/>
    <col min="5764" max="5764" width="4.6640625" style="313" customWidth="1"/>
    <col min="5765" max="5765" width="9.109375" style="313" customWidth="1"/>
    <col min="5766" max="5766" width="11.6640625" style="313" customWidth="1"/>
    <col min="5767" max="5878" width="7" style="313"/>
    <col min="5879" max="5879" width="3.88671875" style="313" customWidth="1"/>
    <col min="5880" max="5880" width="11.5546875" style="313" customWidth="1"/>
    <col min="5881" max="5881" width="66.5546875" style="313" customWidth="1"/>
    <col min="5882" max="5882" width="9.44140625" style="313" customWidth="1"/>
    <col min="5883" max="5883" width="9.109375" style="313" customWidth="1"/>
    <col min="5884" max="5884" width="11.109375" style="313" bestFit="1" customWidth="1"/>
    <col min="5885" max="5885" width="9.109375" style="313" customWidth="1"/>
    <col min="5886" max="5886" width="10.44140625" style="313" customWidth="1"/>
    <col min="5887" max="5887" width="9.109375" style="313" customWidth="1"/>
    <col min="5888" max="5888" width="10.6640625" style="313" customWidth="1"/>
    <col min="5889" max="5889" width="9.109375" style="313" customWidth="1"/>
    <col min="5890" max="5890" width="10.109375" style="313" customWidth="1"/>
    <col min="5891" max="5891" width="11.109375" style="313" customWidth="1"/>
    <col min="5892" max="6011" width="9.109375" style="313" customWidth="1"/>
    <col min="6012" max="6012" width="2.5546875" style="313" customWidth="1"/>
    <col min="6013" max="6013" width="9.109375" style="313" customWidth="1"/>
    <col min="6014" max="6014" width="47.88671875" style="313" customWidth="1"/>
    <col min="6015" max="6015" width="6.6640625" style="313" customWidth="1"/>
    <col min="6016" max="6016" width="7.44140625" style="313" customWidth="1"/>
    <col min="6017" max="6017" width="7" style="313"/>
    <col min="6018" max="6018" width="8.5546875" style="313" customWidth="1"/>
    <col min="6019" max="6019" width="12" style="313" customWidth="1"/>
    <col min="6020" max="6020" width="4.6640625" style="313" customWidth="1"/>
    <col min="6021" max="6021" width="9.109375" style="313" customWidth="1"/>
    <col min="6022" max="6022" width="11.6640625" style="313" customWidth="1"/>
    <col min="6023" max="6134" width="7" style="313"/>
    <col min="6135" max="6135" width="3.88671875" style="313" customWidth="1"/>
    <col min="6136" max="6136" width="11.5546875" style="313" customWidth="1"/>
    <col min="6137" max="6137" width="66.5546875" style="313" customWidth="1"/>
    <col min="6138" max="6138" width="9.44140625" style="313" customWidth="1"/>
    <col min="6139" max="6139" width="9.109375" style="313" customWidth="1"/>
    <col min="6140" max="6140" width="11.109375" style="313" bestFit="1" customWidth="1"/>
    <col min="6141" max="6141" width="9.109375" style="313" customWidth="1"/>
    <col min="6142" max="6142" width="10.44140625" style="313" customWidth="1"/>
    <col min="6143" max="6143" width="9.109375" style="313" customWidth="1"/>
    <col min="6144" max="6144" width="10.6640625" style="313" customWidth="1"/>
    <col min="6145" max="6145" width="9.109375" style="313" customWidth="1"/>
    <col min="6146" max="6146" width="10.109375" style="313" customWidth="1"/>
    <col min="6147" max="6147" width="11.109375" style="313" customWidth="1"/>
    <col min="6148" max="6267" width="9.109375" style="313" customWidth="1"/>
    <col min="6268" max="6268" width="2.5546875" style="313" customWidth="1"/>
    <col min="6269" max="6269" width="9.109375" style="313" customWidth="1"/>
    <col min="6270" max="6270" width="47.88671875" style="313" customWidth="1"/>
    <col min="6271" max="6271" width="6.6640625" style="313" customWidth="1"/>
    <col min="6272" max="6272" width="7.44140625" style="313" customWidth="1"/>
    <col min="6273" max="6273" width="7" style="313"/>
    <col min="6274" max="6274" width="8.5546875" style="313" customWidth="1"/>
    <col min="6275" max="6275" width="12" style="313" customWidth="1"/>
    <col min="6276" max="6276" width="4.6640625" style="313" customWidth="1"/>
    <col min="6277" max="6277" width="9.109375" style="313" customWidth="1"/>
    <col min="6278" max="6278" width="11.6640625" style="313" customWidth="1"/>
    <col min="6279" max="6390" width="7" style="313"/>
    <col min="6391" max="6391" width="3.88671875" style="313" customWidth="1"/>
    <col min="6392" max="6392" width="11.5546875" style="313" customWidth="1"/>
    <col min="6393" max="6393" width="66.5546875" style="313" customWidth="1"/>
    <col min="6394" max="6394" width="9.44140625" style="313" customWidth="1"/>
    <col min="6395" max="6395" width="9.109375" style="313" customWidth="1"/>
    <col min="6396" max="6396" width="11.109375" style="313" bestFit="1" customWidth="1"/>
    <col min="6397" max="6397" width="9.109375" style="313" customWidth="1"/>
    <col min="6398" max="6398" width="10.44140625" style="313" customWidth="1"/>
    <col min="6399" max="6399" width="9.109375" style="313" customWidth="1"/>
    <col min="6400" max="6400" width="10.6640625" style="313" customWidth="1"/>
    <col min="6401" max="6401" width="9.109375" style="313" customWidth="1"/>
    <col min="6402" max="6402" width="10.109375" style="313" customWidth="1"/>
    <col min="6403" max="6403" width="11.109375" style="313" customWidth="1"/>
    <col min="6404" max="6523" width="9.109375" style="313" customWidth="1"/>
    <col min="6524" max="6524" width="2.5546875" style="313" customWidth="1"/>
    <col min="6525" max="6525" width="9.109375" style="313" customWidth="1"/>
    <col min="6526" max="6526" width="47.88671875" style="313" customWidth="1"/>
    <col min="6527" max="6527" width="6.6640625" style="313" customWidth="1"/>
    <col min="6528" max="6528" width="7.44140625" style="313" customWidth="1"/>
    <col min="6529" max="6529" width="7" style="313"/>
    <col min="6530" max="6530" width="8.5546875" style="313" customWidth="1"/>
    <col min="6531" max="6531" width="12" style="313" customWidth="1"/>
    <col min="6532" max="6532" width="4.6640625" style="313" customWidth="1"/>
    <col min="6533" max="6533" width="9.109375" style="313" customWidth="1"/>
    <col min="6534" max="6534" width="11.6640625" style="313" customWidth="1"/>
    <col min="6535" max="6646" width="7" style="313"/>
    <col min="6647" max="6647" width="3.88671875" style="313" customWidth="1"/>
    <col min="6648" max="6648" width="11.5546875" style="313" customWidth="1"/>
    <col min="6649" max="6649" width="66.5546875" style="313" customWidth="1"/>
    <col min="6650" max="6650" width="9.44140625" style="313" customWidth="1"/>
    <col min="6651" max="6651" width="9.109375" style="313" customWidth="1"/>
    <col min="6652" max="6652" width="11.109375" style="313" bestFit="1" customWidth="1"/>
    <col min="6653" max="6653" width="9.109375" style="313" customWidth="1"/>
    <col min="6654" max="6654" width="10.44140625" style="313" customWidth="1"/>
    <col min="6655" max="6655" width="9.109375" style="313" customWidth="1"/>
    <col min="6656" max="6656" width="10.6640625" style="313" customWidth="1"/>
    <col min="6657" max="6657" width="9.109375" style="313" customWidth="1"/>
    <col min="6658" max="6658" width="10.109375" style="313" customWidth="1"/>
    <col min="6659" max="6659" width="11.109375" style="313" customWidth="1"/>
    <col min="6660" max="6779" width="9.109375" style="313" customWidth="1"/>
    <col min="6780" max="6780" width="2.5546875" style="313" customWidth="1"/>
    <col min="6781" max="6781" width="9.109375" style="313" customWidth="1"/>
    <col min="6782" max="6782" width="47.88671875" style="313" customWidth="1"/>
    <col min="6783" max="6783" width="6.6640625" style="313" customWidth="1"/>
    <col min="6784" max="6784" width="7.44140625" style="313" customWidth="1"/>
    <col min="6785" max="6785" width="7" style="313"/>
    <col min="6786" max="6786" width="8.5546875" style="313" customWidth="1"/>
    <col min="6787" max="6787" width="12" style="313" customWidth="1"/>
    <col min="6788" max="6788" width="4.6640625" style="313" customWidth="1"/>
    <col min="6789" max="6789" width="9.109375" style="313" customWidth="1"/>
    <col min="6790" max="6790" width="11.6640625" style="313" customWidth="1"/>
    <col min="6791" max="6902" width="7" style="313"/>
    <col min="6903" max="6903" width="3.88671875" style="313" customWidth="1"/>
    <col min="6904" max="6904" width="11.5546875" style="313" customWidth="1"/>
    <col min="6905" max="6905" width="66.5546875" style="313" customWidth="1"/>
    <col min="6906" max="6906" width="9.44140625" style="313" customWidth="1"/>
    <col min="6907" max="6907" width="9.109375" style="313" customWidth="1"/>
    <col min="6908" max="6908" width="11.109375" style="313" bestFit="1" customWidth="1"/>
    <col min="6909" max="6909" width="9.109375" style="313" customWidth="1"/>
    <col min="6910" max="6910" width="10.44140625" style="313" customWidth="1"/>
    <col min="6911" max="6911" width="9.109375" style="313" customWidth="1"/>
    <col min="6912" max="6912" width="10.6640625" style="313" customWidth="1"/>
    <col min="6913" max="6913" width="9.109375" style="313" customWidth="1"/>
    <col min="6914" max="6914" width="10.109375" style="313" customWidth="1"/>
    <col min="6915" max="6915" width="11.109375" style="313" customWidth="1"/>
    <col min="6916" max="7035" width="9.109375" style="313" customWidth="1"/>
    <col min="7036" max="7036" width="2.5546875" style="313" customWidth="1"/>
    <col min="7037" max="7037" width="9.109375" style="313" customWidth="1"/>
    <col min="7038" max="7038" width="47.88671875" style="313" customWidth="1"/>
    <col min="7039" max="7039" width="6.6640625" style="313" customWidth="1"/>
    <col min="7040" max="7040" width="7.44140625" style="313" customWidth="1"/>
    <col min="7041" max="7041" width="7" style="313"/>
    <col min="7042" max="7042" width="8.5546875" style="313" customWidth="1"/>
    <col min="7043" max="7043" width="12" style="313" customWidth="1"/>
    <col min="7044" max="7044" width="4.6640625" style="313" customWidth="1"/>
    <col min="7045" max="7045" width="9.109375" style="313" customWidth="1"/>
    <col min="7046" max="7046" width="11.6640625" style="313" customWidth="1"/>
    <col min="7047" max="7158" width="7" style="313"/>
    <col min="7159" max="7159" width="3.88671875" style="313" customWidth="1"/>
    <col min="7160" max="7160" width="11.5546875" style="313" customWidth="1"/>
    <col min="7161" max="7161" width="66.5546875" style="313" customWidth="1"/>
    <col min="7162" max="7162" width="9.44140625" style="313" customWidth="1"/>
    <col min="7163" max="7163" width="9.109375" style="313" customWidth="1"/>
    <col min="7164" max="7164" width="11.109375" style="313" bestFit="1" customWidth="1"/>
    <col min="7165" max="7165" width="9.109375" style="313" customWidth="1"/>
    <col min="7166" max="7166" width="10.44140625" style="313" customWidth="1"/>
    <col min="7167" max="7167" width="9.109375" style="313" customWidth="1"/>
    <col min="7168" max="7168" width="10.6640625" style="313" customWidth="1"/>
    <col min="7169" max="7169" width="9.109375" style="313" customWidth="1"/>
    <col min="7170" max="7170" width="10.109375" style="313" customWidth="1"/>
    <col min="7171" max="7171" width="11.109375" style="313" customWidth="1"/>
    <col min="7172" max="7291" width="9.109375" style="313" customWidth="1"/>
    <col min="7292" max="7292" width="2.5546875" style="313" customWidth="1"/>
    <col min="7293" max="7293" width="9.109375" style="313" customWidth="1"/>
    <col min="7294" max="7294" width="47.88671875" style="313" customWidth="1"/>
    <col min="7295" max="7295" width="6.6640625" style="313" customWidth="1"/>
    <col min="7296" max="7296" width="7.44140625" style="313" customWidth="1"/>
    <col min="7297" max="7297" width="7" style="313"/>
    <col min="7298" max="7298" width="8.5546875" style="313" customWidth="1"/>
    <col min="7299" max="7299" width="12" style="313" customWidth="1"/>
    <col min="7300" max="7300" width="4.6640625" style="313" customWidth="1"/>
    <col min="7301" max="7301" width="9.109375" style="313" customWidth="1"/>
    <col min="7302" max="7302" width="11.6640625" style="313" customWidth="1"/>
    <col min="7303" max="7414" width="7" style="313"/>
    <col min="7415" max="7415" width="3.88671875" style="313" customWidth="1"/>
    <col min="7416" max="7416" width="11.5546875" style="313" customWidth="1"/>
    <col min="7417" max="7417" width="66.5546875" style="313" customWidth="1"/>
    <col min="7418" max="7418" width="9.44140625" style="313" customWidth="1"/>
    <col min="7419" max="7419" width="9.109375" style="313" customWidth="1"/>
    <col min="7420" max="7420" width="11.109375" style="313" bestFit="1" customWidth="1"/>
    <col min="7421" max="7421" width="9.109375" style="313" customWidth="1"/>
    <col min="7422" max="7422" width="10.44140625" style="313" customWidth="1"/>
    <col min="7423" max="7423" width="9.109375" style="313" customWidth="1"/>
    <col min="7424" max="7424" width="10.6640625" style="313" customWidth="1"/>
    <col min="7425" max="7425" width="9.109375" style="313" customWidth="1"/>
    <col min="7426" max="7426" width="10.109375" style="313" customWidth="1"/>
    <col min="7427" max="7427" width="11.109375" style="313" customWidth="1"/>
    <col min="7428" max="7547" width="9.109375" style="313" customWidth="1"/>
    <col min="7548" max="7548" width="2.5546875" style="313" customWidth="1"/>
    <col min="7549" max="7549" width="9.109375" style="313" customWidth="1"/>
    <col min="7550" max="7550" width="47.88671875" style="313" customWidth="1"/>
    <col min="7551" max="7551" width="6.6640625" style="313" customWidth="1"/>
    <col min="7552" max="7552" width="7.44140625" style="313" customWidth="1"/>
    <col min="7553" max="7553" width="7" style="313"/>
    <col min="7554" max="7554" width="8.5546875" style="313" customWidth="1"/>
    <col min="7555" max="7555" width="12" style="313" customWidth="1"/>
    <col min="7556" max="7556" width="4.6640625" style="313" customWidth="1"/>
    <col min="7557" max="7557" width="9.109375" style="313" customWidth="1"/>
    <col min="7558" max="7558" width="11.6640625" style="313" customWidth="1"/>
    <col min="7559" max="7670" width="7" style="313"/>
    <col min="7671" max="7671" width="3.88671875" style="313" customWidth="1"/>
    <col min="7672" max="7672" width="11.5546875" style="313" customWidth="1"/>
    <col min="7673" max="7673" width="66.5546875" style="313" customWidth="1"/>
    <col min="7674" max="7674" width="9.44140625" style="313" customWidth="1"/>
    <col min="7675" max="7675" width="9.109375" style="313" customWidth="1"/>
    <col min="7676" max="7676" width="11.109375" style="313" bestFit="1" customWidth="1"/>
    <col min="7677" max="7677" width="9.109375" style="313" customWidth="1"/>
    <col min="7678" max="7678" width="10.44140625" style="313" customWidth="1"/>
    <col min="7679" max="7679" width="9.109375" style="313" customWidth="1"/>
    <col min="7680" max="7680" width="10.6640625" style="313" customWidth="1"/>
    <col min="7681" max="7681" width="9.109375" style="313" customWidth="1"/>
    <col min="7682" max="7682" width="10.109375" style="313" customWidth="1"/>
    <col min="7683" max="7683" width="11.109375" style="313" customWidth="1"/>
    <col min="7684" max="7803" width="9.109375" style="313" customWidth="1"/>
    <col min="7804" max="7804" width="2.5546875" style="313" customWidth="1"/>
    <col min="7805" max="7805" width="9.109375" style="313" customWidth="1"/>
    <col min="7806" max="7806" width="47.88671875" style="313" customWidth="1"/>
    <col min="7807" max="7807" width="6.6640625" style="313" customWidth="1"/>
    <col min="7808" max="7808" width="7.44140625" style="313" customWidth="1"/>
    <col min="7809" max="7809" width="7" style="313"/>
    <col min="7810" max="7810" width="8.5546875" style="313" customWidth="1"/>
    <col min="7811" max="7811" width="12" style="313" customWidth="1"/>
    <col min="7812" max="7812" width="4.6640625" style="313" customWidth="1"/>
    <col min="7813" max="7813" width="9.109375" style="313" customWidth="1"/>
    <col min="7814" max="7814" width="11.6640625" style="313" customWidth="1"/>
    <col min="7815" max="7926" width="7" style="313"/>
    <col min="7927" max="7927" width="3.88671875" style="313" customWidth="1"/>
    <col min="7928" max="7928" width="11.5546875" style="313" customWidth="1"/>
    <col min="7929" max="7929" width="66.5546875" style="313" customWidth="1"/>
    <col min="7930" max="7930" width="9.44140625" style="313" customWidth="1"/>
    <col min="7931" max="7931" width="9.109375" style="313" customWidth="1"/>
    <col min="7932" max="7932" width="11.109375" style="313" bestFit="1" customWidth="1"/>
    <col min="7933" max="7933" width="9.109375" style="313" customWidth="1"/>
    <col min="7934" max="7934" width="10.44140625" style="313" customWidth="1"/>
    <col min="7935" max="7935" width="9.109375" style="313" customWidth="1"/>
    <col min="7936" max="7936" width="10.6640625" style="313" customWidth="1"/>
    <col min="7937" max="7937" width="9.109375" style="313" customWidth="1"/>
    <col min="7938" max="7938" width="10.109375" style="313" customWidth="1"/>
    <col min="7939" max="7939" width="11.109375" style="313" customWidth="1"/>
    <col min="7940" max="8059" width="9.109375" style="313" customWidth="1"/>
    <col min="8060" max="8060" width="2.5546875" style="313" customWidth="1"/>
    <col min="8061" max="8061" width="9.109375" style="313" customWidth="1"/>
    <col min="8062" max="8062" width="47.88671875" style="313" customWidth="1"/>
    <col min="8063" max="8063" width="6.6640625" style="313" customWidth="1"/>
    <col min="8064" max="8064" width="7.44140625" style="313" customWidth="1"/>
    <col min="8065" max="8065" width="7" style="313"/>
    <col min="8066" max="8066" width="8.5546875" style="313" customWidth="1"/>
    <col min="8067" max="8067" width="12" style="313" customWidth="1"/>
    <col min="8068" max="8068" width="4.6640625" style="313" customWidth="1"/>
    <col min="8069" max="8069" width="9.109375" style="313" customWidth="1"/>
    <col min="8070" max="8070" width="11.6640625" style="313" customWidth="1"/>
    <col min="8071" max="8182" width="7" style="313"/>
    <col min="8183" max="8183" width="3.88671875" style="313" customWidth="1"/>
    <col min="8184" max="8184" width="11.5546875" style="313" customWidth="1"/>
    <col min="8185" max="8185" width="66.5546875" style="313" customWidth="1"/>
    <col min="8186" max="8186" width="9.44140625" style="313" customWidth="1"/>
    <col min="8187" max="8187" width="9.109375" style="313" customWidth="1"/>
    <col min="8188" max="8188" width="11.109375" style="313" bestFit="1" customWidth="1"/>
    <col min="8189" max="8189" width="9.109375" style="313" customWidth="1"/>
    <col min="8190" max="8190" width="10.44140625" style="313" customWidth="1"/>
    <col min="8191" max="8191" width="9.109375" style="313" customWidth="1"/>
    <col min="8192" max="8192" width="10.6640625" style="313" customWidth="1"/>
    <col min="8193" max="8193" width="9.109375" style="313" customWidth="1"/>
    <col min="8194" max="8194" width="10.109375" style="313" customWidth="1"/>
    <col min="8195" max="8195" width="11.109375" style="313" customWidth="1"/>
    <col min="8196" max="8315" width="9.109375" style="313" customWidth="1"/>
    <col min="8316" max="8316" width="2.5546875" style="313" customWidth="1"/>
    <col min="8317" max="8317" width="9.109375" style="313" customWidth="1"/>
    <col min="8318" max="8318" width="47.88671875" style="313" customWidth="1"/>
    <col min="8319" max="8319" width="6.6640625" style="313" customWidth="1"/>
    <col min="8320" max="8320" width="7.44140625" style="313" customWidth="1"/>
    <col min="8321" max="8321" width="7" style="313"/>
    <col min="8322" max="8322" width="8.5546875" style="313" customWidth="1"/>
    <col min="8323" max="8323" width="12" style="313" customWidth="1"/>
    <col min="8324" max="8324" width="4.6640625" style="313" customWidth="1"/>
    <col min="8325" max="8325" width="9.109375" style="313" customWidth="1"/>
    <col min="8326" max="8326" width="11.6640625" style="313" customWidth="1"/>
    <col min="8327" max="8438" width="7" style="313"/>
    <col min="8439" max="8439" width="3.88671875" style="313" customWidth="1"/>
    <col min="8440" max="8440" width="11.5546875" style="313" customWidth="1"/>
    <col min="8441" max="8441" width="66.5546875" style="313" customWidth="1"/>
    <col min="8442" max="8442" width="9.44140625" style="313" customWidth="1"/>
    <col min="8443" max="8443" width="9.109375" style="313" customWidth="1"/>
    <col min="8444" max="8444" width="11.109375" style="313" bestFit="1" customWidth="1"/>
    <col min="8445" max="8445" width="9.109375" style="313" customWidth="1"/>
    <col min="8446" max="8446" width="10.44140625" style="313" customWidth="1"/>
    <col min="8447" max="8447" width="9.109375" style="313" customWidth="1"/>
    <col min="8448" max="8448" width="10.6640625" style="313" customWidth="1"/>
    <col min="8449" max="8449" width="9.109375" style="313" customWidth="1"/>
    <col min="8450" max="8450" width="10.109375" style="313" customWidth="1"/>
    <col min="8451" max="8451" width="11.109375" style="313" customWidth="1"/>
    <col min="8452" max="8571" width="9.109375" style="313" customWidth="1"/>
    <col min="8572" max="8572" width="2.5546875" style="313" customWidth="1"/>
    <col min="8573" max="8573" width="9.109375" style="313" customWidth="1"/>
    <col min="8574" max="8574" width="47.88671875" style="313" customWidth="1"/>
    <col min="8575" max="8575" width="6.6640625" style="313" customWidth="1"/>
    <col min="8576" max="8576" width="7.44140625" style="313" customWidth="1"/>
    <col min="8577" max="8577" width="7" style="313"/>
    <col min="8578" max="8578" width="8.5546875" style="313" customWidth="1"/>
    <col min="8579" max="8579" width="12" style="313" customWidth="1"/>
    <col min="8580" max="8580" width="4.6640625" style="313" customWidth="1"/>
    <col min="8581" max="8581" width="9.109375" style="313" customWidth="1"/>
    <col min="8582" max="8582" width="11.6640625" style="313" customWidth="1"/>
    <col min="8583" max="8694" width="7" style="313"/>
    <col min="8695" max="8695" width="3.88671875" style="313" customWidth="1"/>
    <col min="8696" max="8696" width="11.5546875" style="313" customWidth="1"/>
    <col min="8697" max="8697" width="66.5546875" style="313" customWidth="1"/>
    <col min="8698" max="8698" width="9.44140625" style="313" customWidth="1"/>
    <col min="8699" max="8699" width="9.109375" style="313" customWidth="1"/>
    <col min="8700" max="8700" width="11.109375" style="313" bestFit="1" customWidth="1"/>
    <col min="8701" max="8701" width="9.109375" style="313" customWidth="1"/>
    <col min="8702" max="8702" width="10.44140625" style="313" customWidth="1"/>
    <col min="8703" max="8703" width="9.109375" style="313" customWidth="1"/>
    <col min="8704" max="8704" width="10.6640625" style="313" customWidth="1"/>
    <col min="8705" max="8705" width="9.109375" style="313" customWidth="1"/>
    <col min="8706" max="8706" width="10.109375" style="313" customWidth="1"/>
    <col min="8707" max="8707" width="11.109375" style="313" customWidth="1"/>
    <col min="8708" max="8827" width="9.109375" style="313" customWidth="1"/>
    <col min="8828" max="8828" width="2.5546875" style="313" customWidth="1"/>
    <col min="8829" max="8829" width="9.109375" style="313" customWidth="1"/>
    <col min="8830" max="8830" width="47.88671875" style="313" customWidth="1"/>
    <col min="8831" max="8831" width="6.6640625" style="313" customWidth="1"/>
    <col min="8832" max="8832" width="7.44140625" style="313" customWidth="1"/>
    <col min="8833" max="8833" width="7" style="313"/>
    <col min="8834" max="8834" width="8.5546875" style="313" customWidth="1"/>
    <col min="8835" max="8835" width="12" style="313" customWidth="1"/>
    <col min="8836" max="8836" width="4.6640625" style="313" customWidth="1"/>
    <col min="8837" max="8837" width="9.109375" style="313" customWidth="1"/>
    <col min="8838" max="8838" width="11.6640625" style="313" customWidth="1"/>
    <col min="8839" max="8950" width="7" style="313"/>
    <col min="8951" max="8951" width="3.88671875" style="313" customWidth="1"/>
    <col min="8952" max="8952" width="11.5546875" style="313" customWidth="1"/>
    <col min="8953" max="8953" width="66.5546875" style="313" customWidth="1"/>
    <col min="8954" max="8954" width="9.44140625" style="313" customWidth="1"/>
    <col min="8955" max="8955" width="9.109375" style="313" customWidth="1"/>
    <col min="8956" max="8956" width="11.109375" style="313" bestFit="1" customWidth="1"/>
    <col min="8957" max="8957" width="9.109375" style="313" customWidth="1"/>
    <col min="8958" max="8958" width="10.44140625" style="313" customWidth="1"/>
    <col min="8959" max="8959" width="9.109375" style="313" customWidth="1"/>
    <col min="8960" max="8960" width="10.6640625" style="313" customWidth="1"/>
    <col min="8961" max="8961" width="9.109375" style="313" customWidth="1"/>
    <col min="8962" max="8962" width="10.109375" style="313" customWidth="1"/>
    <col min="8963" max="8963" width="11.109375" style="313" customWidth="1"/>
    <col min="8964" max="9083" width="9.109375" style="313" customWidth="1"/>
    <col min="9084" max="9084" width="2.5546875" style="313" customWidth="1"/>
    <col min="9085" max="9085" width="9.109375" style="313" customWidth="1"/>
    <col min="9086" max="9086" width="47.88671875" style="313" customWidth="1"/>
    <col min="9087" max="9087" width="6.6640625" style="313" customWidth="1"/>
    <col min="9088" max="9088" width="7.44140625" style="313" customWidth="1"/>
    <col min="9089" max="9089" width="7" style="313"/>
    <col min="9090" max="9090" width="8.5546875" style="313" customWidth="1"/>
    <col min="9091" max="9091" width="12" style="313" customWidth="1"/>
    <col min="9092" max="9092" width="4.6640625" style="313" customWidth="1"/>
    <col min="9093" max="9093" width="9.109375" style="313" customWidth="1"/>
    <col min="9094" max="9094" width="11.6640625" style="313" customWidth="1"/>
    <col min="9095" max="9206" width="7" style="313"/>
    <col min="9207" max="9207" width="3.88671875" style="313" customWidth="1"/>
    <col min="9208" max="9208" width="11.5546875" style="313" customWidth="1"/>
    <col min="9209" max="9209" width="66.5546875" style="313" customWidth="1"/>
    <col min="9210" max="9210" width="9.44140625" style="313" customWidth="1"/>
    <col min="9211" max="9211" width="9.109375" style="313" customWidth="1"/>
    <col min="9212" max="9212" width="11.109375" style="313" bestFit="1" customWidth="1"/>
    <col min="9213" max="9213" width="9.109375" style="313" customWidth="1"/>
    <col min="9214" max="9214" width="10.44140625" style="313" customWidth="1"/>
    <col min="9215" max="9215" width="9.109375" style="313" customWidth="1"/>
    <col min="9216" max="9216" width="10.6640625" style="313" customWidth="1"/>
    <col min="9217" max="9217" width="9.109375" style="313" customWidth="1"/>
    <col min="9218" max="9218" width="10.109375" style="313" customWidth="1"/>
    <col min="9219" max="9219" width="11.109375" style="313" customWidth="1"/>
    <col min="9220" max="9339" width="9.109375" style="313" customWidth="1"/>
    <col min="9340" max="9340" width="2.5546875" style="313" customWidth="1"/>
    <col min="9341" max="9341" width="9.109375" style="313" customWidth="1"/>
    <col min="9342" max="9342" width="47.88671875" style="313" customWidth="1"/>
    <col min="9343" max="9343" width="6.6640625" style="313" customWidth="1"/>
    <col min="9344" max="9344" width="7.44140625" style="313" customWidth="1"/>
    <col min="9345" max="9345" width="7" style="313"/>
    <col min="9346" max="9346" width="8.5546875" style="313" customWidth="1"/>
    <col min="9347" max="9347" width="12" style="313" customWidth="1"/>
    <col min="9348" max="9348" width="4.6640625" style="313" customWidth="1"/>
    <col min="9349" max="9349" width="9.109375" style="313" customWidth="1"/>
    <col min="9350" max="9350" width="11.6640625" style="313" customWidth="1"/>
    <col min="9351" max="9462" width="7" style="313"/>
    <col min="9463" max="9463" width="3.88671875" style="313" customWidth="1"/>
    <col min="9464" max="9464" width="11.5546875" style="313" customWidth="1"/>
    <col min="9465" max="9465" width="66.5546875" style="313" customWidth="1"/>
    <col min="9466" max="9466" width="9.44140625" style="313" customWidth="1"/>
    <col min="9467" max="9467" width="9.109375" style="313" customWidth="1"/>
    <col min="9468" max="9468" width="11.109375" style="313" bestFit="1" customWidth="1"/>
    <col min="9469" max="9469" width="9.109375" style="313" customWidth="1"/>
    <col min="9470" max="9470" width="10.44140625" style="313" customWidth="1"/>
    <col min="9471" max="9471" width="9.109375" style="313" customWidth="1"/>
    <col min="9472" max="9472" width="10.6640625" style="313" customWidth="1"/>
    <col min="9473" max="9473" width="9.109375" style="313" customWidth="1"/>
    <col min="9474" max="9474" width="10.109375" style="313" customWidth="1"/>
    <col min="9475" max="9475" width="11.109375" style="313" customWidth="1"/>
    <col min="9476" max="9595" width="9.109375" style="313" customWidth="1"/>
    <col min="9596" max="9596" width="2.5546875" style="313" customWidth="1"/>
    <col min="9597" max="9597" width="9.109375" style="313" customWidth="1"/>
    <col min="9598" max="9598" width="47.88671875" style="313" customWidth="1"/>
    <col min="9599" max="9599" width="6.6640625" style="313" customWidth="1"/>
    <col min="9600" max="9600" width="7.44140625" style="313" customWidth="1"/>
    <col min="9601" max="9601" width="7" style="313"/>
    <col min="9602" max="9602" width="8.5546875" style="313" customWidth="1"/>
    <col min="9603" max="9603" width="12" style="313" customWidth="1"/>
    <col min="9604" max="9604" width="4.6640625" style="313" customWidth="1"/>
    <col min="9605" max="9605" width="9.109375" style="313" customWidth="1"/>
    <col min="9606" max="9606" width="11.6640625" style="313" customWidth="1"/>
    <col min="9607" max="9718" width="7" style="313"/>
    <col min="9719" max="9719" width="3.88671875" style="313" customWidth="1"/>
    <col min="9720" max="9720" width="11.5546875" style="313" customWidth="1"/>
    <col min="9721" max="9721" width="66.5546875" style="313" customWidth="1"/>
    <col min="9722" max="9722" width="9.44140625" style="313" customWidth="1"/>
    <col min="9723" max="9723" width="9.109375" style="313" customWidth="1"/>
    <col min="9724" max="9724" width="11.109375" style="313" bestFit="1" customWidth="1"/>
    <col min="9725" max="9725" width="9.109375" style="313" customWidth="1"/>
    <col min="9726" max="9726" width="10.44140625" style="313" customWidth="1"/>
    <col min="9727" max="9727" width="9.109375" style="313" customWidth="1"/>
    <col min="9728" max="9728" width="10.6640625" style="313" customWidth="1"/>
    <col min="9729" max="9729" width="9.109375" style="313" customWidth="1"/>
    <col min="9730" max="9730" width="10.109375" style="313" customWidth="1"/>
    <col min="9731" max="9731" width="11.109375" style="313" customWidth="1"/>
    <col min="9732" max="9851" width="9.109375" style="313" customWidth="1"/>
    <col min="9852" max="9852" width="2.5546875" style="313" customWidth="1"/>
    <col min="9853" max="9853" width="9.109375" style="313" customWidth="1"/>
    <col min="9854" max="9854" width="47.88671875" style="313" customWidth="1"/>
    <col min="9855" max="9855" width="6.6640625" style="313" customWidth="1"/>
    <col min="9856" max="9856" width="7.44140625" style="313" customWidth="1"/>
    <col min="9857" max="9857" width="7" style="313"/>
    <col min="9858" max="9858" width="8.5546875" style="313" customWidth="1"/>
    <col min="9859" max="9859" width="12" style="313" customWidth="1"/>
    <col min="9860" max="9860" width="4.6640625" style="313" customWidth="1"/>
    <col min="9861" max="9861" width="9.109375" style="313" customWidth="1"/>
    <col min="9862" max="9862" width="11.6640625" style="313" customWidth="1"/>
    <col min="9863" max="9974" width="7" style="313"/>
    <col min="9975" max="9975" width="3.88671875" style="313" customWidth="1"/>
    <col min="9976" max="9976" width="11.5546875" style="313" customWidth="1"/>
    <col min="9977" max="9977" width="66.5546875" style="313" customWidth="1"/>
    <col min="9978" max="9978" width="9.44140625" style="313" customWidth="1"/>
    <col min="9979" max="9979" width="9.109375" style="313" customWidth="1"/>
    <col min="9980" max="9980" width="11.109375" style="313" bestFit="1" customWidth="1"/>
    <col min="9981" max="9981" width="9.109375" style="313" customWidth="1"/>
    <col min="9982" max="9982" width="10.44140625" style="313" customWidth="1"/>
    <col min="9983" max="9983" width="9.109375" style="313" customWidth="1"/>
    <col min="9984" max="9984" width="10.6640625" style="313" customWidth="1"/>
    <col min="9985" max="9985" width="9.109375" style="313" customWidth="1"/>
    <col min="9986" max="9986" width="10.109375" style="313" customWidth="1"/>
    <col min="9987" max="9987" width="11.109375" style="313" customWidth="1"/>
    <col min="9988" max="10107" width="9.109375" style="313" customWidth="1"/>
    <col min="10108" max="10108" width="2.5546875" style="313" customWidth="1"/>
    <col min="10109" max="10109" width="9.109375" style="313" customWidth="1"/>
    <col min="10110" max="10110" width="47.88671875" style="313" customWidth="1"/>
    <col min="10111" max="10111" width="6.6640625" style="313" customWidth="1"/>
    <col min="10112" max="10112" width="7.44140625" style="313" customWidth="1"/>
    <col min="10113" max="10113" width="7" style="313"/>
    <col min="10114" max="10114" width="8.5546875" style="313" customWidth="1"/>
    <col min="10115" max="10115" width="12" style="313" customWidth="1"/>
    <col min="10116" max="10116" width="4.6640625" style="313" customWidth="1"/>
    <col min="10117" max="10117" width="9.109375" style="313" customWidth="1"/>
    <col min="10118" max="10118" width="11.6640625" style="313" customWidth="1"/>
    <col min="10119" max="10230" width="7" style="313"/>
    <col min="10231" max="10231" width="3.88671875" style="313" customWidth="1"/>
    <col min="10232" max="10232" width="11.5546875" style="313" customWidth="1"/>
    <col min="10233" max="10233" width="66.5546875" style="313" customWidth="1"/>
    <col min="10234" max="10234" width="9.44140625" style="313" customWidth="1"/>
    <col min="10235" max="10235" width="9.109375" style="313" customWidth="1"/>
    <col min="10236" max="10236" width="11.109375" style="313" bestFit="1" customWidth="1"/>
    <col min="10237" max="10237" width="9.109375" style="313" customWidth="1"/>
    <col min="10238" max="10238" width="10.44140625" style="313" customWidth="1"/>
    <col min="10239" max="10239" width="9.109375" style="313" customWidth="1"/>
    <col min="10240" max="10240" width="10.6640625" style="313" customWidth="1"/>
    <col min="10241" max="10241" width="9.109375" style="313" customWidth="1"/>
    <col min="10242" max="10242" width="10.109375" style="313" customWidth="1"/>
    <col min="10243" max="10243" width="11.109375" style="313" customWidth="1"/>
    <col min="10244" max="10363" width="9.109375" style="313" customWidth="1"/>
    <col min="10364" max="10364" width="2.5546875" style="313" customWidth="1"/>
    <col min="10365" max="10365" width="9.109375" style="313" customWidth="1"/>
    <col min="10366" max="10366" width="47.88671875" style="313" customWidth="1"/>
    <col min="10367" max="10367" width="6.6640625" style="313" customWidth="1"/>
    <col min="10368" max="10368" width="7.44140625" style="313" customWidth="1"/>
    <col min="10369" max="10369" width="7" style="313"/>
    <col min="10370" max="10370" width="8.5546875" style="313" customWidth="1"/>
    <col min="10371" max="10371" width="12" style="313" customWidth="1"/>
    <col min="10372" max="10372" width="4.6640625" style="313" customWidth="1"/>
    <col min="10373" max="10373" width="9.109375" style="313" customWidth="1"/>
    <col min="10374" max="10374" width="11.6640625" style="313" customWidth="1"/>
    <col min="10375" max="10486" width="7" style="313"/>
    <col min="10487" max="10487" width="3.88671875" style="313" customWidth="1"/>
    <col min="10488" max="10488" width="11.5546875" style="313" customWidth="1"/>
    <col min="10489" max="10489" width="66.5546875" style="313" customWidth="1"/>
    <col min="10490" max="10490" width="9.44140625" style="313" customWidth="1"/>
    <col min="10491" max="10491" width="9.109375" style="313" customWidth="1"/>
    <col min="10492" max="10492" width="11.109375" style="313" bestFit="1" customWidth="1"/>
    <col min="10493" max="10493" width="9.109375" style="313" customWidth="1"/>
    <col min="10494" max="10494" width="10.44140625" style="313" customWidth="1"/>
    <col min="10495" max="10495" width="9.109375" style="313" customWidth="1"/>
    <col min="10496" max="10496" width="10.6640625" style="313" customWidth="1"/>
    <col min="10497" max="10497" width="9.109375" style="313" customWidth="1"/>
    <col min="10498" max="10498" width="10.109375" style="313" customWidth="1"/>
    <col min="10499" max="10499" width="11.109375" style="313" customWidth="1"/>
    <col min="10500" max="10619" width="9.109375" style="313" customWidth="1"/>
    <col min="10620" max="10620" width="2.5546875" style="313" customWidth="1"/>
    <col min="10621" max="10621" width="9.109375" style="313" customWidth="1"/>
    <col min="10622" max="10622" width="47.88671875" style="313" customWidth="1"/>
    <col min="10623" max="10623" width="6.6640625" style="313" customWidth="1"/>
    <col min="10624" max="10624" width="7.44140625" style="313" customWidth="1"/>
    <col min="10625" max="10625" width="7" style="313"/>
    <col min="10626" max="10626" width="8.5546875" style="313" customWidth="1"/>
    <col min="10627" max="10627" width="12" style="313" customWidth="1"/>
    <col min="10628" max="10628" width="4.6640625" style="313" customWidth="1"/>
    <col min="10629" max="10629" width="9.109375" style="313" customWidth="1"/>
    <col min="10630" max="10630" width="11.6640625" style="313" customWidth="1"/>
    <col min="10631" max="10742" width="7" style="313"/>
    <col min="10743" max="10743" width="3.88671875" style="313" customWidth="1"/>
    <col min="10744" max="10744" width="11.5546875" style="313" customWidth="1"/>
    <col min="10745" max="10745" width="66.5546875" style="313" customWidth="1"/>
    <col min="10746" max="10746" width="9.44140625" style="313" customWidth="1"/>
    <col min="10747" max="10747" width="9.109375" style="313" customWidth="1"/>
    <col min="10748" max="10748" width="11.109375" style="313" bestFit="1" customWidth="1"/>
    <col min="10749" max="10749" width="9.109375" style="313" customWidth="1"/>
    <col min="10750" max="10750" width="10.44140625" style="313" customWidth="1"/>
    <col min="10751" max="10751" width="9.109375" style="313" customWidth="1"/>
    <col min="10752" max="10752" width="10.6640625" style="313" customWidth="1"/>
    <col min="10753" max="10753" width="9.109375" style="313" customWidth="1"/>
    <col min="10754" max="10754" width="10.109375" style="313" customWidth="1"/>
    <col min="10755" max="10755" width="11.109375" style="313" customWidth="1"/>
    <col min="10756" max="10875" width="9.109375" style="313" customWidth="1"/>
    <col min="10876" max="10876" width="2.5546875" style="313" customWidth="1"/>
    <col min="10877" max="10877" width="9.109375" style="313" customWidth="1"/>
    <col min="10878" max="10878" width="47.88671875" style="313" customWidth="1"/>
    <col min="10879" max="10879" width="6.6640625" style="313" customWidth="1"/>
    <col min="10880" max="10880" width="7.44140625" style="313" customWidth="1"/>
    <col min="10881" max="10881" width="7" style="313"/>
    <col min="10882" max="10882" width="8.5546875" style="313" customWidth="1"/>
    <col min="10883" max="10883" width="12" style="313" customWidth="1"/>
    <col min="10884" max="10884" width="4.6640625" style="313" customWidth="1"/>
    <col min="10885" max="10885" width="9.109375" style="313" customWidth="1"/>
    <col min="10886" max="10886" width="11.6640625" style="313" customWidth="1"/>
    <col min="10887" max="10998" width="7" style="313"/>
    <col min="10999" max="10999" width="3.88671875" style="313" customWidth="1"/>
    <col min="11000" max="11000" width="11.5546875" style="313" customWidth="1"/>
    <col min="11001" max="11001" width="66.5546875" style="313" customWidth="1"/>
    <col min="11002" max="11002" width="9.44140625" style="313" customWidth="1"/>
    <col min="11003" max="11003" width="9.109375" style="313" customWidth="1"/>
    <col min="11004" max="11004" width="11.109375" style="313" bestFit="1" customWidth="1"/>
    <col min="11005" max="11005" width="9.109375" style="313" customWidth="1"/>
    <col min="11006" max="11006" width="10.44140625" style="313" customWidth="1"/>
    <col min="11007" max="11007" width="9.109375" style="313" customWidth="1"/>
    <col min="11008" max="11008" width="10.6640625" style="313" customWidth="1"/>
    <col min="11009" max="11009" width="9.109375" style="313" customWidth="1"/>
    <col min="11010" max="11010" width="10.109375" style="313" customWidth="1"/>
    <col min="11011" max="11011" width="11.109375" style="313" customWidth="1"/>
    <col min="11012" max="11131" width="9.109375" style="313" customWidth="1"/>
    <col min="11132" max="11132" width="2.5546875" style="313" customWidth="1"/>
    <col min="11133" max="11133" width="9.109375" style="313" customWidth="1"/>
    <col min="11134" max="11134" width="47.88671875" style="313" customWidth="1"/>
    <col min="11135" max="11135" width="6.6640625" style="313" customWidth="1"/>
    <col min="11136" max="11136" width="7.44140625" style="313" customWidth="1"/>
    <col min="11137" max="11137" width="7" style="313"/>
    <col min="11138" max="11138" width="8.5546875" style="313" customWidth="1"/>
    <col min="11139" max="11139" width="12" style="313" customWidth="1"/>
    <col min="11140" max="11140" width="4.6640625" style="313" customWidth="1"/>
    <col min="11141" max="11141" width="9.109375" style="313" customWidth="1"/>
    <col min="11142" max="11142" width="11.6640625" style="313" customWidth="1"/>
    <col min="11143" max="11254" width="7" style="313"/>
    <col min="11255" max="11255" width="3.88671875" style="313" customWidth="1"/>
    <col min="11256" max="11256" width="11.5546875" style="313" customWidth="1"/>
    <col min="11257" max="11257" width="66.5546875" style="313" customWidth="1"/>
    <col min="11258" max="11258" width="9.44140625" style="313" customWidth="1"/>
    <col min="11259" max="11259" width="9.109375" style="313" customWidth="1"/>
    <col min="11260" max="11260" width="11.109375" style="313" bestFit="1" customWidth="1"/>
    <col min="11261" max="11261" width="9.109375" style="313" customWidth="1"/>
    <col min="11262" max="11262" width="10.44140625" style="313" customWidth="1"/>
    <col min="11263" max="11263" width="9.109375" style="313" customWidth="1"/>
    <col min="11264" max="11264" width="10.6640625" style="313" customWidth="1"/>
    <col min="11265" max="11265" width="9.109375" style="313" customWidth="1"/>
    <col min="11266" max="11266" width="10.109375" style="313" customWidth="1"/>
    <col min="11267" max="11267" width="11.109375" style="313" customWidth="1"/>
    <col min="11268" max="11387" width="9.109375" style="313" customWidth="1"/>
    <col min="11388" max="11388" width="2.5546875" style="313" customWidth="1"/>
    <col min="11389" max="11389" width="9.109375" style="313" customWidth="1"/>
    <col min="11390" max="11390" width="47.88671875" style="313" customWidth="1"/>
    <col min="11391" max="11391" width="6.6640625" style="313" customWidth="1"/>
    <col min="11392" max="11392" width="7.44140625" style="313" customWidth="1"/>
    <col min="11393" max="11393" width="7" style="313"/>
    <col min="11394" max="11394" width="8.5546875" style="313" customWidth="1"/>
    <col min="11395" max="11395" width="12" style="313" customWidth="1"/>
    <col min="11396" max="11396" width="4.6640625" style="313" customWidth="1"/>
    <col min="11397" max="11397" width="9.109375" style="313" customWidth="1"/>
    <col min="11398" max="11398" width="11.6640625" style="313" customWidth="1"/>
    <col min="11399" max="11510" width="7" style="313"/>
    <col min="11511" max="11511" width="3.88671875" style="313" customWidth="1"/>
    <col min="11512" max="11512" width="11.5546875" style="313" customWidth="1"/>
    <col min="11513" max="11513" width="66.5546875" style="313" customWidth="1"/>
    <col min="11514" max="11514" width="9.44140625" style="313" customWidth="1"/>
    <col min="11515" max="11515" width="9.109375" style="313" customWidth="1"/>
    <col min="11516" max="11516" width="11.109375" style="313" bestFit="1" customWidth="1"/>
    <col min="11517" max="11517" width="9.109375" style="313" customWidth="1"/>
    <col min="11518" max="11518" width="10.44140625" style="313" customWidth="1"/>
    <col min="11519" max="11519" width="9.109375" style="313" customWidth="1"/>
    <col min="11520" max="11520" width="10.6640625" style="313" customWidth="1"/>
    <col min="11521" max="11521" width="9.109375" style="313" customWidth="1"/>
    <col min="11522" max="11522" width="10.109375" style="313" customWidth="1"/>
    <col min="11523" max="11523" width="11.109375" style="313" customWidth="1"/>
    <col min="11524" max="11643" width="9.109375" style="313" customWidth="1"/>
    <col min="11644" max="11644" width="2.5546875" style="313" customWidth="1"/>
    <col min="11645" max="11645" width="9.109375" style="313" customWidth="1"/>
    <col min="11646" max="11646" width="47.88671875" style="313" customWidth="1"/>
    <col min="11647" max="11647" width="6.6640625" style="313" customWidth="1"/>
    <col min="11648" max="11648" width="7.44140625" style="313" customWidth="1"/>
    <col min="11649" max="11649" width="7" style="313"/>
    <col min="11650" max="11650" width="8.5546875" style="313" customWidth="1"/>
    <col min="11651" max="11651" width="12" style="313" customWidth="1"/>
    <col min="11652" max="11652" width="4.6640625" style="313" customWidth="1"/>
    <col min="11653" max="11653" width="9.109375" style="313" customWidth="1"/>
    <col min="11654" max="11654" width="11.6640625" style="313" customWidth="1"/>
    <col min="11655" max="11766" width="7" style="313"/>
    <col min="11767" max="11767" width="3.88671875" style="313" customWidth="1"/>
    <col min="11768" max="11768" width="11.5546875" style="313" customWidth="1"/>
    <col min="11769" max="11769" width="66.5546875" style="313" customWidth="1"/>
    <col min="11770" max="11770" width="9.44140625" style="313" customWidth="1"/>
    <col min="11771" max="11771" width="9.109375" style="313" customWidth="1"/>
    <col min="11772" max="11772" width="11.109375" style="313" bestFit="1" customWidth="1"/>
    <col min="11773" max="11773" width="9.109375" style="313" customWidth="1"/>
    <col min="11774" max="11774" width="10.44140625" style="313" customWidth="1"/>
    <col min="11775" max="11775" width="9.109375" style="313" customWidth="1"/>
    <col min="11776" max="11776" width="10.6640625" style="313" customWidth="1"/>
    <col min="11777" max="11777" width="9.109375" style="313" customWidth="1"/>
    <col min="11778" max="11778" width="10.109375" style="313" customWidth="1"/>
    <col min="11779" max="11779" width="11.109375" style="313" customWidth="1"/>
    <col min="11780" max="11899" width="9.109375" style="313" customWidth="1"/>
    <col min="11900" max="11900" width="2.5546875" style="313" customWidth="1"/>
    <col min="11901" max="11901" width="9.109375" style="313" customWidth="1"/>
    <col min="11902" max="11902" width="47.88671875" style="313" customWidth="1"/>
    <col min="11903" max="11903" width="6.6640625" style="313" customWidth="1"/>
    <col min="11904" max="11904" width="7.44140625" style="313" customWidth="1"/>
    <col min="11905" max="11905" width="7" style="313"/>
    <col min="11906" max="11906" width="8.5546875" style="313" customWidth="1"/>
    <col min="11907" max="11907" width="12" style="313" customWidth="1"/>
    <col min="11908" max="11908" width="4.6640625" style="313" customWidth="1"/>
    <col min="11909" max="11909" width="9.109375" style="313" customWidth="1"/>
    <col min="11910" max="11910" width="11.6640625" style="313" customWidth="1"/>
    <col min="11911" max="12022" width="7" style="313"/>
    <col min="12023" max="12023" width="3.88671875" style="313" customWidth="1"/>
    <col min="12024" max="12024" width="11.5546875" style="313" customWidth="1"/>
    <col min="12025" max="12025" width="66.5546875" style="313" customWidth="1"/>
    <col min="12026" max="12026" width="9.44140625" style="313" customWidth="1"/>
    <col min="12027" max="12027" width="9.109375" style="313" customWidth="1"/>
    <col min="12028" max="12028" width="11.109375" style="313" bestFit="1" customWidth="1"/>
    <col min="12029" max="12029" width="9.109375" style="313" customWidth="1"/>
    <col min="12030" max="12030" width="10.44140625" style="313" customWidth="1"/>
    <col min="12031" max="12031" width="9.109375" style="313" customWidth="1"/>
    <col min="12032" max="12032" width="10.6640625" style="313" customWidth="1"/>
    <col min="12033" max="12033" width="9.109375" style="313" customWidth="1"/>
    <col min="12034" max="12034" width="10.109375" style="313" customWidth="1"/>
    <col min="12035" max="12035" width="11.109375" style="313" customWidth="1"/>
    <col min="12036" max="12155" width="9.109375" style="313" customWidth="1"/>
    <col min="12156" max="12156" width="2.5546875" style="313" customWidth="1"/>
    <col min="12157" max="12157" width="9.109375" style="313" customWidth="1"/>
    <col min="12158" max="12158" width="47.88671875" style="313" customWidth="1"/>
    <col min="12159" max="12159" width="6.6640625" style="313" customWidth="1"/>
    <col min="12160" max="12160" width="7.44140625" style="313" customWidth="1"/>
    <col min="12161" max="12161" width="7" style="313"/>
    <col min="12162" max="12162" width="8.5546875" style="313" customWidth="1"/>
    <col min="12163" max="12163" width="12" style="313" customWidth="1"/>
    <col min="12164" max="12164" width="4.6640625" style="313" customWidth="1"/>
    <col min="12165" max="12165" width="9.109375" style="313" customWidth="1"/>
    <col min="12166" max="12166" width="11.6640625" style="313" customWidth="1"/>
    <col min="12167" max="12278" width="7" style="313"/>
    <col min="12279" max="12279" width="3.88671875" style="313" customWidth="1"/>
    <col min="12280" max="12280" width="11.5546875" style="313" customWidth="1"/>
    <col min="12281" max="12281" width="66.5546875" style="313" customWidth="1"/>
    <col min="12282" max="12282" width="9.44140625" style="313" customWidth="1"/>
    <col min="12283" max="12283" width="9.109375" style="313" customWidth="1"/>
    <col min="12284" max="12284" width="11.109375" style="313" bestFit="1" customWidth="1"/>
    <col min="12285" max="12285" width="9.109375" style="313" customWidth="1"/>
    <col min="12286" max="12286" width="10.44140625" style="313" customWidth="1"/>
    <col min="12287" max="12287" width="9.109375" style="313" customWidth="1"/>
    <col min="12288" max="12288" width="10.6640625" style="313" customWidth="1"/>
    <col min="12289" max="12289" width="9.109375" style="313" customWidth="1"/>
    <col min="12290" max="12290" width="10.109375" style="313" customWidth="1"/>
    <col min="12291" max="12291" width="11.109375" style="313" customWidth="1"/>
    <col min="12292" max="12411" width="9.109375" style="313" customWidth="1"/>
    <col min="12412" max="12412" width="2.5546875" style="313" customWidth="1"/>
    <col min="12413" max="12413" width="9.109375" style="313" customWidth="1"/>
    <col min="12414" max="12414" width="47.88671875" style="313" customWidth="1"/>
    <col min="12415" max="12415" width="6.6640625" style="313" customWidth="1"/>
    <col min="12416" max="12416" width="7.44140625" style="313" customWidth="1"/>
    <col min="12417" max="12417" width="7" style="313"/>
    <col min="12418" max="12418" width="8.5546875" style="313" customWidth="1"/>
    <col min="12419" max="12419" width="12" style="313" customWidth="1"/>
    <col min="12420" max="12420" width="4.6640625" style="313" customWidth="1"/>
    <col min="12421" max="12421" width="9.109375" style="313" customWidth="1"/>
    <col min="12422" max="12422" width="11.6640625" style="313" customWidth="1"/>
    <col min="12423" max="12534" width="7" style="313"/>
    <col min="12535" max="12535" width="3.88671875" style="313" customWidth="1"/>
    <col min="12536" max="12536" width="11.5546875" style="313" customWidth="1"/>
    <col min="12537" max="12537" width="66.5546875" style="313" customWidth="1"/>
    <col min="12538" max="12538" width="9.44140625" style="313" customWidth="1"/>
    <col min="12539" max="12539" width="9.109375" style="313" customWidth="1"/>
    <col min="12540" max="12540" width="11.109375" style="313" bestFit="1" customWidth="1"/>
    <col min="12541" max="12541" width="9.109375" style="313" customWidth="1"/>
    <col min="12542" max="12542" width="10.44140625" style="313" customWidth="1"/>
    <col min="12543" max="12543" width="9.109375" style="313" customWidth="1"/>
    <col min="12544" max="12544" width="10.6640625" style="313" customWidth="1"/>
    <col min="12545" max="12545" width="9.109375" style="313" customWidth="1"/>
    <col min="12546" max="12546" width="10.109375" style="313" customWidth="1"/>
    <col min="12547" max="12547" width="11.109375" style="313" customWidth="1"/>
    <col min="12548" max="12667" width="9.109375" style="313" customWidth="1"/>
    <col min="12668" max="12668" width="2.5546875" style="313" customWidth="1"/>
    <col min="12669" max="12669" width="9.109375" style="313" customWidth="1"/>
    <col min="12670" max="12670" width="47.88671875" style="313" customWidth="1"/>
    <col min="12671" max="12671" width="6.6640625" style="313" customWidth="1"/>
    <col min="12672" max="12672" width="7.44140625" style="313" customWidth="1"/>
    <col min="12673" max="12673" width="7" style="313"/>
    <col min="12674" max="12674" width="8.5546875" style="313" customWidth="1"/>
    <col min="12675" max="12675" width="12" style="313" customWidth="1"/>
    <col min="12676" max="12676" width="4.6640625" style="313" customWidth="1"/>
    <col min="12677" max="12677" width="9.109375" style="313" customWidth="1"/>
    <col min="12678" max="12678" width="11.6640625" style="313" customWidth="1"/>
    <col min="12679" max="12790" width="7" style="313"/>
    <col min="12791" max="12791" width="3.88671875" style="313" customWidth="1"/>
    <col min="12792" max="12792" width="11.5546875" style="313" customWidth="1"/>
    <col min="12793" max="12793" width="66.5546875" style="313" customWidth="1"/>
    <col min="12794" max="12794" width="9.44140625" style="313" customWidth="1"/>
    <col min="12795" max="12795" width="9.109375" style="313" customWidth="1"/>
    <col min="12796" max="12796" width="11.109375" style="313" bestFit="1" customWidth="1"/>
    <col min="12797" max="12797" width="9.109375" style="313" customWidth="1"/>
    <col min="12798" max="12798" width="10.44140625" style="313" customWidth="1"/>
    <col min="12799" max="12799" width="9.109375" style="313" customWidth="1"/>
    <col min="12800" max="12800" width="10.6640625" style="313" customWidth="1"/>
    <col min="12801" max="12801" width="9.109375" style="313" customWidth="1"/>
    <col min="12802" max="12802" width="10.109375" style="313" customWidth="1"/>
    <col min="12803" max="12803" width="11.109375" style="313" customWidth="1"/>
    <col min="12804" max="12923" width="9.109375" style="313" customWidth="1"/>
    <col min="12924" max="12924" width="2.5546875" style="313" customWidth="1"/>
    <col min="12925" max="12925" width="9.109375" style="313" customWidth="1"/>
    <col min="12926" max="12926" width="47.88671875" style="313" customWidth="1"/>
    <col min="12927" max="12927" width="6.6640625" style="313" customWidth="1"/>
    <col min="12928" max="12928" width="7.44140625" style="313" customWidth="1"/>
    <col min="12929" max="12929" width="7" style="313"/>
    <col min="12930" max="12930" width="8.5546875" style="313" customWidth="1"/>
    <col min="12931" max="12931" width="12" style="313" customWidth="1"/>
    <col min="12932" max="12932" width="4.6640625" style="313" customWidth="1"/>
    <col min="12933" max="12933" width="9.109375" style="313" customWidth="1"/>
    <col min="12934" max="12934" width="11.6640625" style="313" customWidth="1"/>
    <col min="12935" max="13046" width="7" style="313"/>
    <col min="13047" max="13047" width="3.88671875" style="313" customWidth="1"/>
    <col min="13048" max="13048" width="11.5546875" style="313" customWidth="1"/>
    <col min="13049" max="13049" width="66.5546875" style="313" customWidth="1"/>
    <col min="13050" max="13050" width="9.44140625" style="313" customWidth="1"/>
    <col min="13051" max="13051" width="9.109375" style="313" customWidth="1"/>
    <col min="13052" max="13052" width="11.109375" style="313" bestFit="1" customWidth="1"/>
    <col min="13053" max="13053" width="9.109375" style="313" customWidth="1"/>
    <col min="13054" max="13054" width="10.44140625" style="313" customWidth="1"/>
    <col min="13055" max="13055" width="9.109375" style="313" customWidth="1"/>
    <col min="13056" max="13056" width="10.6640625" style="313" customWidth="1"/>
    <col min="13057" max="13057" width="9.109375" style="313" customWidth="1"/>
    <col min="13058" max="13058" width="10.109375" style="313" customWidth="1"/>
    <col min="13059" max="13059" width="11.109375" style="313" customWidth="1"/>
    <col min="13060" max="13179" width="9.109375" style="313" customWidth="1"/>
    <col min="13180" max="13180" width="2.5546875" style="313" customWidth="1"/>
    <col min="13181" max="13181" width="9.109375" style="313" customWidth="1"/>
    <col min="13182" max="13182" width="47.88671875" style="313" customWidth="1"/>
    <col min="13183" max="13183" width="6.6640625" style="313" customWidth="1"/>
    <col min="13184" max="13184" width="7.44140625" style="313" customWidth="1"/>
    <col min="13185" max="13185" width="7" style="313"/>
    <col min="13186" max="13186" width="8.5546875" style="313" customWidth="1"/>
    <col min="13187" max="13187" width="12" style="313" customWidth="1"/>
    <col min="13188" max="13188" width="4.6640625" style="313" customWidth="1"/>
    <col min="13189" max="13189" width="9.109375" style="313" customWidth="1"/>
    <col min="13190" max="13190" width="11.6640625" style="313" customWidth="1"/>
    <col min="13191" max="13302" width="7" style="313"/>
    <col min="13303" max="13303" width="3.88671875" style="313" customWidth="1"/>
    <col min="13304" max="13304" width="11.5546875" style="313" customWidth="1"/>
    <col min="13305" max="13305" width="66.5546875" style="313" customWidth="1"/>
    <col min="13306" max="13306" width="9.44140625" style="313" customWidth="1"/>
    <col min="13307" max="13307" width="9.109375" style="313" customWidth="1"/>
    <col min="13308" max="13308" width="11.109375" style="313" bestFit="1" customWidth="1"/>
    <col min="13309" max="13309" width="9.109375" style="313" customWidth="1"/>
    <col min="13310" max="13310" width="10.44140625" style="313" customWidth="1"/>
    <col min="13311" max="13311" width="9.109375" style="313" customWidth="1"/>
    <col min="13312" max="13312" width="10.6640625" style="313" customWidth="1"/>
    <col min="13313" max="13313" width="9.109375" style="313" customWidth="1"/>
    <col min="13314" max="13314" width="10.109375" style="313" customWidth="1"/>
    <col min="13315" max="13315" width="11.109375" style="313" customWidth="1"/>
    <col min="13316" max="13435" width="9.109375" style="313" customWidth="1"/>
    <col min="13436" max="13436" width="2.5546875" style="313" customWidth="1"/>
    <col min="13437" max="13437" width="9.109375" style="313" customWidth="1"/>
    <col min="13438" max="13438" width="47.88671875" style="313" customWidth="1"/>
    <col min="13439" max="13439" width="6.6640625" style="313" customWidth="1"/>
    <col min="13440" max="13440" width="7.44140625" style="313" customWidth="1"/>
    <col min="13441" max="13441" width="7" style="313"/>
    <col min="13442" max="13442" width="8.5546875" style="313" customWidth="1"/>
    <col min="13443" max="13443" width="12" style="313" customWidth="1"/>
    <col min="13444" max="13444" width="4.6640625" style="313" customWidth="1"/>
    <col min="13445" max="13445" width="9.109375" style="313" customWidth="1"/>
    <col min="13446" max="13446" width="11.6640625" style="313" customWidth="1"/>
    <col min="13447" max="13558" width="7" style="313"/>
    <col min="13559" max="13559" width="3.88671875" style="313" customWidth="1"/>
    <col min="13560" max="13560" width="11.5546875" style="313" customWidth="1"/>
    <col min="13561" max="13561" width="66.5546875" style="313" customWidth="1"/>
    <col min="13562" max="13562" width="9.44140625" style="313" customWidth="1"/>
    <col min="13563" max="13563" width="9.109375" style="313" customWidth="1"/>
    <col min="13564" max="13564" width="11.109375" style="313" bestFit="1" customWidth="1"/>
    <col min="13565" max="13565" width="9.109375" style="313" customWidth="1"/>
    <col min="13566" max="13566" width="10.44140625" style="313" customWidth="1"/>
    <col min="13567" max="13567" width="9.109375" style="313" customWidth="1"/>
    <col min="13568" max="13568" width="10.6640625" style="313" customWidth="1"/>
    <col min="13569" max="13569" width="9.109375" style="313" customWidth="1"/>
    <col min="13570" max="13570" width="10.109375" style="313" customWidth="1"/>
    <col min="13571" max="13571" width="11.109375" style="313" customWidth="1"/>
    <col min="13572" max="13691" width="9.109375" style="313" customWidth="1"/>
    <col min="13692" max="13692" width="2.5546875" style="313" customWidth="1"/>
    <col min="13693" max="13693" width="9.109375" style="313" customWidth="1"/>
    <col min="13694" max="13694" width="47.88671875" style="313" customWidth="1"/>
    <col min="13695" max="13695" width="6.6640625" style="313" customWidth="1"/>
    <col min="13696" max="13696" width="7.44140625" style="313" customWidth="1"/>
    <col min="13697" max="13697" width="7" style="313"/>
    <col min="13698" max="13698" width="8.5546875" style="313" customWidth="1"/>
    <col min="13699" max="13699" width="12" style="313" customWidth="1"/>
    <col min="13700" max="13700" width="4.6640625" style="313" customWidth="1"/>
    <col min="13701" max="13701" width="9.109375" style="313" customWidth="1"/>
    <col min="13702" max="13702" width="11.6640625" style="313" customWidth="1"/>
    <col min="13703" max="13814" width="7" style="313"/>
    <col min="13815" max="13815" width="3.88671875" style="313" customWidth="1"/>
    <col min="13816" max="13816" width="11.5546875" style="313" customWidth="1"/>
    <col min="13817" max="13817" width="66.5546875" style="313" customWidth="1"/>
    <col min="13818" max="13818" width="9.44140625" style="313" customWidth="1"/>
    <col min="13819" max="13819" width="9.109375" style="313" customWidth="1"/>
    <col min="13820" max="13820" width="11.109375" style="313" bestFit="1" customWidth="1"/>
    <col min="13821" max="13821" width="9.109375" style="313" customWidth="1"/>
    <col min="13822" max="13822" width="10.44140625" style="313" customWidth="1"/>
    <col min="13823" max="13823" width="9.109375" style="313" customWidth="1"/>
    <col min="13824" max="13824" width="10.6640625" style="313" customWidth="1"/>
    <col min="13825" max="13825" width="9.109375" style="313" customWidth="1"/>
    <col min="13826" max="13826" width="10.109375" style="313" customWidth="1"/>
    <col min="13827" max="13827" width="11.109375" style="313" customWidth="1"/>
    <col min="13828" max="13947" width="9.109375" style="313" customWidth="1"/>
    <col min="13948" max="13948" width="2.5546875" style="313" customWidth="1"/>
    <col min="13949" max="13949" width="9.109375" style="313" customWidth="1"/>
    <col min="13950" max="13950" width="47.88671875" style="313" customWidth="1"/>
    <col min="13951" max="13951" width="6.6640625" style="313" customWidth="1"/>
    <col min="13952" max="13952" width="7.44140625" style="313" customWidth="1"/>
    <col min="13953" max="13953" width="7" style="313"/>
    <col min="13954" max="13954" width="8.5546875" style="313" customWidth="1"/>
    <col min="13955" max="13955" width="12" style="313" customWidth="1"/>
    <col min="13956" max="13956" width="4.6640625" style="313" customWidth="1"/>
    <col min="13957" max="13957" width="9.109375" style="313" customWidth="1"/>
    <col min="13958" max="13958" width="11.6640625" style="313" customWidth="1"/>
    <col min="13959" max="14070" width="7" style="313"/>
    <col min="14071" max="14071" width="3.88671875" style="313" customWidth="1"/>
    <col min="14072" max="14072" width="11.5546875" style="313" customWidth="1"/>
    <col min="14073" max="14073" width="66.5546875" style="313" customWidth="1"/>
    <col min="14074" max="14074" width="9.44140625" style="313" customWidth="1"/>
    <col min="14075" max="14075" width="9.109375" style="313" customWidth="1"/>
    <col min="14076" max="14076" width="11.109375" style="313" bestFit="1" customWidth="1"/>
    <col min="14077" max="14077" width="9.109375" style="313" customWidth="1"/>
    <col min="14078" max="14078" width="10.44140625" style="313" customWidth="1"/>
    <col min="14079" max="14079" width="9.109375" style="313" customWidth="1"/>
    <col min="14080" max="14080" width="10.6640625" style="313" customWidth="1"/>
    <col min="14081" max="14081" width="9.109375" style="313" customWidth="1"/>
    <col min="14082" max="14082" width="10.109375" style="313" customWidth="1"/>
    <col min="14083" max="14083" width="11.109375" style="313" customWidth="1"/>
    <col min="14084" max="14203" width="9.109375" style="313" customWidth="1"/>
    <col min="14204" max="14204" width="2.5546875" style="313" customWidth="1"/>
    <col min="14205" max="14205" width="9.109375" style="313" customWidth="1"/>
    <col min="14206" max="14206" width="47.88671875" style="313" customWidth="1"/>
    <col min="14207" max="14207" width="6.6640625" style="313" customWidth="1"/>
    <col min="14208" max="14208" width="7.44140625" style="313" customWidth="1"/>
    <col min="14209" max="14209" width="7" style="313"/>
    <col min="14210" max="14210" width="8.5546875" style="313" customWidth="1"/>
    <col min="14211" max="14211" width="12" style="313" customWidth="1"/>
    <col min="14212" max="14212" width="4.6640625" style="313" customWidth="1"/>
    <col min="14213" max="14213" width="9.109375" style="313" customWidth="1"/>
    <col min="14214" max="14214" width="11.6640625" style="313" customWidth="1"/>
    <col min="14215" max="14326" width="7" style="313"/>
    <col min="14327" max="14327" width="3.88671875" style="313" customWidth="1"/>
    <col min="14328" max="14328" width="11.5546875" style="313" customWidth="1"/>
    <col min="14329" max="14329" width="66.5546875" style="313" customWidth="1"/>
    <col min="14330" max="14330" width="9.44140625" style="313" customWidth="1"/>
    <col min="14331" max="14331" width="9.109375" style="313" customWidth="1"/>
    <col min="14332" max="14332" width="11.109375" style="313" bestFit="1" customWidth="1"/>
    <col min="14333" max="14333" width="9.109375" style="313" customWidth="1"/>
    <col min="14334" max="14334" width="10.44140625" style="313" customWidth="1"/>
    <col min="14335" max="14335" width="9.109375" style="313" customWidth="1"/>
    <col min="14336" max="14336" width="10.6640625" style="313" customWidth="1"/>
    <col min="14337" max="14337" width="9.109375" style="313" customWidth="1"/>
    <col min="14338" max="14338" width="10.109375" style="313" customWidth="1"/>
    <col min="14339" max="14339" width="11.109375" style="313" customWidth="1"/>
    <col min="14340" max="14459" width="9.109375" style="313" customWidth="1"/>
    <col min="14460" max="14460" width="2.5546875" style="313" customWidth="1"/>
    <col min="14461" max="14461" width="9.109375" style="313" customWidth="1"/>
    <col min="14462" max="14462" width="47.88671875" style="313" customWidth="1"/>
    <col min="14463" max="14463" width="6.6640625" style="313" customWidth="1"/>
    <col min="14464" max="14464" width="7.44140625" style="313" customWidth="1"/>
    <col min="14465" max="14465" width="7" style="313"/>
    <col min="14466" max="14466" width="8.5546875" style="313" customWidth="1"/>
    <col min="14467" max="14467" width="12" style="313" customWidth="1"/>
    <col min="14468" max="14468" width="4.6640625" style="313" customWidth="1"/>
    <col min="14469" max="14469" width="9.109375" style="313" customWidth="1"/>
    <col min="14470" max="14470" width="11.6640625" style="313" customWidth="1"/>
    <col min="14471" max="14582" width="7" style="313"/>
    <col min="14583" max="14583" width="3.88671875" style="313" customWidth="1"/>
    <col min="14584" max="14584" width="11.5546875" style="313" customWidth="1"/>
    <col min="14585" max="14585" width="66.5546875" style="313" customWidth="1"/>
    <col min="14586" max="14586" width="9.44140625" style="313" customWidth="1"/>
    <col min="14587" max="14587" width="9.109375" style="313" customWidth="1"/>
    <col min="14588" max="14588" width="11.109375" style="313" bestFit="1" customWidth="1"/>
    <col min="14589" max="14589" width="9.109375" style="313" customWidth="1"/>
    <col min="14590" max="14590" width="10.44140625" style="313" customWidth="1"/>
    <col min="14591" max="14591" width="9.109375" style="313" customWidth="1"/>
    <col min="14592" max="14592" width="10.6640625" style="313" customWidth="1"/>
    <col min="14593" max="14593" width="9.109375" style="313" customWidth="1"/>
    <col min="14594" max="14594" width="10.109375" style="313" customWidth="1"/>
    <col min="14595" max="14595" width="11.109375" style="313" customWidth="1"/>
    <col min="14596" max="14715" width="9.109375" style="313" customWidth="1"/>
    <col min="14716" max="14716" width="2.5546875" style="313" customWidth="1"/>
    <col min="14717" max="14717" width="9.109375" style="313" customWidth="1"/>
    <col min="14718" max="14718" width="47.88671875" style="313" customWidth="1"/>
    <col min="14719" max="14719" width="6.6640625" style="313" customWidth="1"/>
    <col min="14720" max="14720" width="7.44140625" style="313" customWidth="1"/>
    <col min="14721" max="14721" width="7" style="313"/>
    <col min="14722" max="14722" width="8.5546875" style="313" customWidth="1"/>
    <col min="14723" max="14723" width="12" style="313" customWidth="1"/>
    <col min="14724" max="14724" width="4.6640625" style="313" customWidth="1"/>
    <col min="14725" max="14725" width="9.109375" style="313" customWidth="1"/>
    <col min="14726" max="14726" width="11.6640625" style="313" customWidth="1"/>
    <col min="14727" max="14838" width="7" style="313"/>
    <col min="14839" max="14839" width="3.88671875" style="313" customWidth="1"/>
    <col min="14840" max="14840" width="11.5546875" style="313" customWidth="1"/>
    <col min="14841" max="14841" width="66.5546875" style="313" customWidth="1"/>
    <col min="14842" max="14842" width="9.44140625" style="313" customWidth="1"/>
    <col min="14843" max="14843" width="9.109375" style="313" customWidth="1"/>
    <col min="14844" max="14844" width="11.109375" style="313" bestFit="1" customWidth="1"/>
    <col min="14845" max="14845" width="9.109375" style="313" customWidth="1"/>
    <col min="14846" max="14846" width="10.44140625" style="313" customWidth="1"/>
    <col min="14847" max="14847" width="9.109375" style="313" customWidth="1"/>
    <col min="14848" max="14848" width="10.6640625" style="313" customWidth="1"/>
    <col min="14849" max="14849" width="9.109375" style="313" customWidth="1"/>
    <col min="14850" max="14850" width="10.109375" style="313" customWidth="1"/>
    <col min="14851" max="14851" width="11.109375" style="313" customWidth="1"/>
    <col min="14852" max="14971" width="9.109375" style="313" customWidth="1"/>
    <col min="14972" max="14972" width="2.5546875" style="313" customWidth="1"/>
    <col min="14973" max="14973" width="9.109375" style="313" customWidth="1"/>
    <col min="14974" max="14974" width="47.88671875" style="313" customWidth="1"/>
    <col min="14975" max="14975" width="6.6640625" style="313" customWidth="1"/>
    <col min="14976" max="14976" width="7.44140625" style="313" customWidth="1"/>
    <col min="14977" max="14977" width="7" style="313"/>
    <col min="14978" max="14978" width="8.5546875" style="313" customWidth="1"/>
    <col min="14979" max="14979" width="12" style="313" customWidth="1"/>
    <col min="14980" max="14980" width="4.6640625" style="313" customWidth="1"/>
    <col min="14981" max="14981" width="9.109375" style="313" customWidth="1"/>
    <col min="14982" max="14982" width="11.6640625" style="313" customWidth="1"/>
    <col min="14983" max="15094" width="7" style="313"/>
    <col min="15095" max="15095" width="3.88671875" style="313" customWidth="1"/>
    <col min="15096" max="15096" width="11.5546875" style="313" customWidth="1"/>
    <col min="15097" max="15097" width="66.5546875" style="313" customWidth="1"/>
    <col min="15098" max="15098" width="9.44140625" style="313" customWidth="1"/>
    <col min="15099" max="15099" width="9.109375" style="313" customWidth="1"/>
    <col min="15100" max="15100" width="11.109375" style="313" bestFit="1" customWidth="1"/>
    <col min="15101" max="15101" width="9.109375" style="313" customWidth="1"/>
    <col min="15102" max="15102" width="10.44140625" style="313" customWidth="1"/>
    <col min="15103" max="15103" width="9.109375" style="313" customWidth="1"/>
    <col min="15104" max="15104" width="10.6640625" style="313" customWidth="1"/>
    <col min="15105" max="15105" width="9.109375" style="313" customWidth="1"/>
    <col min="15106" max="15106" width="10.109375" style="313" customWidth="1"/>
    <col min="15107" max="15107" width="11.109375" style="313" customWidth="1"/>
    <col min="15108" max="15227" width="9.109375" style="313" customWidth="1"/>
    <col min="15228" max="15228" width="2.5546875" style="313" customWidth="1"/>
    <col min="15229" max="15229" width="9.109375" style="313" customWidth="1"/>
    <col min="15230" max="15230" width="47.88671875" style="313" customWidth="1"/>
    <col min="15231" max="15231" width="6.6640625" style="313" customWidth="1"/>
    <col min="15232" max="15232" width="7.44140625" style="313" customWidth="1"/>
    <col min="15233" max="15233" width="7" style="313"/>
    <col min="15234" max="15234" width="8.5546875" style="313" customWidth="1"/>
    <col min="15235" max="15235" width="12" style="313" customWidth="1"/>
    <col min="15236" max="15236" width="4.6640625" style="313" customWidth="1"/>
    <col min="15237" max="15237" width="9.109375" style="313" customWidth="1"/>
    <col min="15238" max="15238" width="11.6640625" style="313" customWidth="1"/>
    <col min="15239" max="15350" width="7" style="313"/>
    <col min="15351" max="15351" width="3.88671875" style="313" customWidth="1"/>
    <col min="15352" max="15352" width="11.5546875" style="313" customWidth="1"/>
    <col min="15353" max="15353" width="66.5546875" style="313" customWidth="1"/>
    <col min="15354" max="15354" width="9.44140625" style="313" customWidth="1"/>
    <col min="15355" max="15355" width="9.109375" style="313" customWidth="1"/>
    <col min="15356" max="15356" width="11.109375" style="313" bestFit="1" customWidth="1"/>
    <col min="15357" max="15357" width="9.109375" style="313" customWidth="1"/>
    <col min="15358" max="15358" width="10.44140625" style="313" customWidth="1"/>
    <col min="15359" max="15359" width="9.109375" style="313" customWidth="1"/>
    <col min="15360" max="15360" width="10.6640625" style="313" customWidth="1"/>
    <col min="15361" max="15361" width="9.109375" style="313" customWidth="1"/>
    <col min="15362" max="15362" width="10.109375" style="313" customWidth="1"/>
    <col min="15363" max="15363" width="11.109375" style="313" customWidth="1"/>
    <col min="15364" max="15483" width="9.109375" style="313" customWidth="1"/>
    <col min="15484" max="15484" width="2.5546875" style="313" customWidth="1"/>
    <col min="15485" max="15485" width="9.109375" style="313" customWidth="1"/>
    <col min="15486" max="15486" width="47.88671875" style="313" customWidth="1"/>
    <col min="15487" max="15487" width="6.6640625" style="313" customWidth="1"/>
    <col min="15488" max="15488" width="7.44140625" style="313" customWidth="1"/>
    <col min="15489" max="15489" width="7" style="313"/>
    <col min="15490" max="15490" width="8.5546875" style="313" customWidth="1"/>
    <col min="15491" max="15491" width="12" style="313" customWidth="1"/>
    <col min="15492" max="15492" width="4.6640625" style="313" customWidth="1"/>
    <col min="15493" max="15493" width="9.109375" style="313" customWidth="1"/>
    <col min="15494" max="15494" width="11.6640625" style="313" customWidth="1"/>
    <col min="15495" max="15606" width="7" style="313"/>
    <col min="15607" max="15607" width="3.88671875" style="313" customWidth="1"/>
    <col min="15608" max="15608" width="11.5546875" style="313" customWidth="1"/>
    <col min="15609" max="15609" width="66.5546875" style="313" customWidth="1"/>
    <col min="15610" max="15610" width="9.44140625" style="313" customWidth="1"/>
    <col min="15611" max="15611" width="9.109375" style="313" customWidth="1"/>
    <col min="15612" max="15612" width="11.109375" style="313" bestFit="1" customWidth="1"/>
    <col min="15613" max="15613" width="9.109375" style="313" customWidth="1"/>
    <col min="15614" max="15614" width="10.44140625" style="313" customWidth="1"/>
    <col min="15615" max="15615" width="9.109375" style="313" customWidth="1"/>
    <col min="15616" max="15616" width="10.6640625" style="313" customWidth="1"/>
    <col min="15617" max="15617" width="9.109375" style="313" customWidth="1"/>
    <col min="15618" max="15618" width="10.109375" style="313" customWidth="1"/>
    <col min="15619" max="15619" width="11.109375" style="313" customWidth="1"/>
    <col min="15620" max="15739" width="9.109375" style="313" customWidth="1"/>
    <col min="15740" max="15740" width="2.5546875" style="313" customWidth="1"/>
    <col min="15741" max="15741" width="9.109375" style="313" customWidth="1"/>
    <col min="15742" max="15742" width="47.88671875" style="313" customWidth="1"/>
    <col min="15743" max="15743" width="6.6640625" style="313" customWidth="1"/>
    <col min="15744" max="15744" width="7.44140625" style="313" customWidth="1"/>
    <col min="15745" max="15745" width="7" style="313"/>
    <col min="15746" max="15746" width="8.5546875" style="313" customWidth="1"/>
    <col min="15747" max="15747" width="12" style="313" customWidth="1"/>
    <col min="15748" max="15748" width="4.6640625" style="313" customWidth="1"/>
    <col min="15749" max="15749" width="9.109375" style="313" customWidth="1"/>
    <col min="15750" max="15750" width="11.6640625" style="313" customWidth="1"/>
    <col min="15751" max="15862" width="7" style="313"/>
    <col min="15863" max="15863" width="3.88671875" style="313" customWidth="1"/>
    <col min="15864" max="15864" width="11.5546875" style="313" customWidth="1"/>
    <col min="15865" max="15865" width="66.5546875" style="313" customWidth="1"/>
    <col min="15866" max="15866" width="9.44140625" style="313" customWidth="1"/>
    <col min="15867" max="15867" width="9.109375" style="313" customWidth="1"/>
    <col min="15868" max="15868" width="11.109375" style="313" bestFit="1" customWidth="1"/>
    <col min="15869" max="15869" width="9.109375" style="313" customWidth="1"/>
    <col min="15870" max="15870" width="10.44140625" style="313" customWidth="1"/>
    <col min="15871" max="15871" width="9.109375" style="313" customWidth="1"/>
    <col min="15872" max="15872" width="10.6640625" style="313" customWidth="1"/>
    <col min="15873" max="15873" width="9.109375" style="313" customWidth="1"/>
    <col min="15874" max="15874" width="10.109375" style="313" customWidth="1"/>
    <col min="15875" max="15875" width="11.109375" style="313" customWidth="1"/>
    <col min="15876" max="15995" width="9.109375" style="313" customWidth="1"/>
    <col min="15996" max="15996" width="2.5546875" style="313" customWidth="1"/>
    <col min="15997" max="15997" width="9.109375" style="313" customWidth="1"/>
    <col min="15998" max="15998" width="47.88671875" style="313" customWidth="1"/>
    <col min="15999" max="15999" width="6.6640625" style="313" customWidth="1"/>
    <col min="16000" max="16000" width="7.44140625" style="313" customWidth="1"/>
    <col min="16001" max="16001" width="7" style="313"/>
    <col min="16002" max="16002" width="8.5546875" style="313" customWidth="1"/>
    <col min="16003" max="16003" width="12" style="313" customWidth="1"/>
    <col min="16004" max="16004" width="4.6640625" style="313" customWidth="1"/>
    <col min="16005" max="16005" width="9.109375" style="313" customWidth="1"/>
    <col min="16006" max="16006" width="11.6640625" style="313" customWidth="1"/>
    <col min="16007" max="16118" width="7" style="313"/>
    <col min="16119" max="16119" width="3.88671875" style="313" customWidth="1"/>
    <col min="16120" max="16120" width="11.5546875" style="313" customWidth="1"/>
    <col min="16121" max="16121" width="66.5546875" style="313" customWidth="1"/>
    <col min="16122" max="16122" width="9.44140625" style="313" customWidth="1"/>
    <col min="16123" max="16123" width="9.109375" style="313" customWidth="1"/>
    <col min="16124" max="16124" width="11.109375" style="313" bestFit="1" customWidth="1"/>
    <col min="16125" max="16125" width="9.109375" style="313" customWidth="1"/>
    <col min="16126" max="16126" width="10.44140625" style="313" customWidth="1"/>
    <col min="16127" max="16127" width="9.109375" style="313" customWidth="1"/>
    <col min="16128" max="16128" width="10.6640625" style="313" customWidth="1"/>
    <col min="16129" max="16129" width="9.109375" style="313" customWidth="1"/>
    <col min="16130" max="16130" width="10.109375" style="313" customWidth="1"/>
    <col min="16131" max="16131" width="11.109375" style="313" customWidth="1"/>
    <col min="16132" max="16251" width="9.109375" style="313" customWidth="1"/>
    <col min="16252" max="16252" width="2.5546875" style="313" customWidth="1"/>
    <col min="16253" max="16253" width="9.109375" style="313" customWidth="1"/>
    <col min="16254" max="16254" width="47.88671875" style="313" customWidth="1"/>
    <col min="16255" max="16255" width="6.6640625" style="313" customWidth="1"/>
    <col min="16256" max="16256" width="7.44140625" style="313" customWidth="1"/>
    <col min="16257" max="16257" width="7" style="313"/>
    <col min="16258" max="16258" width="8.5546875" style="313" customWidth="1"/>
    <col min="16259" max="16259" width="12" style="313" customWidth="1"/>
    <col min="16260" max="16260" width="4.6640625" style="313" customWidth="1"/>
    <col min="16261" max="16261" width="9.109375" style="313" customWidth="1"/>
    <col min="16262" max="16262" width="11.6640625" style="313" customWidth="1"/>
    <col min="16263" max="16384" width="7" style="313"/>
  </cols>
  <sheetData>
    <row r="1" spans="1:13" s="272" customFormat="1" ht="17.399999999999999">
      <c r="A1" s="728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1:13" s="272" customFormat="1" ht="17.399999999999999">
      <c r="A2" s="729" t="s">
        <v>1</v>
      </c>
      <c r="B2" s="729"/>
      <c r="C2" s="729"/>
      <c r="D2" s="273" t="str">
        <f>'B-6'!B12</f>
        <v>B-6.3</v>
      </c>
      <c r="E2" s="273"/>
      <c r="F2" s="273"/>
      <c r="G2" s="273"/>
      <c r="H2" s="274"/>
      <c r="I2" s="274"/>
      <c r="J2" s="274"/>
      <c r="K2" s="274"/>
      <c r="L2" s="274"/>
      <c r="M2" s="274"/>
    </row>
    <row r="3" spans="1:13" s="272" customFormat="1" ht="17.399999999999999">
      <c r="A3" s="730" t="str">
        <f>'B-6'!C12</f>
        <v>საქლორატოროს შენობის შიდა ელ. მომარაგება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272" customFormat="1" ht="28.5" customHeight="1">
      <c r="A4" s="553"/>
      <c r="B4" s="731">
        <f>gan.barat!B34</f>
        <v>0</v>
      </c>
      <c r="C4" s="731"/>
      <c r="D4" s="731"/>
      <c r="E4" s="731"/>
      <c r="F4" s="731"/>
      <c r="G4" s="731"/>
      <c r="H4" s="553"/>
      <c r="I4" s="553"/>
      <c r="J4" s="553"/>
      <c r="K4" s="553"/>
      <c r="L4" s="553"/>
      <c r="M4" s="553"/>
    </row>
    <row r="5" spans="1:13" s="272" customForma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s="272" customFormat="1">
      <c r="A6" s="727" t="s">
        <v>382</v>
      </c>
      <c r="B6" s="727" t="s">
        <v>383</v>
      </c>
      <c r="C6" s="734" t="s">
        <v>384</v>
      </c>
      <c r="D6" s="727" t="s">
        <v>385</v>
      </c>
      <c r="E6" s="727" t="s">
        <v>386</v>
      </c>
      <c r="F6" s="727" t="s">
        <v>387</v>
      </c>
      <c r="G6" s="726" t="s">
        <v>388</v>
      </c>
      <c r="H6" s="726"/>
      <c r="I6" s="726" t="s">
        <v>389</v>
      </c>
      <c r="J6" s="726"/>
      <c r="K6" s="727" t="s">
        <v>390</v>
      </c>
      <c r="L6" s="727"/>
      <c r="M6" s="278" t="s">
        <v>391</v>
      </c>
    </row>
    <row r="7" spans="1:13" s="272" customFormat="1">
      <c r="A7" s="727"/>
      <c r="B7" s="727"/>
      <c r="C7" s="735"/>
      <c r="D7" s="727"/>
      <c r="E7" s="727"/>
      <c r="F7" s="727"/>
      <c r="G7" s="278" t="s">
        <v>392</v>
      </c>
      <c r="H7" s="278" t="s">
        <v>393</v>
      </c>
      <c r="I7" s="278" t="s">
        <v>392</v>
      </c>
      <c r="J7" s="278" t="s">
        <v>393</v>
      </c>
      <c r="K7" s="278" t="s">
        <v>392</v>
      </c>
      <c r="L7" s="278" t="s">
        <v>394</v>
      </c>
      <c r="M7" s="278" t="s">
        <v>395</v>
      </c>
    </row>
    <row r="8" spans="1:13" s="281" customFormat="1">
      <c r="A8" s="469">
        <v>1</v>
      </c>
      <c r="B8" s="469">
        <v>3</v>
      </c>
      <c r="C8" s="469">
        <v>2</v>
      </c>
      <c r="D8" s="469">
        <v>4</v>
      </c>
      <c r="E8" s="469">
        <v>5</v>
      </c>
      <c r="F8" s="469">
        <v>6</v>
      </c>
      <c r="G8" s="278">
        <v>7</v>
      </c>
      <c r="H8" s="278">
        <v>8</v>
      </c>
      <c r="I8" s="278">
        <v>9</v>
      </c>
      <c r="J8" s="278">
        <v>10</v>
      </c>
      <c r="K8" s="278">
        <v>11</v>
      </c>
      <c r="L8" s="278">
        <v>12</v>
      </c>
      <c r="M8" s="278">
        <v>13</v>
      </c>
    </row>
    <row r="9" spans="1:13" s="281" customFormat="1">
      <c r="A9" s="282"/>
      <c r="B9" s="282"/>
      <c r="C9" s="282" t="s">
        <v>660</v>
      </c>
      <c r="D9" s="282"/>
      <c r="E9" s="283"/>
      <c r="F9" s="283"/>
      <c r="G9" s="899"/>
      <c r="H9" s="899"/>
      <c r="I9" s="899"/>
      <c r="J9" s="899"/>
      <c r="K9" s="899"/>
      <c r="L9" s="899"/>
      <c r="M9" s="899"/>
    </row>
    <row r="10" spans="1:13" s="530" customFormat="1">
      <c r="A10" s="527"/>
      <c r="B10" s="528"/>
      <c r="C10" s="527" t="s">
        <v>661</v>
      </c>
      <c r="D10" s="527"/>
      <c r="E10" s="529"/>
      <c r="F10" s="529"/>
      <c r="G10" s="982"/>
      <c r="H10" s="899"/>
      <c r="I10" s="899"/>
      <c r="J10" s="899"/>
      <c r="K10" s="899"/>
      <c r="L10" s="899"/>
      <c r="M10" s="899"/>
    </row>
    <row r="11" spans="1:13" s="290" customFormat="1">
      <c r="A11" s="314"/>
      <c r="B11" s="315" t="s">
        <v>662</v>
      </c>
      <c r="C11" s="345" t="s">
        <v>663</v>
      </c>
      <c r="D11" s="284" t="s">
        <v>72</v>
      </c>
      <c r="E11" s="288"/>
      <c r="F11" s="288">
        <v>1</v>
      </c>
      <c r="G11" s="883"/>
      <c r="H11" s="883"/>
      <c r="I11" s="883"/>
      <c r="J11" s="883"/>
      <c r="K11" s="883"/>
      <c r="L11" s="883"/>
      <c r="M11" s="883">
        <f>SUM(M12:M15)</f>
        <v>0</v>
      </c>
    </row>
    <row r="12" spans="1:13" s="290" customFormat="1">
      <c r="A12" s="317"/>
      <c r="B12" s="318"/>
      <c r="C12" s="531" t="s">
        <v>398</v>
      </c>
      <c r="D12" s="317" t="s">
        <v>40</v>
      </c>
      <c r="E12" s="289">
        <v>3</v>
      </c>
      <c r="F12" s="289">
        <f>F11*E12</f>
        <v>3</v>
      </c>
      <c r="G12" s="901"/>
      <c r="H12" s="901"/>
      <c r="I12" s="901">
        <v>0</v>
      </c>
      <c r="J12" s="884">
        <f>F12*I12</f>
        <v>0</v>
      </c>
      <c r="K12" s="884"/>
      <c r="L12" s="884"/>
      <c r="M12" s="884">
        <f>H12+J12+L12</f>
        <v>0</v>
      </c>
    </row>
    <row r="13" spans="1:13" s="290" customFormat="1">
      <c r="A13" s="317"/>
      <c r="B13" s="318"/>
      <c r="C13" s="360" t="s">
        <v>21</v>
      </c>
      <c r="D13" s="291" t="s">
        <v>417</v>
      </c>
      <c r="E13" s="289">
        <v>0.12</v>
      </c>
      <c r="F13" s="289">
        <f>F11*E13</f>
        <v>0.12</v>
      </c>
      <c r="G13" s="884"/>
      <c r="H13" s="884"/>
      <c r="I13" s="884"/>
      <c r="J13" s="884"/>
      <c r="K13" s="884">
        <v>0</v>
      </c>
      <c r="L13" s="884">
        <f>F13*K13</f>
        <v>0</v>
      </c>
      <c r="M13" s="884">
        <f>H13+J13+L13</f>
        <v>0</v>
      </c>
    </row>
    <row r="14" spans="1:13" s="290" customFormat="1">
      <c r="A14" s="425"/>
      <c r="B14" s="291" t="s">
        <v>664</v>
      </c>
      <c r="C14" s="442" t="s">
        <v>665</v>
      </c>
      <c r="D14" s="291" t="s">
        <v>72</v>
      </c>
      <c r="E14" s="289">
        <v>1</v>
      </c>
      <c r="F14" s="289">
        <f>F11*E14</f>
        <v>1</v>
      </c>
      <c r="G14" s="884">
        <v>0</v>
      </c>
      <c r="H14" s="884">
        <f>G14*F14</f>
        <v>0</v>
      </c>
      <c r="I14" s="884"/>
      <c r="J14" s="884"/>
      <c r="K14" s="884"/>
      <c r="L14" s="884"/>
      <c r="M14" s="884">
        <f>H14+J14+L14</f>
        <v>0</v>
      </c>
    </row>
    <row r="15" spans="1:13" s="290" customFormat="1">
      <c r="A15" s="317"/>
      <c r="B15" s="318"/>
      <c r="C15" s="360" t="s">
        <v>666</v>
      </c>
      <c r="D15" s="291" t="s">
        <v>417</v>
      </c>
      <c r="E15" s="289">
        <v>2.5499999999999998</v>
      </c>
      <c r="F15" s="289">
        <f>F11*E15</f>
        <v>2.5499999999999998</v>
      </c>
      <c r="G15" s="884">
        <v>0</v>
      </c>
      <c r="H15" s="884">
        <f>F15*G15</f>
        <v>0</v>
      </c>
      <c r="I15" s="884"/>
      <c r="J15" s="884"/>
      <c r="K15" s="884"/>
      <c r="L15" s="884"/>
      <c r="M15" s="884">
        <f>H15+J15+L15</f>
        <v>0</v>
      </c>
    </row>
    <row r="16" spans="1:13" s="290" customFormat="1">
      <c r="A16" s="532">
        <v>2</v>
      </c>
      <c r="B16" s="533" t="s">
        <v>667</v>
      </c>
      <c r="C16" s="534" t="s">
        <v>668</v>
      </c>
      <c r="D16" s="532" t="s">
        <v>72</v>
      </c>
      <c r="E16" s="288"/>
      <c r="F16" s="288">
        <v>1</v>
      </c>
      <c r="G16" s="903"/>
      <c r="H16" s="903"/>
      <c r="I16" s="903"/>
      <c r="J16" s="883"/>
      <c r="K16" s="883"/>
      <c r="L16" s="883"/>
      <c r="M16" s="883">
        <f>SUM(M17:M20)</f>
        <v>0</v>
      </c>
    </row>
    <row r="17" spans="1:147" s="290" customFormat="1">
      <c r="A17" s="317"/>
      <c r="B17" s="318"/>
      <c r="C17" s="531" t="s">
        <v>398</v>
      </c>
      <c r="D17" s="317" t="s">
        <v>40</v>
      </c>
      <c r="E17" s="289">
        <v>1</v>
      </c>
      <c r="F17" s="289">
        <f>F16*E17</f>
        <v>1</v>
      </c>
      <c r="G17" s="901"/>
      <c r="H17" s="901"/>
      <c r="I17" s="901">
        <v>0</v>
      </c>
      <c r="J17" s="884">
        <f>F17*I17</f>
        <v>0</v>
      </c>
      <c r="K17" s="884"/>
      <c r="L17" s="884"/>
      <c r="M17" s="884">
        <f>H17+J17+L17</f>
        <v>0</v>
      </c>
    </row>
    <row r="18" spans="1:147" s="290" customFormat="1">
      <c r="A18" s="317"/>
      <c r="B18" s="318"/>
      <c r="C18" s="360" t="s">
        <v>21</v>
      </c>
      <c r="D18" s="291" t="s">
        <v>417</v>
      </c>
      <c r="E18" s="289">
        <v>0.05</v>
      </c>
      <c r="F18" s="289">
        <f>F16*E18</f>
        <v>0.05</v>
      </c>
      <c r="G18" s="884"/>
      <c r="H18" s="884"/>
      <c r="I18" s="884"/>
      <c r="J18" s="884"/>
      <c r="K18" s="884">
        <v>0</v>
      </c>
      <c r="L18" s="884">
        <f>F18*K18</f>
        <v>0</v>
      </c>
      <c r="M18" s="884">
        <f>H18+J18+L18</f>
        <v>0</v>
      </c>
    </row>
    <row r="19" spans="1:147" s="290" customFormat="1">
      <c r="A19" s="425"/>
      <c r="B19" s="291" t="s">
        <v>669</v>
      </c>
      <c r="C19" s="339" t="s">
        <v>670</v>
      </c>
      <c r="D19" s="291" t="s">
        <v>65</v>
      </c>
      <c r="E19" s="289" t="s">
        <v>499</v>
      </c>
      <c r="F19" s="289">
        <f>F16</f>
        <v>1</v>
      </c>
      <c r="G19" s="884">
        <v>0</v>
      </c>
      <c r="H19" s="884">
        <f>G19*F19</f>
        <v>0</v>
      </c>
      <c r="I19" s="884"/>
      <c r="J19" s="884"/>
      <c r="K19" s="884"/>
      <c r="L19" s="884"/>
      <c r="M19" s="884">
        <f>H19+J19+L19</f>
        <v>0</v>
      </c>
    </row>
    <row r="20" spans="1:147" s="290" customFormat="1">
      <c r="A20" s="317"/>
      <c r="B20" s="318"/>
      <c r="C20" s="360" t="s">
        <v>666</v>
      </c>
      <c r="D20" s="291" t="s">
        <v>417</v>
      </c>
      <c r="E20" s="289">
        <v>1.07</v>
      </c>
      <c r="F20" s="289">
        <f>F16*E20</f>
        <v>1.07</v>
      </c>
      <c r="G20" s="884">
        <v>0</v>
      </c>
      <c r="H20" s="884">
        <f>F20*G20</f>
        <v>0</v>
      </c>
      <c r="I20" s="884"/>
      <c r="J20" s="884"/>
      <c r="K20" s="884"/>
      <c r="L20" s="884"/>
      <c r="M20" s="884">
        <f>H20+J20+L20</f>
        <v>0</v>
      </c>
    </row>
    <row r="21" spans="1:147" s="290" customFormat="1">
      <c r="A21" s="532">
        <v>3</v>
      </c>
      <c r="B21" s="533" t="s">
        <v>667</v>
      </c>
      <c r="C21" s="534" t="s">
        <v>671</v>
      </c>
      <c r="D21" s="532" t="s">
        <v>72</v>
      </c>
      <c r="E21" s="288"/>
      <c r="F21" s="288">
        <v>4</v>
      </c>
      <c r="G21" s="903"/>
      <c r="H21" s="903"/>
      <c r="I21" s="903"/>
      <c r="J21" s="883"/>
      <c r="K21" s="883"/>
      <c r="L21" s="883"/>
      <c r="M21" s="883">
        <f>SUM(M22:M25)</f>
        <v>0</v>
      </c>
    </row>
    <row r="22" spans="1:147" s="290" customFormat="1">
      <c r="A22" s="317"/>
      <c r="B22" s="318"/>
      <c r="C22" s="531" t="s">
        <v>398</v>
      </c>
      <c r="D22" s="317" t="s">
        <v>40</v>
      </c>
      <c r="E22" s="289">
        <v>1</v>
      </c>
      <c r="F22" s="289">
        <f>F21*E22</f>
        <v>4</v>
      </c>
      <c r="G22" s="901"/>
      <c r="H22" s="901"/>
      <c r="I22" s="901">
        <v>0</v>
      </c>
      <c r="J22" s="884">
        <f>F22*I22</f>
        <v>0</v>
      </c>
      <c r="K22" s="884"/>
      <c r="L22" s="884"/>
      <c r="M22" s="884">
        <f>H22+J22+L22</f>
        <v>0</v>
      </c>
    </row>
    <row r="23" spans="1:147" s="290" customFormat="1">
      <c r="A23" s="317"/>
      <c r="B23" s="318"/>
      <c r="C23" s="360" t="s">
        <v>21</v>
      </c>
      <c r="D23" s="291" t="s">
        <v>417</v>
      </c>
      <c r="E23" s="289">
        <v>0.05</v>
      </c>
      <c r="F23" s="289">
        <f>F21*E23</f>
        <v>0.2</v>
      </c>
      <c r="G23" s="884"/>
      <c r="H23" s="884"/>
      <c r="I23" s="884"/>
      <c r="J23" s="884"/>
      <c r="K23" s="884">
        <v>0</v>
      </c>
      <c r="L23" s="884">
        <f>F23*K23</f>
        <v>0</v>
      </c>
      <c r="M23" s="884">
        <f>H23+J23+L23</f>
        <v>0</v>
      </c>
    </row>
    <row r="24" spans="1:147" s="290" customFormat="1">
      <c r="A24" s="425"/>
      <c r="B24" s="291" t="s">
        <v>672</v>
      </c>
      <c r="C24" s="339" t="s">
        <v>673</v>
      </c>
      <c r="D24" s="291" t="s">
        <v>72</v>
      </c>
      <c r="E24" s="289" t="s">
        <v>499</v>
      </c>
      <c r="F24" s="289">
        <f>F21</f>
        <v>4</v>
      </c>
      <c r="G24" s="884">
        <v>0</v>
      </c>
      <c r="H24" s="884">
        <f>G24*F24</f>
        <v>0</v>
      </c>
      <c r="I24" s="884"/>
      <c r="J24" s="884"/>
      <c r="K24" s="884"/>
      <c r="L24" s="884"/>
      <c r="M24" s="884">
        <f>H24+J24+L24</f>
        <v>0</v>
      </c>
    </row>
    <row r="25" spans="1:147" s="290" customFormat="1">
      <c r="A25" s="317"/>
      <c r="B25" s="318"/>
      <c r="C25" s="360" t="s">
        <v>666</v>
      </c>
      <c r="D25" s="291" t="s">
        <v>417</v>
      </c>
      <c r="E25" s="289">
        <v>1.07</v>
      </c>
      <c r="F25" s="289">
        <f>F21*E25</f>
        <v>4.28</v>
      </c>
      <c r="G25" s="884">
        <v>0</v>
      </c>
      <c r="H25" s="884">
        <f>F25*G25</f>
        <v>0</v>
      </c>
      <c r="I25" s="884"/>
      <c r="J25" s="884"/>
      <c r="K25" s="884"/>
      <c r="L25" s="884"/>
      <c r="M25" s="884">
        <f>H25+J25+L25</f>
        <v>0</v>
      </c>
    </row>
    <row r="26" spans="1:147" s="290" customFormat="1">
      <c r="A26" s="284">
        <v>4</v>
      </c>
      <c r="B26" s="285" t="s">
        <v>674</v>
      </c>
      <c r="C26" s="375" t="s">
        <v>675</v>
      </c>
      <c r="D26" s="284" t="s">
        <v>72</v>
      </c>
      <c r="E26" s="288"/>
      <c r="F26" s="288">
        <v>1</v>
      </c>
      <c r="G26" s="883"/>
      <c r="H26" s="883"/>
      <c r="I26" s="883"/>
      <c r="J26" s="883"/>
      <c r="K26" s="883"/>
      <c r="L26" s="883"/>
      <c r="M26" s="883">
        <f>SUM(M27:M30)</f>
        <v>0</v>
      </c>
    </row>
    <row r="27" spans="1:147" s="281" customFormat="1">
      <c r="A27" s="317"/>
      <c r="B27" s="318"/>
      <c r="C27" s="531" t="s">
        <v>398</v>
      </c>
      <c r="D27" s="317" t="s">
        <v>40</v>
      </c>
      <c r="E27" s="289">
        <f>22/100</f>
        <v>0.22</v>
      </c>
      <c r="F27" s="289">
        <f>E27*F26</f>
        <v>0.22</v>
      </c>
      <c r="G27" s="901"/>
      <c r="H27" s="901"/>
      <c r="I27" s="901">
        <v>0</v>
      </c>
      <c r="J27" s="884">
        <f>F27*I27</f>
        <v>0</v>
      </c>
      <c r="K27" s="884"/>
      <c r="L27" s="884"/>
      <c r="M27" s="884">
        <f>H27+J27+L27</f>
        <v>0</v>
      </c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</row>
    <row r="28" spans="1:147" s="281" customFormat="1">
      <c r="A28" s="291"/>
      <c r="B28" s="331"/>
      <c r="C28" s="336" t="s">
        <v>21</v>
      </c>
      <c r="D28" s="291" t="s">
        <v>417</v>
      </c>
      <c r="E28" s="297">
        <f>0.2/100</f>
        <v>2E-3</v>
      </c>
      <c r="F28" s="289">
        <f>E28*F26</f>
        <v>2E-3</v>
      </c>
      <c r="G28" s="895"/>
      <c r="H28" s="884"/>
      <c r="I28" s="884"/>
      <c r="J28" s="884"/>
      <c r="K28" s="901">
        <v>0</v>
      </c>
      <c r="L28" s="884">
        <f>F28*K28</f>
        <v>0</v>
      </c>
      <c r="M28" s="884">
        <f>H28+J28+L28</f>
        <v>0</v>
      </c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</row>
    <row r="29" spans="1:147" s="281" customFormat="1">
      <c r="A29" s="425"/>
      <c r="B29" s="291" t="s">
        <v>676</v>
      </c>
      <c r="C29" s="535" t="s">
        <v>677</v>
      </c>
      <c r="D29" s="291" t="s">
        <v>72</v>
      </c>
      <c r="E29" s="289">
        <f>100/100</f>
        <v>1</v>
      </c>
      <c r="F29" s="289">
        <f>E29*F26</f>
        <v>1</v>
      </c>
      <c r="G29" s="884">
        <v>0</v>
      </c>
      <c r="H29" s="884">
        <f>G29*F29</f>
        <v>0</v>
      </c>
      <c r="I29" s="884"/>
      <c r="J29" s="884"/>
      <c r="K29" s="884"/>
      <c r="L29" s="884"/>
      <c r="M29" s="884">
        <f>H29+J29+L29</f>
        <v>0</v>
      </c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  <c r="DM29" s="301"/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/>
      <c r="EQ29" s="301"/>
    </row>
    <row r="30" spans="1:147" s="281" customFormat="1">
      <c r="A30" s="291"/>
      <c r="B30" s="331"/>
      <c r="C30" s="296" t="s">
        <v>458</v>
      </c>
      <c r="D30" s="291" t="s">
        <v>417</v>
      </c>
      <c r="E30" s="297">
        <f>8.28/100</f>
        <v>8.2799999999999999E-2</v>
      </c>
      <c r="F30" s="289">
        <f>E30*F26</f>
        <v>8.2799999999999999E-2</v>
      </c>
      <c r="G30" s="895">
        <v>0</v>
      </c>
      <c r="H30" s="884">
        <f>G30*F30</f>
        <v>0</v>
      </c>
      <c r="I30" s="884"/>
      <c r="J30" s="884"/>
      <c r="K30" s="884"/>
      <c r="L30" s="884"/>
      <c r="M30" s="884">
        <f>H30+J30+L30</f>
        <v>0</v>
      </c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/>
      <c r="EQ30" s="301"/>
    </row>
    <row r="31" spans="1:147" s="281" customFormat="1">
      <c r="A31" s="314">
        <v>5</v>
      </c>
      <c r="B31" s="315" t="s">
        <v>678</v>
      </c>
      <c r="C31" s="345" t="s">
        <v>679</v>
      </c>
      <c r="D31" s="284" t="s">
        <v>72</v>
      </c>
      <c r="E31" s="288"/>
      <c r="F31" s="288">
        <v>1</v>
      </c>
      <c r="G31" s="883"/>
      <c r="H31" s="883"/>
      <c r="I31" s="883"/>
      <c r="J31" s="883"/>
      <c r="K31" s="883"/>
      <c r="L31" s="883"/>
      <c r="M31" s="883">
        <f>SUM(M32:M35)</f>
        <v>0</v>
      </c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</row>
    <row r="32" spans="1:147" s="281" customFormat="1">
      <c r="A32" s="317"/>
      <c r="B32" s="318"/>
      <c r="C32" s="531" t="s">
        <v>398</v>
      </c>
      <c r="D32" s="317" t="s">
        <v>40</v>
      </c>
      <c r="E32" s="289">
        <f>20/100</f>
        <v>0.2</v>
      </c>
      <c r="F32" s="289">
        <f>E32*F31</f>
        <v>0.2</v>
      </c>
      <c r="G32" s="884"/>
      <c r="H32" s="884"/>
      <c r="I32" s="901">
        <v>0</v>
      </c>
      <c r="J32" s="884">
        <f>I32*F32</f>
        <v>0</v>
      </c>
      <c r="K32" s="884"/>
      <c r="L32" s="884"/>
      <c r="M32" s="884">
        <f>J32</f>
        <v>0</v>
      </c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1"/>
      <c r="DS32" s="301"/>
      <c r="DT32" s="301"/>
      <c r="DU32" s="301"/>
      <c r="DV32" s="301"/>
      <c r="DW32" s="301"/>
      <c r="DX32" s="301"/>
      <c r="DY32" s="301"/>
      <c r="DZ32" s="301"/>
      <c r="EA32" s="301"/>
      <c r="EB32" s="301"/>
      <c r="EC32" s="301"/>
      <c r="ED32" s="301"/>
      <c r="EE32" s="301"/>
      <c r="EF32" s="301"/>
      <c r="EG32" s="301"/>
      <c r="EH32" s="301"/>
      <c r="EI32" s="301"/>
      <c r="EJ32" s="301"/>
      <c r="EK32" s="301"/>
      <c r="EL32" s="301"/>
      <c r="EM32" s="301"/>
      <c r="EN32" s="301"/>
      <c r="EO32" s="301"/>
      <c r="EP32" s="301"/>
      <c r="EQ32" s="301"/>
    </row>
    <row r="33" spans="1:147" s="281" customFormat="1">
      <c r="A33" s="291"/>
      <c r="B33" s="331"/>
      <c r="C33" s="336" t="s">
        <v>21</v>
      </c>
      <c r="D33" s="291" t="s">
        <v>417</v>
      </c>
      <c r="E33" s="297">
        <f>0.5/100</f>
        <v>5.0000000000000001E-3</v>
      </c>
      <c r="F33" s="289">
        <f>E33*F31</f>
        <v>5.0000000000000001E-3</v>
      </c>
      <c r="G33" s="895"/>
      <c r="H33" s="884"/>
      <c r="I33" s="884"/>
      <c r="J33" s="884"/>
      <c r="K33" s="901">
        <v>0</v>
      </c>
      <c r="L33" s="884">
        <f>F33*K33</f>
        <v>0</v>
      </c>
      <c r="M33" s="884">
        <f>L33</f>
        <v>0</v>
      </c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301"/>
      <c r="EQ33" s="301"/>
    </row>
    <row r="34" spans="1:147" s="281" customFormat="1">
      <c r="A34" s="425"/>
      <c r="B34" s="291" t="s">
        <v>680</v>
      </c>
      <c r="C34" s="442" t="s">
        <v>681</v>
      </c>
      <c r="D34" s="291" t="s">
        <v>72</v>
      </c>
      <c r="E34" s="289">
        <f>100/100</f>
        <v>1</v>
      </c>
      <c r="F34" s="289">
        <f>E34*F31</f>
        <v>1</v>
      </c>
      <c r="G34" s="884">
        <v>0</v>
      </c>
      <c r="H34" s="884">
        <f>G34*F34</f>
        <v>0</v>
      </c>
      <c r="I34" s="884"/>
      <c r="J34" s="884"/>
      <c r="K34" s="884"/>
      <c r="L34" s="884"/>
      <c r="M34" s="884">
        <f>H34</f>
        <v>0</v>
      </c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  <c r="DN34" s="301"/>
      <c r="DO34" s="301"/>
      <c r="DP34" s="301"/>
      <c r="DQ34" s="301"/>
      <c r="DR34" s="301"/>
      <c r="DS34" s="301"/>
      <c r="DT34" s="301"/>
      <c r="DU34" s="301"/>
      <c r="DV34" s="301"/>
      <c r="DW34" s="301"/>
      <c r="DX34" s="301"/>
      <c r="DY34" s="301"/>
      <c r="DZ34" s="301"/>
      <c r="EA34" s="301"/>
      <c r="EB34" s="301"/>
      <c r="EC34" s="301"/>
      <c r="ED34" s="301"/>
      <c r="EE34" s="301"/>
      <c r="EF34" s="301"/>
      <c r="EG34" s="301"/>
      <c r="EH34" s="301"/>
      <c r="EI34" s="301"/>
      <c r="EJ34" s="301"/>
      <c r="EK34" s="301"/>
      <c r="EL34" s="301"/>
      <c r="EM34" s="301"/>
      <c r="EN34" s="301"/>
      <c r="EO34" s="301"/>
      <c r="EP34" s="301"/>
      <c r="EQ34" s="301"/>
    </row>
    <row r="35" spans="1:147" s="281" customFormat="1">
      <c r="A35" s="291"/>
      <c r="B35" s="331"/>
      <c r="C35" s="296" t="s">
        <v>458</v>
      </c>
      <c r="D35" s="291" t="s">
        <v>417</v>
      </c>
      <c r="E35" s="297">
        <f>8.25/100</f>
        <v>8.2500000000000004E-2</v>
      </c>
      <c r="F35" s="289">
        <f>E35*F31</f>
        <v>8.2500000000000004E-2</v>
      </c>
      <c r="G35" s="895">
        <v>0</v>
      </c>
      <c r="H35" s="884">
        <f>G35*F35</f>
        <v>0</v>
      </c>
      <c r="I35" s="884"/>
      <c r="J35" s="884"/>
      <c r="K35" s="884"/>
      <c r="L35" s="884"/>
      <c r="M35" s="884">
        <f>H35</f>
        <v>0</v>
      </c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1"/>
      <c r="DU35" s="301"/>
      <c r="DV35" s="301"/>
      <c r="DW35" s="301"/>
      <c r="DX35" s="301"/>
      <c r="DY35" s="301"/>
      <c r="DZ35" s="301"/>
      <c r="EA35" s="301"/>
      <c r="EB35" s="301"/>
      <c r="EC35" s="301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1"/>
      <c r="EO35" s="301"/>
      <c r="EP35" s="301"/>
      <c r="EQ35" s="301"/>
    </row>
    <row r="36" spans="1:147" s="281" customFormat="1">
      <c r="A36" s="314">
        <v>6</v>
      </c>
      <c r="B36" s="315" t="s">
        <v>682</v>
      </c>
      <c r="C36" s="345" t="s">
        <v>683</v>
      </c>
      <c r="D36" s="284" t="s">
        <v>72</v>
      </c>
      <c r="E36" s="288"/>
      <c r="F36" s="288">
        <v>1</v>
      </c>
      <c r="G36" s="883"/>
      <c r="H36" s="883"/>
      <c r="I36" s="883"/>
      <c r="J36" s="883"/>
      <c r="K36" s="883"/>
      <c r="L36" s="883"/>
      <c r="M36" s="883">
        <f>SUM(M37:M40)</f>
        <v>0</v>
      </c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1"/>
    </row>
    <row r="37" spans="1:147" s="281" customFormat="1">
      <c r="A37" s="317"/>
      <c r="B37" s="318"/>
      <c r="C37" s="531" t="s">
        <v>398</v>
      </c>
      <c r="D37" s="317" t="s">
        <v>40</v>
      </c>
      <c r="E37" s="289">
        <v>1.04</v>
      </c>
      <c r="F37" s="289">
        <f>E37*F36</f>
        <v>1.04</v>
      </c>
      <c r="G37" s="901"/>
      <c r="H37" s="901"/>
      <c r="I37" s="901">
        <v>0</v>
      </c>
      <c r="J37" s="884">
        <f>F37*I37</f>
        <v>0</v>
      </c>
      <c r="K37" s="884"/>
      <c r="L37" s="884"/>
      <c r="M37" s="884">
        <f>J37</f>
        <v>0</v>
      </c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  <c r="DN37" s="301"/>
      <c r="DO37" s="301"/>
      <c r="DP37" s="301"/>
      <c r="DQ37" s="301"/>
      <c r="DR37" s="301"/>
      <c r="DS37" s="301"/>
      <c r="DT37" s="301"/>
      <c r="DU37" s="301"/>
      <c r="DV37" s="301"/>
      <c r="DW37" s="301"/>
      <c r="DX37" s="301"/>
      <c r="DY37" s="301"/>
      <c r="DZ37" s="301"/>
      <c r="EA37" s="301"/>
      <c r="EB37" s="301"/>
      <c r="EC37" s="301"/>
      <c r="ED37" s="301"/>
      <c r="EE37" s="301"/>
      <c r="EF37" s="301"/>
      <c r="EG37" s="301"/>
      <c r="EH37" s="301"/>
      <c r="EI37" s="301"/>
      <c r="EJ37" s="301"/>
      <c r="EK37" s="301"/>
      <c r="EL37" s="301"/>
      <c r="EM37" s="301"/>
      <c r="EN37" s="301"/>
      <c r="EO37" s="301"/>
      <c r="EP37" s="301"/>
      <c r="EQ37" s="301"/>
    </row>
    <row r="38" spans="1:147" s="281" customFormat="1">
      <c r="A38" s="291"/>
      <c r="B38" s="331"/>
      <c r="C38" s="336" t="s">
        <v>21</v>
      </c>
      <c r="D38" s="291" t="s">
        <v>417</v>
      </c>
      <c r="E38" s="289">
        <v>1.07</v>
      </c>
      <c r="F38" s="289">
        <f>E38*F36</f>
        <v>1.07</v>
      </c>
      <c r="G38" s="895"/>
      <c r="H38" s="884"/>
      <c r="I38" s="884"/>
      <c r="J38" s="884"/>
      <c r="K38" s="901">
        <v>0</v>
      </c>
      <c r="L38" s="884">
        <f>F38*K38</f>
        <v>0</v>
      </c>
      <c r="M38" s="884">
        <f>L38</f>
        <v>0</v>
      </c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</row>
    <row r="39" spans="1:147" s="281" customFormat="1">
      <c r="A39" s="425"/>
      <c r="B39" s="291" t="s">
        <v>684</v>
      </c>
      <c r="C39" s="462" t="s">
        <v>685</v>
      </c>
      <c r="D39" s="291" t="s">
        <v>72</v>
      </c>
      <c r="E39" s="289" t="s">
        <v>499</v>
      </c>
      <c r="F39" s="289">
        <f>F36</f>
        <v>1</v>
      </c>
      <c r="G39" s="884">
        <v>0</v>
      </c>
      <c r="H39" s="884">
        <f>G39*F39</f>
        <v>0</v>
      </c>
      <c r="I39" s="884"/>
      <c r="J39" s="884"/>
      <c r="K39" s="884"/>
      <c r="L39" s="884"/>
      <c r="M39" s="884">
        <f>H39</f>
        <v>0</v>
      </c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1"/>
      <c r="DT39" s="301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  <c r="EI39" s="301"/>
      <c r="EJ39" s="301"/>
      <c r="EK39" s="301"/>
      <c r="EL39" s="301"/>
      <c r="EM39" s="301"/>
      <c r="EN39" s="301"/>
      <c r="EO39" s="301"/>
      <c r="EP39" s="301"/>
      <c r="EQ39" s="301"/>
    </row>
    <row r="40" spans="1:147" s="281" customFormat="1">
      <c r="A40" s="291"/>
      <c r="B40" s="331"/>
      <c r="C40" s="296" t="s">
        <v>458</v>
      </c>
      <c r="D40" s="291" t="s">
        <v>417</v>
      </c>
      <c r="E40" s="289">
        <v>3.94</v>
      </c>
      <c r="F40" s="289">
        <f>E40*F36</f>
        <v>3.94</v>
      </c>
      <c r="G40" s="895">
        <v>0</v>
      </c>
      <c r="H40" s="884">
        <f>G40*F40</f>
        <v>0</v>
      </c>
      <c r="I40" s="884"/>
      <c r="J40" s="884"/>
      <c r="K40" s="884"/>
      <c r="L40" s="884"/>
      <c r="M40" s="884">
        <f>H40</f>
        <v>0</v>
      </c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  <c r="EG40" s="301"/>
      <c r="EH40" s="301"/>
      <c r="EI40" s="301"/>
      <c r="EJ40" s="301"/>
      <c r="EK40" s="301"/>
      <c r="EL40" s="301"/>
      <c r="EM40" s="301"/>
      <c r="EN40" s="301"/>
      <c r="EO40" s="301"/>
      <c r="EP40" s="301"/>
      <c r="EQ40" s="301"/>
    </row>
    <row r="41" spans="1:147" s="281" customFormat="1">
      <c r="A41" s="314">
        <v>7</v>
      </c>
      <c r="B41" s="285" t="s">
        <v>686</v>
      </c>
      <c r="C41" s="534" t="s">
        <v>687</v>
      </c>
      <c r="D41" s="314" t="s">
        <v>62</v>
      </c>
      <c r="E41" s="536"/>
      <c r="F41" s="288">
        <v>20</v>
      </c>
      <c r="G41" s="983"/>
      <c r="H41" s="984"/>
      <c r="I41" s="984"/>
      <c r="J41" s="984"/>
      <c r="K41" s="983"/>
      <c r="L41" s="983"/>
      <c r="M41" s="985">
        <f>SUM(M42:M44)</f>
        <v>0</v>
      </c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1"/>
    </row>
    <row r="42" spans="1:147" s="281" customFormat="1">
      <c r="A42" s="314"/>
      <c r="B42" s="315"/>
      <c r="C42" s="531" t="s">
        <v>398</v>
      </c>
      <c r="D42" s="317" t="s">
        <v>40</v>
      </c>
      <c r="E42" s="289">
        <f>13/100</f>
        <v>0.13</v>
      </c>
      <c r="F42" s="289">
        <f>E42*F41</f>
        <v>2.6</v>
      </c>
      <c r="G42" s="986"/>
      <c r="H42" s="986"/>
      <c r="I42" s="901">
        <v>0</v>
      </c>
      <c r="J42" s="884">
        <f>F42*I42</f>
        <v>0</v>
      </c>
      <c r="K42" s="884"/>
      <c r="L42" s="884"/>
      <c r="M42" s="884">
        <f t="shared" ref="M42:M43" si="0">H42+J42+L42</f>
        <v>0</v>
      </c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1"/>
    </row>
    <row r="43" spans="1:147" s="281" customFormat="1">
      <c r="A43" s="314"/>
      <c r="B43" s="315" t="s">
        <v>688</v>
      </c>
      <c r="C43" s="531" t="s">
        <v>689</v>
      </c>
      <c r="D43" s="291" t="s">
        <v>496</v>
      </c>
      <c r="E43" s="289" t="s">
        <v>499</v>
      </c>
      <c r="F43" s="289">
        <f>F41</f>
        <v>20</v>
      </c>
      <c r="G43" s="884">
        <v>0</v>
      </c>
      <c r="H43" s="884">
        <f t="shared" ref="H43" si="1">G43*F43</f>
        <v>0</v>
      </c>
      <c r="I43" s="884"/>
      <c r="J43" s="884"/>
      <c r="K43" s="884"/>
      <c r="L43" s="884"/>
      <c r="M43" s="884">
        <f t="shared" si="0"/>
        <v>0</v>
      </c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1"/>
      <c r="DS43" s="301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1"/>
      <c r="EF43" s="301"/>
      <c r="EG43" s="301"/>
      <c r="EH43" s="301"/>
      <c r="EI43" s="301"/>
      <c r="EJ43" s="301"/>
      <c r="EK43" s="301"/>
      <c r="EL43" s="301"/>
      <c r="EM43" s="301"/>
      <c r="EN43" s="301"/>
      <c r="EO43" s="301"/>
      <c r="EP43" s="301"/>
      <c r="EQ43" s="301"/>
    </row>
    <row r="44" spans="1:147" s="281" customFormat="1">
      <c r="A44" s="314"/>
      <c r="B44" s="315"/>
      <c r="C44" s="296" t="s">
        <v>458</v>
      </c>
      <c r="D44" s="291" t="s">
        <v>417</v>
      </c>
      <c r="E44" s="289">
        <v>0.12</v>
      </c>
      <c r="F44" s="289">
        <f>E44*F41</f>
        <v>2.4</v>
      </c>
      <c r="G44" s="895">
        <v>0</v>
      </c>
      <c r="H44" s="884">
        <f>G44*F44</f>
        <v>0</v>
      </c>
      <c r="I44" s="884"/>
      <c r="J44" s="884"/>
      <c r="K44" s="884"/>
      <c r="L44" s="884"/>
      <c r="M44" s="884">
        <f>H44</f>
        <v>0</v>
      </c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</row>
    <row r="45" spans="1:147" s="281" customFormat="1">
      <c r="A45" s="314">
        <v>8</v>
      </c>
      <c r="B45" s="285" t="s">
        <v>686</v>
      </c>
      <c r="C45" s="345" t="s">
        <v>690</v>
      </c>
      <c r="D45" s="314" t="s">
        <v>62</v>
      </c>
      <c r="E45" s="536"/>
      <c r="F45" s="288">
        <f>F48+F49</f>
        <v>51</v>
      </c>
      <c r="G45" s="983"/>
      <c r="H45" s="984"/>
      <c r="I45" s="984"/>
      <c r="J45" s="984"/>
      <c r="K45" s="983"/>
      <c r="L45" s="983"/>
      <c r="M45" s="985">
        <f>SUM(M46:M50)</f>
        <v>0</v>
      </c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  <c r="DN45" s="301"/>
      <c r="DO45" s="301"/>
      <c r="DP45" s="301"/>
      <c r="DQ45" s="301"/>
      <c r="DR45" s="301"/>
      <c r="DS45" s="301"/>
      <c r="DT45" s="301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1"/>
      <c r="EF45" s="301"/>
      <c r="EG45" s="301"/>
      <c r="EH45" s="301"/>
      <c r="EI45" s="301"/>
      <c r="EJ45" s="301"/>
      <c r="EK45" s="301"/>
      <c r="EL45" s="301"/>
      <c r="EM45" s="301"/>
      <c r="EN45" s="301"/>
      <c r="EO45" s="301"/>
      <c r="EP45" s="301"/>
      <c r="EQ45" s="301"/>
    </row>
    <row r="46" spans="1:147" s="281" customFormat="1">
      <c r="A46" s="314"/>
      <c r="B46" s="315"/>
      <c r="C46" s="531" t="s">
        <v>398</v>
      </c>
      <c r="D46" s="317" t="s">
        <v>40</v>
      </c>
      <c r="E46" s="289">
        <f>13/100</f>
        <v>0.13</v>
      </c>
      <c r="F46" s="289">
        <f>E46*F45</f>
        <v>6.63</v>
      </c>
      <c r="G46" s="986"/>
      <c r="H46" s="986"/>
      <c r="I46" s="901">
        <v>0</v>
      </c>
      <c r="J46" s="884">
        <f>F46*I46</f>
        <v>0</v>
      </c>
      <c r="K46" s="884"/>
      <c r="L46" s="884"/>
      <c r="M46" s="884">
        <f t="shared" ref="M46:M49" si="2">H46+J46+L46</f>
        <v>0</v>
      </c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1"/>
      <c r="DU46" s="301"/>
      <c r="DV46" s="301"/>
      <c r="DW46" s="301"/>
      <c r="DX46" s="301"/>
      <c r="DY46" s="301"/>
      <c r="DZ46" s="301"/>
      <c r="EA46" s="301"/>
      <c r="EB46" s="301"/>
      <c r="EC46" s="301"/>
      <c r="ED46" s="301"/>
      <c r="EE46" s="301"/>
      <c r="EF46" s="301"/>
      <c r="EG46" s="301"/>
      <c r="EH46" s="301"/>
      <c r="EI46" s="301"/>
      <c r="EJ46" s="301"/>
      <c r="EK46" s="301"/>
      <c r="EL46" s="301"/>
      <c r="EM46" s="301"/>
      <c r="EN46" s="301"/>
      <c r="EO46" s="301"/>
      <c r="EP46" s="301"/>
      <c r="EQ46" s="301"/>
    </row>
    <row r="47" spans="1:147" s="281" customFormat="1">
      <c r="A47" s="314"/>
      <c r="B47" s="315"/>
      <c r="C47" s="336" t="s">
        <v>21</v>
      </c>
      <c r="D47" s="291" t="s">
        <v>417</v>
      </c>
      <c r="E47" s="297">
        <v>3.7100000000000001E-2</v>
      </c>
      <c r="F47" s="289">
        <f>E47*F45</f>
        <v>1.8921000000000001</v>
      </c>
      <c r="G47" s="895"/>
      <c r="H47" s="884"/>
      <c r="I47" s="884"/>
      <c r="J47" s="884"/>
      <c r="K47" s="901">
        <v>0</v>
      </c>
      <c r="L47" s="884">
        <f>F47*K47</f>
        <v>0</v>
      </c>
      <c r="M47" s="884">
        <f>L47</f>
        <v>0</v>
      </c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</row>
    <row r="48" spans="1:147" s="281" customFormat="1" ht="17.399999999999999">
      <c r="A48" s="314"/>
      <c r="B48" s="315" t="s">
        <v>691</v>
      </c>
      <c r="C48" s="531" t="s">
        <v>692</v>
      </c>
      <c r="D48" s="291" t="s">
        <v>496</v>
      </c>
      <c r="E48" s="289" t="s">
        <v>499</v>
      </c>
      <c r="F48" s="289">
        <v>20</v>
      </c>
      <c r="G48" s="884">
        <v>0</v>
      </c>
      <c r="H48" s="884">
        <f t="shared" ref="H48:H49" si="3">G48*F48</f>
        <v>0</v>
      </c>
      <c r="I48" s="884"/>
      <c r="J48" s="884"/>
      <c r="K48" s="884"/>
      <c r="L48" s="884"/>
      <c r="M48" s="884">
        <f t="shared" si="2"/>
        <v>0</v>
      </c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  <c r="DN48" s="301"/>
      <c r="DO48" s="301"/>
      <c r="DP48" s="301"/>
      <c r="DQ48" s="301"/>
      <c r="DR48" s="301"/>
      <c r="DS48" s="301"/>
      <c r="DT48" s="301"/>
      <c r="DU48" s="301"/>
      <c r="DV48" s="301"/>
      <c r="DW48" s="301"/>
      <c r="DX48" s="301"/>
      <c r="DY48" s="301"/>
      <c r="DZ48" s="301"/>
      <c r="EA48" s="301"/>
      <c r="EB48" s="301"/>
      <c r="EC48" s="301"/>
      <c r="ED48" s="301"/>
      <c r="EE48" s="301"/>
      <c r="EF48" s="301"/>
      <c r="EG48" s="301"/>
      <c r="EH48" s="301"/>
      <c r="EI48" s="301"/>
      <c r="EJ48" s="301"/>
      <c r="EK48" s="301"/>
      <c r="EL48" s="301"/>
      <c r="EM48" s="301"/>
      <c r="EN48" s="301"/>
      <c r="EO48" s="301"/>
      <c r="EP48" s="301"/>
      <c r="EQ48" s="301"/>
    </row>
    <row r="49" spans="1:147" s="281" customFormat="1">
      <c r="A49" s="314"/>
      <c r="B49" s="315" t="s">
        <v>693</v>
      </c>
      <c r="C49" s="531" t="s">
        <v>694</v>
      </c>
      <c r="D49" s="291" t="s">
        <v>496</v>
      </c>
      <c r="E49" s="289" t="s">
        <v>499</v>
      </c>
      <c r="F49" s="289">
        <v>31</v>
      </c>
      <c r="G49" s="884">
        <v>0</v>
      </c>
      <c r="H49" s="884">
        <f t="shared" si="3"/>
        <v>0</v>
      </c>
      <c r="I49" s="884"/>
      <c r="J49" s="884"/>
      <c r="K49" s="884"/>
      <c r="L49" s="884"/>
      <c r="M49" s="884">
        <f t="shared" si="2"/>
        <v>0</v>
      </c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1"/>
      <c r="DV49" s="301"/>
      <c r="DW49" s="301"/>
      <c r="DX49" s="301"/>
      <c r="DY49" s="301"/>
      <c r="DZ49" s="301"/>
      <c r="EA49" s="301"/>
      <c r="EB49" s="301"/>
      <c r="EC49" s="301"/>
      <c r="ED49" s="301"/>
      <c r="EE49" s="301"/>
      <c r="EF49" s="301"/>
      <c r="EG49" s="301"/>
      <c r="EH49" s="301"/>
      <c r="EI49" s="301"/>
      <c r="EJ49" s="301"/>
      <c r="EK49" s="301"/>
      <c r="EL49" s="301"/>
      <c r="EM49" s="301"/>
      <c r="EN49" s="301"/>
      <c r="EO49" s="301"/>
      <c r="EP49" s="301"/>
      <c r="EQ49" s="301"/>
    </row>
    <row r="50" spans="1:147" s="281" customFormat="1">
      <c r="A50" s="314"/>
      <c r="B50" s="315"/>
      <c r="C50" s="296" t="s">
        <v>458</v>
      </c>
      <c r="D50" s="291" t="s">
        <v>417</v>
      </c>
      <c r="E50" s="297">
        <v>1.44E-2</v>
      </c>
      <c r="F50" s="289">
        <f>E50*F49</f>
        <v>0.44639999999999996</v>
      </c>
      <c r="G50" s="895">
        <v>0</v>
      </c>
      <c r="H50" s="884">
        <f>G50*F50</f>
        <v>0</v>
      </c>
      <c r="I50" s="884"/>
      <c r="J50" s="884"/>
      <c r="K50" s="884"/>
      <c r="L50" s="884"/>
      <c r="M50" s="884">
        <f>H50</f>
        <v>0</v>
      </c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301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01"/>
      <c r="CO50" s="301"/>
      <c r="CP50" s="301"/>
      <c r="CQ50" s="301"/>
      <c r="CR50" s="301"/>
      <c r="CS50" s="301"/>
      <c r="CT50" s="301"/>
      <c r="CU50" s="301"/>
      <c r="CV50" s="301"/>
      <c r="CW50" s="301"/>
      <c r="CX50" s="301"/>
      <c r="CY50" s="301"/>
      <c r="CZ50" s="301"/>
      <c r="DA50" s="301"/>
      <c r="DB50" s="301"/>
      <c r="DC50" s="301"/>
      <c r="DD50" s="301"/>
      <c r="DE50" s="301"/>
      <c r="DF50" s="301"/>
      <c r="DG50" s="301"/>
      <c r="DH50" s="301"/>
      <c r="DI50" s="301"/>
      <c r="DJ50" s="301"/>
      <c r="DK50" s="301"/>
      <c r="DL50" s="301"/>
      <c r="DM50" s="301"/>
      <c r="DN50" s="301"/>
      <c r="DO50" s="301"/>
      <c r="DP50" s="301"/>
      <c r="DQ50" s="301"/>
      <c r="DR50" s="301"/>
      <c r="DS50" s="301"/>
      <c r="DT50" s="301"/>
      <c r="DU50" s="301"/>
      <c r="DV50" s="301"/>
      <c r="DW50" s="301"/>
      <c r="DX50" s="301"/>
      <c r="DY50" s="301"/>
      <c r="DZ50" s="301"/>
      <c r="EA50" s="301"/>
      <c r="EB50" s="301"/>
      <c r="EC50" s="301"/>
      <c r="ED50" s="301"/>
      <c r="EE50" s="301"/>
      <c r="EF50" s="301"/>
      <c r="EG50" s="301"/>
      <c r="EH50" s="301"/>
      <c r="EI50" s="301"/>
      <c r="EJ50" s="301"/>
      <c r="EK50" s="301"/>
      <c r="EL50" s="301"/>
      <c r="EM50" s="301"/>
      <c r="EN50" s="301"/>
      <c r="EO50" s="301"/>
      <c r="EP50" s="301"/>
      <c r="EQ50" s="301"/>
    </row>
    <row r="51" spans="1:147" s="281" customFormat="1">
      <c r="A51" s="291"/>
      <c r="B51" s="331"/>
      <c r="C51" s="537" t="s">
        <v>695</v>
      </c>
      <c r="D51" s="291"/>
      <c r="E51" s="289"/>
      <c r="F51" s="289"/>
      <c r="G51" s="895"/>
      <c r="H51" s="884"/>
      <c r="I51" s="884"/>
      <c r="J51" s="884"/>
      <c r="K51" s="884"/>
      <c r="L51" s="884"/>
      <c r="M51" s="884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1"/>
      <c r="DB51" s="301"/>
      <c r="DC51" s="301"/>
      <c r="DD51" s="301"/>
      <c r="DE51" s="301"/>
      <c r="DF51" s="301"/>
      <c r="DG51" s="301"/>
      <c r="DH51" s="301"/>
      <c r="DI51" s="301"/>
      <c r="DJ51" s="301"/>
      <c r="DK51" s="301"/>
      <c r="DL51" s="301"/>
      <c r="DM51" s="301"/>
      <c r="DN51" s="301"/>
      <c r="DO51" s="301"/>
      <c r="DP51" s="301"/>
      <c r="DQ51" s="301"/>
      <c r="DR51" s="301"/>
      <c r="DS51" s="301"/>
      <c r="DT51" s="301"/>
      <c r="DU51" s="301"/>
      <c r="DV51" s="301"/>
      <c r="DW51" s="301"/>
      <c r="DX51" s="301"/>
      <c r="DY51" s="301"/>
      <c r="DZ51" s="301"/>
      <c r="EA51" s="301"/>
      <c r="EB51" s="301"/>
      <c r="EC51" s="301"/>
      <c r="ED51" s="301"/>
      <c r="EE51" s="301"/>
      <c r="EF51" s="301"/>
      <c r="EG51" s="301"/>
      <c r="EH51" s="301"/>
      <c r="EI51" s="301"/>
      <c r="EJ51" s="301"/>
      <c r="EK51" s="301"/>
      <c r="EL51" s="301"/>
      <c r="EM51" s="301"/>
      <c r="EN51" s="301"/>
      <c r="EO51" s="301"/>
      <c r="EP51" s="301"/>
      <c r="EQ51" s="301"/>
    </row>
    <row r="52" spans="1:147" s="281" customFormat="1">
      <c r="A52" s="284">
        <v>9</v>
      </c>
      <c r="B52" s="285" t="s">
        <v>696</v>
      </c>
      <c r="C52" s="345" t="s">
        <v>697</v>
      </c>
      <c r="D52" s="284" t="s">
        <v>496</v>
      </c>
      <c r="E52" s="288"/>
      <c r="F52" s="288">
        <v>10</v>
      </c>
      <c r="G52" s="987"/>
      <c r="H52" s="883"/>
      <c r="I52" s="883"/>
      <c r="J52" s="883"/>
      <c r="K52" s="883"/>
      <c r="L52" s="883"/>
      <c r="M52" s="883">
        <f>SUM(M53:M59)</f>
        <v>0</v>
      </c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301"/>
      <c r="DP52" s="301"/>
      <c r="DQ52" s="301"/>
      <c r="DR52" s="301"/>
      <c r="DS52" s="301"/>
      <c r="DT52" s="301"/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1"/>
      <c r="EF52" s="301"/>
      <c r="EG52" s="301"/>
      <c r="EH52" s="301"/>
      <c r="EI52" s="301"/>
      <c r="EJ52" s="301"/>
      <c r="EK52" s="301"/>
      <c r="EL52" s="301"/>
      <c r="EM52" s="301"/>
      <c r="EN52" s="301"/>
      <c r="EO52" s="301"/>
      <c r="EP52" s="301"/>
      <c r="EQ52" s="301"/>
    </row>
    <row r="53" spans="1:147" s="281" customFormat="1">
      <c r="A53" s="394"/>
      <c r="B53" s="318"/>
      <c r="C53" s="531" t="s">
        <v>398</v>
      </c>
      <c r="D53" s="317" t="s">
        <v>40</v>
      </c>
      <c r="E53" s="289">
        <f>12/100</f>
        <v>0.12</v>
      </c>
      <c r="F53" s="289">
        <f>E53*F52</f>
        <v>1.2</v>
      </c>
      <c r="G53" s="901"/>
      <c r="H53" s="901"/>
      <c r="I53" s="901">
        <v>0</v>
      </c>
      <c r="J53" s="884">
        <f>F53*I53</f>
        <v>0</v>
      </c>
      <c r="K53" s="884"/>
      <c r="L53" s="884"/>
      <c r="M53" s="884">
        <f>H53+J53+L53</f>
        <v>0</v>
      </c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  <c r="DB53" s="301"/>
      <c r="DC53" s="301"/>
      <c r="DD53" s="301"/>
      <c r="DE53" s="301"/>
      <c r="DF53" s="301"/>
      <c r="DG53" s="301"/>
      <c r="DH53" s="301"/>
      <c r="DI53" s="301"/>
      <c r="DJ53" s="301"/>
      <c r="DK53" s="301"/>
      <c r="DL53" s="301"/>
      <c r="DM53" s="301"/>
      <c r="DN53" s="301"/>
      <c r="DO53" s="301"/>
      <c r="DP53" s="301"/>
      <c r="DQ53" s="301"/>
      <c r="DR53" s="301"/>
      <c r="DS53" s="301"/>
      <c r="DT53" s="301"/>
      <c r="DU53" s="301"/>
      <c r="DV53" s="301"/>
      <c r="DW53" s="301"/>
      <c r="DX53" s="301"/>
      <c r="DY53" s="301"/>
      <c r="DZ53" s="301"/>
      <c r="EA53" s="301"/>
      <c r="EB53" s="301"/>
      <c r="EC53" s="301"/>
      <c r="ED53" s="301"/>
      <c r="EE53" s="301"/>
      <c r="EF53" s="301"/>
      <c r="EG53" s="301"/>
      <c r="EH53" s="301"/>
      <c r="EI53" s="301"/>
      <c r="EJ53" s="301"/>
      <c r="EK53" s="301"/>
      <c r="EL53" s="301"/>
      <c r="EM53" s="301"/>
      <c r="EN53" s="301"/>
      <c r="EO53" s="301"/>
      <c r="EP53" s="301"/>
      <c r="EQ53" s="301"/>
    </row>
    <row r="54" spans="1:147" s="281" customFormat="1">
      <c r="A54" s="394"/>
      <c r="B54" s="331"/>
      <c r="C54" s="336" t="s">
        <v>21</v>
      </c>
      <c r="D54" s="291" t="s">
        <v>417</v>
      </c>
      <c r="E54" s="289">
        <f>0.9/100</f>
        <v>9.0000000000000011E-3</v>
      </c>
      <c r="F54" s="289">
        <f>E54*F52</f>
        <v>9.0000000000000011E-2</v>
      </c>
      <c r="G54" s="895"/>
      <c r="H54" s="884"/>
      <c r="I54" s="884"/>
      <c r="J54" s="884"/>
      <c r="K54" s="901">
        <v>0</v>
      </c>
      <c r="L54" s="884">
        <f>F54*K54</f>
        <v>0</v>
      </c>
      <c r="M54" s="884">
        <f>H54+J54+L54</f>
        <v>0</v>
      </c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1"/>
      <c r="DT54" s="301"/>
      <c r="DU54" s="301"/>
      <c r="DV54" s="301"/>
      <c r="DW54" s="301"/>
      <c r="DX54" s="301"/>
      <c r="DY54" s="301"/>
      <c r="DZ54" s="301"/>
      <c r="EA54" s="301"/>
      <c r="EB54" s="301"/>
      <c r="EC54" s="301"/>
      <c r="ED54" s="301"/>
      <c r="EE54" s="301"/>
      <c r="EF54" s="301"/>
      <c r="EG54" s="301"/>
      <c r="EH54" s="301"/>
      <c r="EI54" s="301"/>
      <c r="EJ54" s="301"/>
      <c r="EK54" s="301"/>
      <c r="EL54" s="301"/>
      <c r="EM54" s="301"/>
      <c r="EN54" s="301"/>
      <c r="EO54" s="301"/>
      <c r="EP54" s="301"/>
      <c r="EQ54" s="301"/>
    </row>
    <row r="55" spans="1:147" s="281" customFormat="1">
      <c r="A55" s="394"/>
      <c r="B55" s="291" t="s">
        <v>698</v>
      </c>
      <c r="C55" s="296" t="s">
        <v>699</v>
      </c>
      <c r="D55" s="291" t="s">
        <v>496</v>
      </c>
      <c r="E55" s="289" t="s">
        <v>499</v>
      </c>
      <c r="F55" s="289">
        <v>10</v>
      </c>
      <c r="G55" s="884">
        <v>0</v>
      </c>
      <c r="H55" s="884">
        <f>G55*F55</f>
        <v>0</v>
      </c>
      <c r="I55" s="884"/>
      <c r="J55" s="884"/>
      <c r="K55" s="884"/>
      <c r="L55" s="884"/>
      <c r="M55" s="884">
        <f>H55</f>
        <v>0</v>
      </c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1"/>
    </row>
    <row r="56" spans="1:147" s="281" customFormat="1">
      <c r="A56" s="394"/>
      <c r="B56" s="291" t="s">
        <v>700</v>
      </c>
      <c r="C56" s="296" t="s">
        <v>701</v>
      </c>
      <c r="D56" s="291" t="s">
        <v>449</v>
      </c>
      <c r="E56" s="289" t="s">
        <v>499</v>
      </c>
      <c r="F56" s="289">
        <v>3</v>
      </c>
      <c r="G56" s="884">
        <v>0</v>
      </c>
      <c r="H56" s="884">
        <f>G56*F56</f>
        <v>0</v>
      </c>
      <c r="I56" s="884"/>
      <c r="J56" s="884"/>
      <c r="K56" s="884"/>
      <c r="L56" s="884"/>
      <c r="M56" s="884">
        <f>H56</f>
        <v>0</v>
      </c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1"/>
      <c r="DT56" s="301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1"/>
      <c r="EF56" s="301"/>
      <c r="EG56" s="301"/>
      <c r="EH56" s="301"/>
      <c r="EI56" s="301"/>
      <c r="EJ56" s="301"/>
      <c r="EK56" s="301"/>
      <c r="EL56" s="301"/>
      <c r="EM56" s="301"/>
      <c r="EN56" s="301"/>
      <c r="EO56" s="301"/>
      <c r="EP56" s="301"/>
      <c r="EQ56" s="301"/>
    </row>
    <row r="57" spans="1:147" s="281" customFormat="1">
      <c r="A57" s="394"/>
      <c r="B57" s="291" t="s">
        <v>702</v>
      </c>
      <c r="C57" s="339" t="s">
        <v>703</v>
      </c>
      <c r="D57" s="291" t="s">
        <v>72</v>
      </c>
      <c r="E57" s="289" t="s">
        <v>499</v>
      </c>
      <c r="F57" s="289">
        <v>3</v>
      </c>
      <c r="G57" s="884">
        <v>0</v>
      </c>
      <c r="H57" s="884">
        <f>G57*F57</f>
        <v>0</v>
      </c>
      <c r="I57" s="884"/>
      <c r="J57" s="884"/>
      <c r="K57" s="884"/>
      <c r="L57" s="884"/>
      <c r="M57" s="884">
        <f>H57</f>
        <v>0</v>
      </c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1"/>
      <c r="DB57" s="301"/>
      <c r="DC57" s="301"/>
      <c r="DD57" s="301"/>
      <c r="DE57" s="301"/>
      <c r="DF57" s="301"/>
      <c r="DG57" s="301"/>
      <c r="DH57" s="301"/>
      <c r="DI57" s="301"/>
      <c r="DJ57" s="301"/>
      <c r="DK57" s="301"/>
      <c r="DL57" s="301"/>
      <c r="DM57" s="301"/>
      <c r="DN57" s="301"/>
      <c r="DO57" s="301"/>
      <c r="DP57" s="301"/>
      <c r="DQ57" s="301"/>
      <c r="DR57" s="301"/>
      <c r="DS57" s="301"/>
      <c r="DT57" s="301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1"/>
      <c r="EJ57" s="301"/>
      <c r="EK57" s="301"/>
      <c r="EL57" s="301"/>
      <c r="EM57" s="301"/>
      <c r="EN57" s="301"/>
      <c r="EO57" s="301"/>
      <c r="EP57" s="301"/>
      <c r="EQ57" s="301"/>
    </row>
    <row r="58" spans="1:147" s="281" customFormat="1" ht="17.399999999999999">
      <c r="A58" s="394"/>
      <c r="B58" s="291" t="s">
        <v>704</v>
      </c>
      <c r="C58" s="531" t="s">
        <v>705</v>
      </c>
      <c r="D58" s="291" t="s">
        <v>496</v>
      </c>
      <c r="E58" s="289" t="s">
        <v>499</v>
      </c>
      <c r="F58" s="289">
        <v>10</v>
      </c>
      <c r="G58" s="884">
        <v>0</v>
      </c>
      <c r="H58" s="884">
        <f>G58*F58</f>
        <v>0</v>
      </c>
      <c r="I58" s="884"/>
      <c r="J58" s="884"/>
      <c r="K58" s="884"/>
      <c r="L58" s="884"/>
      <c r="M58" s="884">
        <f>H58</f>
        <v>0</v>
      </c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1"/>
      <c r="CX58" s="301"/>
      <c r="CY58" s="301"/>
      <c r="CZ58" s="301"/>
      <c r="DA58" s="301"/>
      <c r="DB58" s="301"/>
      <c r="DC58" s="301"/>
      <c r="DD58" s="301"/>
      <c r="DE58" s="301"/>
      <c r="DF58" s="301"/>
      <c r="DG58" s="301"/>
      <c r="DH58" s="301"/>
      <c r="DI58" s="301"/>
      <c r="DJ58" s="301"/>
      <c r="DK58" s="301"/>
      <c r="DL58" s="301"/>
      <c r="DM58" s="301"/>
      <c r="DN58" s="301"/>
      <c r="DO58" s="301"/>
      <c r="DP58" s="301"/>
      <c r="DQ58" s="301"/>
      <c r="DR58" s="301"/>
      <c r="DS58" s="301"/>
      <c r="DT58" s="301"/>
      <c r="DU58" s="301"/>
      <c r="DV58" s="301"/>
      <c r="DW58" s="301"/>
      <c r="DX58" s="301"/>
      <c r="DY58" s="301"/>
      <c r="DZ58" s="301"/>
      <c r="EA58" s="301"/>
      <c r="EB58" s="301"/>
      <c r="EC58" s="301"/>
      <c r="ED58" s="301"/>
      <c r="EE58" s="301"/>
      <c r="EF58" s="301"/>
      <c r="EG58" s="301"/>
      <c r="EH58" s="301"/>
      <c r="EI58" s="301"/>
      <c r="EJ58" s="301"/>
      <c r="EK58" s="301"/>
      <c r="EL58" s="301"/>
      <c r="EM58" s="301"/>
      <c r="EN58" s="301"/>
      <c r="EO58" s="301"/>
      <c r="EP58" s="301"/>
      <c r="EQ58" s="301"/>
    </row>
    <row r="59" spans="1:147" s="281" customFormat="1">
      <c r="A59" s="394"/>
      <c r="B59" s="331"/>
      <c r="C59" s="296" t="s">
        <v>458</v>
      </c>
      <c r="D59" s="291" t="s">
        <v>417</v>
      </c>
      <c r="E59" s="333">
        <f>19.3/100</f>
        <v>0.193</v>
      </c>
      <c r="F59" s="289">
        <f>E59*F52</f>
        <v>1.9300000000000002</v>
      </c>
      <c r="G59" s="895">
        <v>0</v>
      </c>
      <c r="H59" s="884">
        <f>G59*F59</f>
        <v>0</v>
      </c>
      <c r="I59" s="884"/>
      <c r="J59" s="884"/>
      <c r="K59" s="884"/>
      <c r="L59" s="884"/>
      <c r="M59" s="884">
        <f>H59+J59+L59</f>
        <v>0</v>
      </c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1"/>
      <c r="DT59" s="301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</row>
    <row r="60" spans="1:147" s="281" customFormat="1">
      <c r="A60" s="538"/>
      <c r="B60" s="538"/>
      <c r="C60" s="539" t="s">
        <v>2</v>
      </c>
      <c r="D60" s="979"/>
      <c r="E60" s="883"/>
      <c r="F60" s="883"/>
      <c r="G60" s="883"/>
      <c r="H60" s="883">
        <f>SUM(H12:H59)</f>
        <v>0</v>
      </c>
      <c r="I60" s="883"/>
      <c r="J60" s="883">
        <f>SUM(J12:J59)</f>
        <v>0</v>
      </c>
      <c r="K60" s="883"/>
      <c r="L60" s="883">
        <f>SUM(L12:L59)</f>
        <v>0</v>
      </c>
      <c r="M60" s="883">
        <f>SUM(M11:M59)/2</f>
        <v>0</v>
      </c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1"/>
      <c r="DB60" s="301"/>
      <c r="DC60" s="301"/>
      <c r="DD60" s="301"/>
      <c r="DE60" s="301"/>
      <c r="DF60" s="301"/>
      <c r="DG60" s="301"/>
      <c r="DH60" s="301"/>
      <c r="DI60" s="301"/>
      <c r="DJ60" s="301"/>
      <c r="DK60" s="301"/>
      <c r="DL60" s="301"/>
      <c r="DM60" s="301"/>
      <c r="DN60" s="301"/>
      <c r="DO60" s="301"/>
      <c r="DP60" s="301"/>
      <c r="DQ60" s="301"/>
      <c r="DR60" s="301"/>
      <c r="DS60" s="301"/>
      <c r="DT60" s="301"/>
      <c r="DU60" s="301"/>
      <c r="DV60" s="301"/>
      <c r="DW60" s="301"/>
      <c r="DX60" s="301"/>
      <c r="DY60" s="301"/>
      <c r="DZ60" s="301"/>
      <c r="EA60" s="301"/>
      <c r="EB60" s="301"/>
      <c r="EC60" s="301"/>
      <c r="ED60" s="301"/>
      <c r="EE60" s="301"/>
      <c r="EF60" s="301"/>
      <c r="EG60" s="301"/>
      <c r="EH60" s="301"/>
      <c r="EI60" s="301"/>
      <c r="EJ60" s="301"/>
      <c r="EK60" s="301"/>
      <c r="EL60" s="301"/>
      <c r="EM60" s="301"/>
      <c r="EN60" s="301"/>
      <c r="EO60" s="301"/>
      <c r="EP60" s="301"/>
      <c r="EQ60" s="301"/>
    </row>
    <row r="61" spans="1:147" s="281" customFormat="1">
      <c r="A61" s="541"/>
      <c r="B61" s="541"/>
      <c r="C61" s="296" t="s">
        <v>706</v>
      </c>
      <c r="D61" s="980">
        <v>0</v>
      </c>
      <c r="E61" s="884"/>
      <c r="F61" s="884"/>
      <c r="G61" s="884"/>
      <c r="H61" s="884"/>
      <c r="I61" s="884"/>
      <c r="J61" s="884"/>
      <c r="K61" s="884"/>
      <c r="L61" s="884"/>
      <c r="M61" s="884">
        <f>H60*D61</f>
        <v>0</v>
      </c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301"/>
      <c r="DE61" s="301"/>
      <c r="DF61" s="301"/>
      <c r="DG61" s="301"/>
      <c r="DH61" s="301"/>
      <c r="DI61" s="301"/>
      <c r="DJ61" s="301"/>
      <c r="DK61" s="301"/>
      <c r="DL61" s="301"/>
      <c r="DM61" s="301"/>
      <c r="DN61" s="301"/>
      <c r="DO61" s="301"/>
      <c r="DP61" s="301"/>
      <c r="DQ61" s="301"/>
      <c r="DR61" s="301"/>
      <c r="DS61" s="301"/>
      <c r="DT61" s="301"/>
      <c r="DU61" s="301"/>
      <c r="DV61" s="301"/>
      <c r="DW61" s="301"/>
      <c r="DX61" s="301"/>
      <c r="DY61" s="301"/>
      <c r="DZ61" s="301"/>
      <c r="EA61" s="301"/>
      <c r="EB61" s="301"/>
      <c r="EC61" s="301"/>
      <c r="ED61" s="301"/>
      <c r="EE61" s="301"/>
      <c r="EF61" s="301"/>
      <c r="EG61" s="301"/>
      <c r="EH61" s="301"/>
      <c r="EI61" s="301"/>
      <c r="EJ61" s="301"/>
      <c r="EK61" s="301"/>
      <c r="EL61" s="301"/>
      <c r="EM61" s="301"/>
      <c r="EN61" s="301"/>
      <c r="EO61" s="301"/>
      <c r="EP61" s="301"/>
      <c r="EQ61" s="301"/>
    </row>
    <row r="62" spans="1:147" s="281" customFormat="1">
      <c r="A62" s="538"/>
      <c r="B62" s="538"/>
      <c r="C62" s="542" t="s">
        <v>2</v>
      </c>
      <c r="D62" s="980"/>
      <c r="E62" s="883"/>
      <c r="F62" s="883"/>
      <c r="G62" s="883"/>
      <c r="H62" s="883"/>
      <c r="I62" s="883"/>
      <c r="J62" s="883"/>
      <c r="K62" s="883"/>
      <c r="L62" s="883"/>
      <c r="M62" s="883">
        <f>SUM(M60:M61)</f>
        <v>0</v>
      </c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1"/>
      <c r="CL62" s="301"/>
      <c r="CM62" s="301"/>
      <c r="CN62" s="301"/>
      <c r="CO62" s="301"/>
      <c r="CP62" s="301"/>
      <c r="CQ62" s="301"/>
      <c r="CR62" s="301"/>
      <c r="CS62" s="301"/>
      <c r="CT62" s="301"/>
      <c r="CU62" s="301"/>
      <c r="CV62" s="301"/>
      <c r="CW62" s="301"/>
      <c r="CX62" s="301"/>
      <c r="CY62" s="301"/>
      <c r="CZ62" s="301"/>
      <c r="DA62" s="301"/>
      <c r="DB62" s="301"/>
      <c r="DC62" s="301"/>
      <c r="DD62" s="301"/>
      <c r="DE62" s="301"/>
      <c r="DF62" s="301"/>
      <c r="DG62" s="301"/>
      <c r="DH62" s="301"/>
      <c r="DI62" s="301"/>
      <c r="DJ62" s="301"/>
      <c r="DK62" s="301"/>
      <c r="DL62" s="301"/>
      <c r="DM62" s="301"/>
      <c r="DN62" s="301"/>
      <c r="DO62" s="301"/>
      <c r="DP62" s="301"/>
      <c r="DQ62" s="301"/>
      <c r="DR62" s="301"/>
      <c r="DS62" s="301"/>
      <c r="DT62" s="301"/>
      <c r="DU62" s="301"/>
      <c r="DV62" s="301"/>
      <c r="DW62" s="301"/>
      <c r="DX62" s="301"/>
      <c r="DY62" s="301"/>
      <c r="DZ62" s="301"/>
      <c r="EA62" s="301"/>
      <c r="EB62" s="301"/>
      <c r="EC62" s="301"/>
      <c r="ED62" s="301"/>
      <c r="EE62" s="301"/>
      <c r="EF62" s="301"/>
      <c r="EG62" s="301"/>
      <c r="EH62" s="301"/>
      <c r="EI62" s="301"/>
      <c r="EJ62" s="301"/>
      <c r="EK62" s="301"/>
      <c r="EL62" s="301"/>
      <c r="EM62" s="301"/>
      <c r="EN62" s="301"/>
      <c r="EO62" s="301"/>
      <c r="EP62" s="301"/>
      <c r="EQ62" s="301"/>
    </row>
    <row r="63" spans="1:147" s="281" customFormat="1">
      <c r="A63" s="543"/>
      <c r="B63" s="543"/>
      <c r="C63" s="544" t="s">
        <v>707</v>
      </c>
      <c r="D63" s="980">
        <v>0</v>
      </c>
      <c r="E63" s="884"/>
      <c r="F63" s="884"/>
      <c r="G63" s="884"/>
      <c r="H63" s="884"/>
      <c r="I63" s="884"/>
      <c r="J63" s="884"/>
      <c r="K63" s="884"/>
      <c r="L63" s="884"/>
      <c r="M63" s="884">
        <f>J60*D63</f>
        <v>0</v>
      </c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301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1"/>
      <c r="DB63" s="301"/>
      <c r="DC63" s="301"/>
      <c r="DD63" s="301"/>
      <c r="DE63" s="301"/>
      <c r="DF63" s="301"/>
      <c r="DG63" s="301"/>
      <c r="DH63" s="301"/>
      <c r="DI63" s="301"/>
      <c r="DJ63" s="301"/>
      <c r="DK63" s="301"/>
      <c r="DL63" s="301"/>
      <c r="DM63" s="301"/>
      <c r="DN63" s="301"/>
      <c r="DO63" s="301"/>
      <c r="DP63" s="301"/>
      <c r="DQ63" s="301"/>
      <c r="DR63" s="301"/>
      <c r="DS63" s="301"/>
      <c r="DT63" s="301"/>
      <c r="DU63" s="301"/>
      <c r="DV63" s="301"/>
      <c r="DW63" s="301"/>
      <c r="DX63" s="301"/>
      <c r="DY63" s="301"/>
      <c r="DZ63" s="301"/>
      <c r="EA63" s="301"/>
      <c r="EB63" s="301"/>
      <c r="EC63" s="301"/>
      <c r="ED63" s="301"/>
      <c r="EE63" s="301"/>
      <c r="EF63" s="301"/>
      <c r="EG63" s="301"/>
      <c r="EH63" s="301"/>
      <c r="EI63" s="301"/>
      <c r="EJ63" s="301"/>
      <c r="EK63" s="301"/>
      <c r="EL63" s="301"/>
      <c r="EM63" s="301"/>
      <c r="EN63" s="301"/>
      <c r="EO63" s="301"/>
      <c r="EP63" s="301"/>
      <c r="EQ63" s="301"/>
    </row>
    <row r="64" spans="1:147" s="281" customFormat="1">
      <c r="A64" s="540"/>
      <c r="B64" s="540"/>
      <c r="C64" s="542" t="s">
        <v>2</v>
      </c>
      <c r="D64" s="980"/>
      <c r="E64" s="883"/>
      <c r="F64" s="883"/>
      <c r="G64" s="883"/>
      <c r="H64" s="883"/>
      <c r="I64" s="883"/>
      <c r="J64" s="883"/>
      <c r="K64" s="883"/>
      <c r="L64" s="883"/>
      <c r="M64" s="883">
        <f>SUM(M62:M63)</f>
        <v>0</v>
      </c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1"/>
      <c r="CL64" s="301"/>
      <c r="CM64" s="301"/>
      <c r="CN64" s="301"/>
      <c r="CO64" s="301"/>
      <c r="CP64" s="301"/>
      <c r="CQ64" s="301"/>
      <c r="CR64" s="301"/>
      <c r="CS64" s="301"/>
      <c r="CT64" s="301"/>
      <c r="CU64" s="301"/>
      <c r="CV64" s="301"/>
      <c r="CW64" s="301"/>
      <c r="CX64" s="301"/>
      <c r="CY64" s="301"/>
      <c r="CZ64" s="301"/>
      <c r="DA64" s="301"/>
      <c r="DB64" s="301"/>
      <c r="DC64" s="301"/>
      <c r="DD64" s="301"/>
      <c r="DE64" s="301"/>
      <c r="DF64" s="301"/>
      <c r="DG64" s="301"/>
      <c r="DH64" s="301"/>
      <c r="DI64" s="301"/>
      <c r="DJ64" s="301"/>
      <c r="DK64" s="301"/>
      <c r="DL64" s="301"/>
      <c r="DM64" s="301"/>
      <c r="DN64" s="301"/>
      <c r="DO64" s="301"/>
      <c r="DP64" s="301"/>
      <c r="DQ64" s="301"/>
      <c r="DR64" s="301"/>
      <c r="DS64" s="301"/>
      <c r="DT64" s="301"/>
      <c r="DU64" s="301"/>
      <c r="DV64" s="301"/>
      <c r="DW64" s="301"/>
      <c r="DX64" s="301"/>
      <c r="DY64" s="301"/>
      <c r="DZ64" s="301"/>
      <c r="EA64" s="301"/>
      <c r="EB64" s="301"/>
      <c r="EC64" s="301"/>
      <c r="ED64" s="301"/>
      <c r="EE64" s="301"/>
      <c r="EF64" s="301"/>
      <c r="EG64" s="301"/>
      <c r="EH64" s="301"/>
      <c r="EI64" s="301"/>
      <c r="EJ64" s="301"/>
      <c r="EK64" s="301"/>
      <c r="EL64" s="301"/>
      <c r="EM64" s="301"/>
      <c r="EN64" s="301"/>
      <c r="EO64" s="301"/>
      <c r="EP64" s="301"/>
      <c r="EQ64" s="301"/>
    </row>
    <row r="65" spans="1:147" s="281" customFormat="1">
      <c r="A65" s="541"/>
      <c r="B65" s="541"/>
      <c r="C65" s="545" t="s">
        <v>659</v>
      </c>
      <c r="D65" s="980">
        <v>0</v>
      </c>
      <c r="E65" s="884"/>
      <c r="F65" s="884"/>
      <c r="G65" s="884"/>
      <c r="H65" s="884"/>
      <c r="I65" s="884"/>
      <c r="J65" s="884"/>
      <c r="K65" s="884"/>
      <c r="L65" s="884"/>
      <c r="M65" s="884">
        <f>M64*D65</f>
        <v>0</v>
      </c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1"/>
      <c r="BG65" s="301"/>
      <c r="BH65" s="301"/>
      <c r="BI65" s="301"/>
      <c r="BJ65" s="301"/>
      <c r="BK65" s="301"/>
      <c r="BL65" s="301"/>
      <c r="BM65" s="301"/>
      <c r="BN65" s="301"/>
      <c r="BO65" s="301"/>
      <c r="BP65" s="301"/>
      <c r="BQ65" s="301"/>
      <c r="BR65" s="301"/>
      <c r="BS65" s="301"/>
      <c r="BT65" s="301"/>
      <c r="BU65" s="301"/>
      <c r="BV65" s="301"/>
      <c r="BW65" s="301"/>
      <c r="BX65" s="301"/>
      <c r="BY65" s="301"/>
      <c r="BZ65" s="301"/>
      <c r="CA65" s="301"/>
      <c r="CB65" s="301"/>
      <c r="CC65" s="301"/>
      <c r="CD65" s="301"/>
      <c r="CE65" s="301"/>
      <c r="CF65" s="301"/>
      <c r="CG65" s="301"/>
      <c r="CH65" s="301"/>
      <c r="CI65" s="301"/>
      <c r="CJ65" s="301"/>
      <c r="CK65" s="301"/>
      <c r="CL65" s="301"/>
      <c r="CM65" s="301"/>
      <c r="CN65" s="301"/>
      <c r="CO65" s="301"/>
      <c r="CP65" s="301"/>
      <c r="CQ65" s="301"/>
      <c r="CR65" s="301"/>
      <c r="CS65" s="301"/>
      <c r="CT65" s="301"/>
      <c r="CU65" s="301"/>
      <c r="CV65" s="301"/>
      <c r="CW65" s="301"/>
      <c r="CX65" s="301"/>
      <c r="CY65" s="301"/>
      <c r="CZ65" s="301"/>
      <c r="DA65" s="301"/>
      <c r="DB65" s="301"/>
      <c r="DC65" s="301"/>
      <c r="DD65" s="301"/>
      <c r="DE65" s="301"/>
      <c r="DF65" s="301"/>
      <c r="DG65" s="301"/>
      <c r="DH65" s="301"/>
      <c r="DI65" s="301"/>
      <c r="DJ65" s="301"/>
      <c r="DK65" s="301"/>
      <c r="DL65" s="301"/>
      <c r="DM65" s="301"/>
      <c r="DN65" s="301"/>
      <c r="DO65" s="301"/>
      <c r="DP65" s="301"/>
      <c r="DQ65" s="301"/>
      <c r="DR65" s="301"/>
      <c r="DS65" s="301"/>
      <c r="DT65" s="301"/>
      <c r="DU65" s="301"/>
      <c r="DV65" s="301"/>
      <c r="DW65" s="301"/>
      <c r="DX65" s="301"/>
      <c r="DY65" s="301"/>
      <c r="DZ65" s="301"/>
      <c r="EA65" s="301"/>
      <c r="EB65" s="301"/>
      <c r="EC65" s="301"/>
      <c r="ED65" s="301"/>
      <c r="EE65" s="301"/>
      <c r="EF65" s="301"/>
      <c r="EG65" s="301"/>
      <c r="EH65" s="301"/>
      <c r="EI65" s="301"/>
      <c r="EJ65" s="301"/>
      <c r="EK65" s="301"/>
      <c r="EL65" s="301"/>
      <c r="EM65" s="301"/>
      <c r="EN65" s="301"/>
      <c r="EO65" s="301"/>
      <c r="EP65" s="301"/>
      <c r="EQ65" s="301"/>
    </row>
    <row r="66" spans="1:147" s="281" customFormat="1">
      <c r="A66" s="538"/>
      <c r="B66" s="538"/>
      <c r="C66" s="539" t="s">
        <v>708</v>
      </c>
      <c r="D66" s="979"/>
      <c r="E66" s="883"/>
      <c r="F66" s="883"/>
      <c r="G66" s="883"/>
      <c r="H66" s="883"/>
      <c r="I66" s="883"/>
      <c r="J66" s="883"/>
      <c r="K66" s="883"/>
      <c r="L66" s="883"/>
      <c r="M66" s="883">
        <f>SUM(M64:M65)</f>
        <v>0</v>
      </c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1"/>
      <c r="DE66" s="301"/>
      <c r="DF66" s="301"/>
      <c r="DG66" s="301"/>
      <c r="DH66" s="301"/>
      <c r="DI66" s="301"/>
      <c r="DJ66" s="301"/>
      <c r="DK66" s="301"/>
      <c r="DL66" s="301"/>
      <c r="DM66" s="301"/>
      <c r="DN66" s="301"/>
      <c r="DO66" s="301"/>
      <c r="DP66" s="301"/>
      <c r="DQ66" s="301"/>
      <c r="DR66" s="301"/>
      <c r="DS66" s="301"/>
      <c r="DT66" s="301"/>
      <c r="DU66" s="301"/>
      <c r="DV66" s="301"/>
      <c r="DW66" s="301"/>
      <c r="DX66" s="301"/>
      <c r="DY66" s="301"/>
      <c r="DZ66" s="301"/>
      <c r="EA66" s="301"/>
      <c r="EB66" s="301"/>
      <c r="EC66" s="301"/>
      <c r="ED66" s="301"/>
      <c r="EE66" s="301"/>
      <c r="EF66" s="301"/>
      <c r="EG66" s="301"/>
      <c r="EH66" s="301"/>
      <c r="EI66" s="301"/>
      <c r="EJ66" s="301"/>
      <c r="EK66" s="301"/>
      <c r="EL66" s="301"/>
      <c r="EM66" s="301"/>
      <c r="EN66" s="301"/>
      <c r="EO66" s="301"/>
      <c r="EP66" s="301"/>
      <c r="EQ66" s="301"/>
    </row>
    <row r="67" spans="1:147">
      <c r="B67" s="988"/>
      <c r="C67" s="988"/>
      <c r="D67" s="880"/>
      <c r="E67" s="880"/>
      <c r="F67" s="880"/>
      <c r="G67" s="880"/>
      <c r="H67" s="881"/>
      <c r="I67" s="880"/>
      <c r="J67" s="881"/>
      <c r="K67" s="880"/>
      <c r="L67" s="881"/>
      <c r="M67" s="881"/>
    </row>
    <row r="68" spans="1:147">
      <c r="B68" s="988"/>
      <c r="C68" s="966"/>
      <c r="D68" s="966"/>
      <c r="E68" s="966"/>
      <c r="F68" s="880"/>
      <c r="G68" s="880"/>
      <c r="H68" s="881"/>
      <c r="I68" s="880"/>
      <c r="J68" s="881"/>
      <c r="K68" s="880"/>
      <c r="L68" s="881"/>
      <c r="M68" s="881"/>
    </row>
    <row r="69" spans="1:147" s="306" customFormat="1">
      <c r="B69" s="968"/>
      <c r="C69" s="989"/>
      <c r="D69" s="969"/>
      <c r="E69" s="969"/>
      <c r="F69" s="966"/>
      <c r="G69" s="967"/>
      <c r="H69" s="967"/>
      <c r="I69" s="967"/>
      <c r="J69" s="968"/>
      <c r="K69" s="968"/>
      <c r="L69" s="968"/>
      <c r="M69" s="968"/>
    </row>
    <row r="70" spans="1:147" s="306" customFormat="1">
      <c r="B70" s="968"/>
      <c r="C70" s="989"/>
      <c r="D70" s="963"/>
      <c r="E70" s="963"/>
      <c r="F70" s="981"/>
      <c r="G70" s="981"/>
      <c r="H70" s="981"/>
      <c r="I70" s="981"/>
      <c r="J70" s="968"/>
      <c r="K70" s="968"/>
      <c r="L70" s="968"/>
      <c r="M70" s="968"/>
    </row>
    <row r="72" spans="1:147" s="290" customFormat="1">
      <c r="A72" s="546"/>
      <c r="B72" s="547"/>
      <c r="C72" s="547"/>
      <c r="D72" s="548"/>
      <c r="E72" s="549"/>
      <c r="F72" s="549"/>
      <c r="G72" s="458"/>
      <c r="H72" s="550"/>
      <c r="I72" s="458"/>
      <c r="J72" s="550"/>
      <c r="K72" s="458"/>
      <c r="L72" s="550"/>
      <c r="M72" s="550"/>
    </row>
    <row r="73" spans="1:147" s="290" customFormat="1">
      <c r="A73" s="546"/>
      <c r="B73" s="547"/>
      <c r="C73" s="547"/>
      <c r="D73" s="548"/>
      <c r="E73" s="549"/>
      <c r="F73" s="549"/>
      <c r="G73" s="458"/>
      <c r="H73" s="550"/>
      <c r="I73" s="458"/>
      <c r="J73" s="550"/>
      <c r="K73" s="458"/>
      <c r="L73" s="550"/>
      <c r="M73" s="550"/>
    </row>
  </sheetData>
  <sheetProtection algorithmName="SHA-512" hashValue="8H7Il5J6JuPq0S75SpT6/l4p6kHL3Y/MxRqnMk+pir8EZ2TG8u+Kcj9uuce+qZa4z1f2LTBPSR7IvhBZ6pavEg==" saltValue="6IsjYvlFZQ5cZw6GlHFx/Q==" spinCount="100000" sheet="1" objects="1" scenarios="1"/>
  <mergeCells count="16">
    <mergeCell ref="D70:E70"/>
    <mergeCell ref="F70:I70"/>
    <mergeCell ref="A1:M1"/>
    <mergeCell ref="A2:C2"/>
    <mergeCell ref="A3:M3"/>
    <mergeCell ref="A6:A7"/>
    <mergeCell ref="B6:B7"/>
    <mergeCell ref="C6:C7"/>
    <mergeCell ref="D6:D7"/>
    <mergeCell ref="E6:E7"/>
    <mergeCell ref="F6:F7"/>
    <mergeCell ref="B4:G4"/>
    <mergeCell ref="G6:H6"/>
    <mergeCell ref="I6:J6"/>
    <mergeCell ref="K6:L6"/>
    <mergeCell ref="D69:E6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1" orientation="landscape" r:id="rId1"/>
  <rowBreaks count="1" manualBreakCount="1">
    <brk id="44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2"/>
  <sheetViews>
    <sheetView tabSelected="1" view="pageBreakPreview" topLeftCell="C47" zoomScaleNormal="100" zoomScaleSheetLayoutView="100" workbookViewId="0">
      <selection activeCell="M62" sqref="G10:M62"/>
    </sheetView>
  </sheetViews>
  <sheetFormatPr defaultColWidth="7" defaultRowHeight="13.2"/>
  <cols>
    <col min="1" max="1" width="3.88671875" style="591" customWidth="1"/>
    <col min="2" max="2" width="9.5546875" style="591" customWidth="1"/>
    <col min="3" max="3" width="67.6640625" style="586" customWidth="1"/>
    <col min="4" max="4" width="12.44140625" style="593" customWidth="1"/>
    <col min="5" max="5" width="9.109375" style="593" customWidth="1"/>
    <col min="6" max="7" width="9.6640625" style="593" customWidth="1"/>
    <col min="8" max="8" width="9.6640625" style="594" customWidth="1"/>
    <col min="9" max="9" width="9.6640625" style="593" customWidth="1"/>
    <col min="10" max="10" width="9.6640625" style="594" customWidth="1"/>
    <col min="11" max="11" width="9.6640625" style="593" customWidth="1"/>
    <col min="12" max="12" width="9.6640625" style="594" customWidth="1"/>
    <col min="13" max="13" width="10.44140625" style="594" customWidth="1"/>
    <col min="14" max="129" width="9.109375" style="580" customWidth="1"/>
    <col min="130" max="130" width="2.5546875" style="580" customWidth="1"/>
    <col min="131" max="131" width="9.109375" style="580" customWidth="1"/>
    <col min="132" max="132" width="47.88671875" style="580" customWidth="1"/>
    <col min="133" max="133" width="6.6640625" style="580" customWidth="1"/>
    <col min="134" max="134" width="7.44140625" style="580" customWidth="1"/>
    <col min="135" max="135" width="7" style="580"/>
    <col min="136" max="136" width="8.5546875" style="580" customWidth="1"/>
    <col min="137" max="137" width="12" style="580" customWidth="1"/>
    <col min="138" max="138" width="4.6640625" style="580" customWidth="1"/>
    <col min="139" max="139" width="9.109375" style="580" customWidth="1"/>
    <col min="140" max="140" width="11.6640625" style="580" customWidth="1"/>
    <col min="141" max="252" width="7" style="580"/>
    <col min="253" max="253" width="3.88671875" style="580" customWidth="1"/>
    <col min="254" max="254" width="14" style="580" customWidth="1"/>
    <col min="255" max="255" width="66.5546875" style="580" customWidth="1"/>
    <col min="256" max="256" width="9.44140625" style="580" customWidth="1"/>
    <col min="257" max="257" width="9.109375" style="580" customWidth="1"/>
    <col min="258" max="258" width="11.109375" style="580" bestFit="1" customWidth="1"/>
    <col min="259" max="259" width="9.109375" style="580" customWidth="1"/>
    <col min="260" max="260" width="10.44140625" style="580" customWidth="1"/>
    <col min="261" max="261" width="9.109375" style="580" customWidth="1"/>
    <col min="262" max="262" width="10.6640625" style="580" customWidth="1"/>
    <col min="263" max="263" width="9.109375" style="580" customWidth="1"/>
    <col min="264" max="264" width="10.109375" style="580" customWidth="1"/>
    <col min="265" max="265" width="11.109375" style="580" customWidth="1"/>
    <col min="266" max="385" width="9.109375" style="580" customWidth="1"/>
    <col min="386" max="386" width="2.5546875" style="580" customWidth="1"/>
    <col min="387" max="387" width="9.109375" style="580" customWidth="1"/>
    <col min="388" max="388" width="47.88671875" style="580" customWidth="1"/>
    <col min="389" max="389" width="6.6640625" style="580" customWidth="1"/>
    <col min="390" max="390" width="7.44140625" style="580" customWidth="1"/>
    <col min="391" max="391" width="7" style="580"/>
    <col min="392" max="392" width="8.5546875" style="580" customWidth="1"/>
    <col min="393" max="393" width="12" style="580" customWidth="1"/>
    <col min="394" max="394" width="4.6640625" style="580" customWidth="1"/>
    <col min="395" max="395" width="9.109375" style="580" customWidth="1"/>
    <col min="396" max="396" width="11.6640625" style="580" customWidth="1"/>
    <col min="397" max="508" width="7" style="580"/>
    <col min="509" max="509" width="3.88671875" style="580" customWidth="1"/>
    <col min="510" max="510" width="14" style="580" customWidth="1"/>
    <col min="511" max="511" width="66.5546875" style="580" customWidth="1"/>
    <col min="512" max="512" width="9.44140625" style="580" customWidth="1"/>
    <col min="513" max="513" width="9.109375" style="580" customWidth="1"/>
    <col min="514" max="514" width="11.109375" style="580" bestFit="1" customWidth="1"/>
    <col min="515" max="515" width="9.109375" style="580" customWidth="1"/>
    <col min="516" max="516" width="10.44140625" style="580" customWidth="1"/>
    <col min="517" max="517" width="9.109375" style="580" customWidth="1"/>
    <col min="518" max="518" width="10.6640625" style="580" customWidth="1"/>
    <col min="519" max="519" width="9.109375" style="580" customWidth="1"/>
    <col min="520" max="520" width="10.109375" style="580" customWidth="1"/>
    <col min="521" max="521" width="11.109375" style="580" customWidth="1"/>
    <col min="522" max="641" width="9.109375" style="580" customWidth="1"/>
    <col min="642" max="642" width="2.5546875" style="580" customWidth="1"/>
    <col min="643" max="643" width="9.109375" style="580" customWidth="1"/>
    <col min="644" max="644" width="47.88671875" style="580" customWidth="1"/>
    <col min="645" max="645" width="6.6640625" style="580" customWidth="1"/>
    <col min="646" max="646" width="7.44140625" style="580" customWidth="1"/>
    <col min="647" max="647" width="7" style="580"/>
    <col min="648" max="648" width="8.5546875" style="580" customWidth="1"/>
    <col min="649" max="649" width="12" style="580" customWidth="1"/>
    <col min="650" max="650" width="4.6640625" style="580" customWidth="1"/>
    <col min="651" max="651" width="9.109375" style="580" customWidth="1"/>
    <col min="652" max="652" width="11.6640625" style="580" customWidth="1"/>
    <col min="653" max="764" width="7" style="580"/>
    <col min="765" max="765" width="3.88671875" style="580" customWidth="1"/>
    <col min="766" max="766" width="14" style="580" customWidth="1"/>
    <col min="767" max="767" width="66.5546875" style="580" customWidth="1"/>
    <col min="768" max="768" width="9.44140625" style="580" customWidth="1"/>
    <col min="769" max="769" width="9.109375" style="580" customWidth="1"/>
    <col min="770" max="770" width="11.109375" style="580" bestFit="1" customWidth="1"/>
    <col min="771" max="771" width="9.109375" style="580" customWidth="1"/>
    <col min="772" max="772" width="10.44140625" style="580" customWidth="1"/>
    <col min="773" max="773" width="9.109375" style="580" customWidth="1"/>
    <col min="774" max="774" width="10.6640625" style="580" customWidth="1"/>
    <col min="775" max="775" width="9.109375" style="580" customWidth="1"/>
    <col min="776" max="776" width="10.109375" style="580" customWidth="1"/>
    <col min="777" max="777" width="11.109375" style="580" customWidth="1"/>
    <col min="778" max="897" width="9.109375" style="580" customWidth="1"/>
    <col min="898" max="898" width="2.5546875" style="580" customWidth="1"/>
    <col min="899" max="899" width="9.109375" style="580" customWidth="1"/>
    <col min="900" max="900" width="47.88671875" style="580" customWidth="1"/>
    <col min="901" max="901" width="6.6640625" style="580" customWidth="1"/>
    <col min="902" max="902" width="7.44140625" style="580" customWidth="1"/>
    <col min="903" max="903" width="7" style="580"/>
    <col min="904" max="904" width="8.5546875" style="580" customWidth="1"/>
    <col min="905" max="905" width="12" style="580" customWidth="1"/>
    <col min="906" max="906" width="4.6640625" style="580" customWidth="1"/>
    <col min="907" max="907" width="9.109375" style="580" customWidth="1"/>
    <col min="908" max="908" width="11.6640625" style="580" customWidth="1"/>
    <col min="909" max="1020" width="7" style="580"/>
    <col min="1021" max="1021" width="3.88671875" style="580" customWidth="1"/>
    <col min="1022" max="1022" width="14" style="580" customWidth="1"/>
    <col min="1023" max="1023" width="66.5546875" style="580" customWidth="1"/>
    <col min="1024" max="1024" width="9.44140625" style="580" customWidth="1"/>
    <col min="1025" max="1025" width="9.109375" style="580" customWidth="1"/>
    <col min="1026" max="1026" width="11.109375" style="580" bestFit="1" customWidth="1"/>
    <col min="1027" max="1027" width="9.109375" style="580" customWidth="1"/>
    <col min="1028" max="1028" width="10.44140625" style="580" customWidth="1"/>
    <col min="1029" max="1029" width="9.109375" style="580" customWidth="1"/>
    <col min="1030" max="1030" width="10.6640625" style="580" customWidth="1"/>
    <col min="1031" max="1031" width="9.109375" style="580" customWidth="1"/>
    <col min="1032" max="1032" width="10.109375" style="580" customWidth="1"/>
    <col min="1033" max="1033" width="11.109375" style="580" customWidth="1"/>
    <col min="1034" max="1153" width="9.109375" style="580" customWidth="1"/>
    <col min="1154" max="1154" width="2.5546875" style="580" customWidth="1"/>
    <col min="1155" max="1155" width="9.109375" style="580" customWidth="1"/>
    <col min="1156" max="1156" width="47.88671875" style="580" customWidth="1"/>
    <col min="1157" max="1157" width="6.6640625" style="580" customWidth="1"/>
    <col min="1158" max="1158" width="7.44140625" style="580" customWidth="1"/>
    <col min="1159" max="1159" width="7" style="580"/>
    <col min="1160" max="1160" width="8.5546875" style="580" customWidth="1"/>
    <col min="1161" max="1161" width="12" style="580" customWidth="1"/>
    <col min="1162" max="1162" width="4.6640625" style="580" customWidth="1"/>
    <col min="1163" max="1163" width="9.109375" style="580" customWidth="1"/>
    <col min="1164" max="1164" width="11.6640625" style="580" customWidth="1"/>
    <col min="1165" max="1276" width="7" style="580"/>
    <col min="1277" max="1277" width="3.88671875" style="580" customWidth="1"/>
    <col min="1278" max="1278" width="14" style="580" customWidth="1"/>
    <col min="1279" max="1279" width="66.5546875" style="580" customWidth="1"/>
    <col min="1280" max="1280" width="9.44140625" style="580" customWidth="1"/>
    <col min="1281" max="1281" width="9.109375" style="580" customWidth="1"/>
    <col min="1282" max="1282" width="11.109375" style="580" bestFit="1" customWidth="1"/>
    <col min="1283" max="1283" width="9.109375" style="580" customWidth="1"/>
    <col min="1284" max="1284" width="10.44140625" style="580" customWidth="1"/>
    <col min="1285" max="1285" width="9.109375" style="580" customWidth="1"/>
    <col min="1286" max="1286" width="10.6640625" style="580" customWidth="1"/>
    <col min="1287" max="1287" width="9.109375" style="580" customWidth="1"/>
    <col min="1288" max="1288" width="10.109375" style="580" customWidth="1"/>
    <col min="1289" max="1289" width="11.109375" style="580" customWidth="1"/>
    <col min="1290" max="1409" width="9.109375" style="580" customWidth="1"/>
    <col min="1410" max="1410" width="2.5546875" style="580" customWidth="1"/>
    <col min="1411" max="1411" width="9.109375" style="580" customWidth="1"/>
    <col min="1412" max="1412" width="47.88671875" style="580" customWidth="1"/>
    <col min="1413" max="1413" width="6.6640625" style="580" customWidth="1"/>
    <col min="1414" max="1414" width="7.44140625" style="580" customWidth="1"/>
    <col min="1415" max="1415" width="7" style="580"/>
    <col min="1416" max="1416" width="8.5546875" style="580" customWidth="1"/>
    <col min="1417" max="1417" width="12" style="580" customWidth="1"/>
    <col min="1418" max="1418" width="4.6640625" style="580" customWidth="1"/>
    <col min="1419" max="1419" width="9.109375" style="580" customWidth="1"/>
    <col min="1420" max="1420" width="11.6640625" style="580" customWidth="1"/>
    <col min="1421" max="1532" width="7" style="580"/>
    <col min="1533" max="1533" width="3.88671875" style="580" customWidth="1"/>
    <col min="1534" max="1534" width="14" style="580" customWidth="1"/>
    <col min="1535" max="1535" width="66.5546875" style="580" customWidth="1"/>
    <col min="1536" max="1536" width="9.44140625" style="580" customWidth="1"/>
    <col min="1537" max="1537" width="9.109375" style="580" customWidth="1"/>
    <col min="1538" max="1538" width="11.109375" style="580" bestFit="1" customWidth="1"/>
    <col min="1539" max="1539" width="9.109375" style="580" customWidth="1"/>
    <col min="1540" max="1540" width="10.44140625" style="580" customWidth="1"/>
    <col min="1541" max="1541" width="9.109375" style="580" customWidth="1"/>
    <col min="1542" max="1542" width="10.6640625" style="580" customWidth="1"/>
    <col min="1543" max="1543" width="9.109375" style="580" customWidth="1"/>
    <col min="1544" max="1544" width="10.109375" style="580" customWidth="1"/>
    <col min="1545" max="1545" width="11.109375" style="580" customWidth="1"/>
    <col min="1546" max="1665" width="9.109375" style="580" customWidth="1"/>
    <col min="1666" max="1666" width="2.5546875" style="580" customWidth="1"/>
    <col min="1667" max="1667" width="9.109375" style="580" customWidth="1"/>
    <col min="1668" max="1668" width="47.88671875" style="580" customWidth="1"/>
    <col min="1669" max="1669" width="6.6640625" style="580" customWidth="1"/>
    <col min="1670" max="1670" width="7.44140625" style="580" customWidth="1"/>
    <col min="1671" max="1671" width="7" style="580"/>
    <col min="1672" max="1672" width="8.5546875" style="580" customWidth="1"/>
    <col min="1673" max="1673" width="12" style="580" customWidth="1"/>
    <col min="1674" max="1674" width="4.6640625" style="580" customWidth="1"/>
    <col min="1675" max="1675" width="9.109375" style="580" customWidth="1"/>
    <col min="1676" max="1676" width="11.6640625" style="580" customWidth="1"/>
    <col min="1677" max="1788" width="7" style="580"/>
    <col min="1789" max="1789" width="3.88671875" style="580" customWidth="1"/>
    <col min="1790" max="1790" width="14" style="580" customWidth="1"/>
    <col min="1791" max="1791" width="66.5546875" style="580" customWidth="1"/>
    <col min="1792" max="1792" width="9.44140625" style="580" customWidth="1"/>
    <col min="1793" max="1793" width="9.109375" style="580" customWidth="1"/>
    <col min="1794" max="1794" width="11.109375" style="580" bestFit="1" customWidth="1"/>
    <col min="1795" max="1795" width="9.109375" style="580" customWidth="1"/>
    <col min="1796" max="1796" width="10.44140625" style="580" customWidth="1"/>
    <col min="1797" max="1797" width="9.109375" style="580" customWidth="1"/>
    <col min="1798" max="1798" width="10.6640625" style="580" customWidth="1"/>
    <col min="1799" max="1799" width="9.109375" style="580" customWidth="1"/>
    <col min="1800" max="1800" width="10.109375" style="580" customWidth="1"/>
    <col min="1801" max="1801" width="11.109375" style="580" customWidth="1"/>
    <col min="1802" max="1921" width="9.109375" style="580" customWidth="1"/>
    <col min="1922" max="1922" width="2.5546875" style="580" customWidth="1"/>
    <col min="1923" max="1923" width="9.109375" style="580" customWidth="1"/>
    <col min="1924" max="1924" width="47.88671875" style="580" customWidth="1"/>
    <col min="1925" max="1925" width="6.6640625" style="580" customWidth="1"/>
    <col min="1926" max="1926" width="7.44140625" style="580" customWidth="1"/>
    <col min="1927" max="1927" width="7" style="580"/>
    <col min="1928" max="1928" width="8.5546875" style="580" customWidth="1"/>
    <col min="1929" max="1929" width="12" style="580" customWidth="1"/>
    <col min="1930" max="1930" width="4.6640625" style="580" customWidth="1"/>
    <col min="1931" max="1931" width="9.109375" style="580" customWidth="1"/>
    <col min="1932" max="1932" width="11.6640625" style="580" customWidth="1"/>
    <col min="1933" max="2044" width="7" style="580"/>
    <col min="2045" max="2045" width="3.88671875" style="580" customWidth="1"/>
    <col min="2046" max="2046" width="14" style="580" customWidth="1"/>
    <col min="2047" max="2047" width="66.5546875" style="580" customWidth="1"/>
    <col min="2048" max="2048" width="9.44140625" style="580" customWidth="1"/>
    <col min="2049" max="2049" width="9.109375" style="580" customWidth="1"/>
    <col min="2050" max="2050" width="11.109375" style="580" bestFit="1" customWidth="1"/>
    <col min="2051" max="2051" width="9.109375" style="580" customWidth="1"/>
    <col min="2052" max="2052" width="10.44140625" style="580" customWidth="1"/>
    <col min="2053" max="2053" width="9.109375" style="580" customWidth="1"/>
    <col min="2054" max="2054" width="10.6640625" style="580" customWidth="1"/>
    <col min="2055" max="2055" width="9.109375" style="580" customWidth="1"/>
    <col min="2056" max="2056" width="10.109375" style="580" customWidth="1"/>
    <col min="2057" max="2057" width="11.109375" style="580" customWidth="1"/>
    <col min="2058" max="2177" width="9.109375" style="580" customWidth="1"/>
    <col min="2178" max="2178" width="2.5546875" style="580" customWidth="1"/>
    <col min="2179" max="2179" width="9.109375" style="580" customWidth="1"/>
    <col min="2180" max="2180" width="47.88671875" style="580" customWidth="1"/>
    <col min="2181" max="2181" width="6.6640625" style="580" customWidth="1"/>
    <col min="2182" max="2182" width="7.44140625" style="580" customWidth="1"/>
    <col min="2183" max="2183" width="7" style="580"/>
    <col min="2184" max="2184" width="8.5546875" style="580" customWidth="1"/>
    <col min="2185" max="2185" width="12" style="580" customWidth="1"/>
    <col min="2186" max="2186" width="4.6640625" style="580" customWidth="1"/>
    <col min="2187" max="2187" width="9.109375" style="580" customWidth="1"/>
    <col min="2188" max="2188" width="11.6640625" style="580" customWidth="1"/>
    <col min="2189" max="2300" width="7" style="580"/>
    <col min="2301" max="2301" width="3.88671875" style="580" customWidth="1"/>
    <col min="2302" max="2302" width="14" style="580" customWidth="1"/>
    <col min="2303" max="2303" width="66.5546875" style="580" customWidth="1"/>
    <col min="2304" max="2304" width="9.44140625" style="580" customWidth="1"/>
    <col min="2305" max="2305" width="9.109375" style="580" customWidth="1"/>
    <col min="2306" max="2306" width="11.109375" style="580" bestFit="1" customWidth="1"/>
    <col min="2307" max="2307" width="9.109375" style="580" customWidth="1"/>
    <col min="2308" max="2308" width="10.44140625" style="580" customWidth="1"/>
    <col min="2309" max="2309" width="9.109375" style="580" customWidth="1"/>
    <col min="2310" max="2310" width="10.6640625" style="580" customWidth="1"/>
    <col min="2311" max="2311" width="9.109375" style="580" customWidth="1"/>
    <col min="2312" max="2312" width="10.109375" style="580" customWidth="1"/>
    <col min="2313" max="2313" width="11.109375" style="580" customWidth="1"/>
    <col min="2314" max="2433" width="9.109375" style="580" customWidth="1"/>
    <col min="2434" max="2434" width="2.5546875" style="580" customWidth="1"/>
    <col min="2435" max="2435" width="9.109375" style="580" customWidth="1"/>
    <col min="2436" max="2436" width="47.88671875" style="580" customWidth="1"/>
    <col min="2437" max="2437" width="6.6640625" style="580" customWidth="1"/>
    <col min="2438" max="2438" width="7.44140625" style="580" customWidth="1"/>
    <col min="2439" max="2439" width="7" style="580"/>
    <col min="2440" max="2440" width="8.5546875" style="580" customWidth="1"/>
    <col min="2441" max="2441" width="12" style="580" customWidth="1"/>
    <col min="2442" max="2442" width="4.6640625" style="580" customWidth="1"/>
    <col min="2443" max="2443" width="9.109375" style="580" customWidth="1"/>
    <col min="2444" max="2444" width="11.6640625" style="580" customWidth="1"/>
    <col min="2445" max="2556" width="7" style="580"/>
    <col min="2557" max="2557" width="3.88671875" style="580" customWidth="1"/>
    <col min="2558" max="2558" width="14" style="580" customWidth="1"/>
    <col min="2559" max="2559" width="66.5546875" style="580" customWidth="1"/>
    <col min="2560" max="2560" width="9.44140625" style="580" customWidth="1"/>
    <col min="2561" max="2561" width="9.109375" style="580" customWidth="1"/>
    <col min="2562" max="2562" width="11.109375" style="580" bestFit="1" customWidth="1"/>
    <col min="2563" max="2563" width="9.109375" style="580" customWidth="1"/>
    <col min="2564" max="2564" width="10.44140625" style="580" customWidth="1"/>
    <col min="2565" max="2565" width="9.109375" style="580" customWidth="1"/>
    <col min="2566" max="2566" width="10.6640625" style="580" customWidth="1"/>
    <col min="2567" max="2567" width="9.109375" style="580" customWidth="1"/>
    <col min="2568" max="2568" width="10.109375" style="580" customWidth="1"/>
    <col min="2569" max="2569" width="11.109375" style="580" customWidth="1"/>
    <col min="2570" max="2689" width="9.109375" style="580" customWidth="1"/>
    <col min="2690" max="2690" width="2.5546875" style="580" customWidth="1"/>
    <col min="2691" max="2691" width="9.109375" style="580" customWidth="1"/>
    <col min="2692" max="2692" width="47.88671875" style="580" customWidth="1"/>
    <col min="2693" max="2693" width="6.6640625" style="580" customWidth="1"/>
    <col min="2694" max="2694" width="7.44140625" style="580" customWidth="1"/>
    <col min="2695" max="2695" width="7" style="580"/>
    <col min="2696" max="2696" width="8.5546875" style="580" customWidth="1"/>
    <col min="2697" max="2697" width="12" style="580" customWidth="1"/>
    <col min="2698" max="2698" width="4.6640625" style="580" customWidth="1"/>
    <col min="2699" max="2699" width="9.109375" style="580" customWidth="1"/>
    <col min="2700" max="2700" width="11.6640625" style="580" customWidth="1"/>
    <col min="2701" max="2812" width="7" style="580"/>
    <col min="2813" max="2813" width="3.88671875" style="580" customWidth="1"/>
    <col min="2814" max="2814" width="14" style="580" customWidth="1"/>
    <col min="2815" max="2815" width="66.5546875" style="580" customWidth="1"/>
    <col min="2816" max="2816" width="9.44140625" style="580" customWidth="1"/>
    <col min="2817" max="2817" width="9.109375" style="580" customWidth="1"/>
    <col min="2818" max="2818" width="11.109375" style="580" bestFit="1" customWidth="1"/>
    <col min="2819" max="2819" width="9.109375" style="580" customWidth="1"/>
    <col min="2820" max="2820" width="10.44140625" style="580" customWidth="1"/>
    <col min="2821" max="2821" width="9.109375" style="580" customWidth="1"/>
    <col min="2822" max="2822" width="10.6640625" style="580" customWidth="1"/>
    <col min="2823" max="2823" width="9.109375" style="580" customWidth="1"/>
    <col min="2824" max="2824" width="10.109375" style="580" customWidth="1"/>
    <col min="2825" max="2825" width="11.109375" style="580" customWidth="1"/>
    <col min="2826" max="2945" width="9.109375" style="580" customWidth="1"/>
    <col min="2946" max="2946" width="2.5546875" style="580" customWidth="1"/>
    <col min="2947" max="2947" width="9.109375" style="580" customWidth="1"/>
    <col min="2948" max="2948" width="47.88671875" style="580" customWidth="1"/>
    <col min="2949" max="2949" width="6.6640625" style="580" customWidth="1"/>
    <col min="2950" max="2950" width="7.44140625" style="580" customWidth="1"/>
    <col min="2951" max="2951" width="7" style="580"/>
    <col min="2952" max="2952" width="8.5546875" style="580" customWidth="1"/>
    <col min="2953" max="2953" width="12" style="580" customWidth="1"/>
    <col min="2954" max="2954" width="4.6640625" style="580" customWidth="1"/>
    <col min="2955" max="2955" width="9.109375" style="580" customWidth="1"/>
    <col min="2956" max="2956" width="11.6640625" style="580" customWidth="1"/>
    <col min="2957" max="3068" width="7" style="580"/>
    <col min="3069" max="3069" width="3.88671875" style="580" customWidth="1"/>
    <col min="3070" max="3070" width="14" style="580" customWidth="1"/>
    <col min="3071" max="3071" width="66.5546875" style="580" customWidth="1"/>
    <col min="3072" max="3072" width="9.44140625" style="580" customWidth="1"/>
    <col min="3073" max="3073" width="9.109375" style="580" customWidth="1"/>
    <col min="3074" max="3074" width="11.109375" style="580" bestFit="1" customWidth="1"/>
    <col min="3075" max="3075" width="9.109375" style="580" customWidth="1"/>
    <col min="3076" max="3076" width="10.44140625" style="580" customWidth="1"/>
    <col min="3077" max="3077" width="9.109375" style="580" customWidth="1"/>
    <col min="3078" max="3078" width="10.6640625" style="580" customWidth="1"/>
    <col min="3079" max="3079" width="9.109375" style="580" customWidth="1"/>
    <col min="3080" max="3080" width="10.109375" style="580" customWidth="1"/>
    <col min="3081" max="3081" width="11.109375" style="580" customWidth="1"/>
    <col min="3082" max="3201" width="9.109375" style="580" customWidth="1"/>
    <col min="3202" max="3202" width="2.5546875" style="580" customWidth="1"/>
    <col min="3203" max="3203" width="9.109375" style="580" customWidth="1"/>
    <col min="3204" max="3204" width="47.88671875" style="580" customWidth="1"/>
    <col min="3205" max="3205" width="6.6640625" style="580" customWidth="1"/>
    <col min="3206" max="3206" width="7.44140625" style="580" customWidth="1"/>
    <col min="3207" max="3207" width="7" style="580"/>
    <col min="3208" max="3208" width="8.5546875" style="580" customWidth="1"/>
    <col min="3209" max="3209" width="12" style="580" customWidth="1"/>
    <col min="3210" max="3210" width="4.6640625" style="580" customWidth="1"/>
    <col min="3211" max="3211" width="9.109375" style="580" customWidth="1"/>
    <col min="3212" max="3212" width="11.6640625" style="580" customWidth="1"/>
    <col min="3213" max="3324" width="7" style="580"/>
    <col min="3325" max="3325" width="3.88671875" style="580" customWidth="1"/>
    <col min="3326" max="3326" width="14" style="580" customWidth="1"/>
    <col min="3327" max="3327" width="66.5546875" style="580" customWidth="1"/>
    <col min="3328" max="3328" width="9.44140625" style="580" customWidth="1"/>
    <col min="3329" max="3329" width="9.109375" style="580" customWidth="1"/>
    <col min="3330" max="3330" width="11.109375" style="580" bestFit="1" customWidth="1"/>
    <col min="3331" max="3331" width="9.109375" style="580" customWidth="1"/>
    <col min="3332" max="3332" width="10.44140625" style="580" customWidth="1"/>
    <col min="3333" max="3333" width="9.109375" style="580" customWidth="1"/>
    <col min="3334" max="3334" width="10.6640625" style="580" customWidth="1"/>
    <col min="3335" max="3335" width="9.109375" style="580" customWidth="1"/>
    <col min="3336" max="3336" width="10.109375" style="580" customWidth="1"/>
    <col min="3337" max="3337" width="11.109375" style="580" customWidth="1"/>
    <col min="3338" max="3457" width="9.109375" style="580" customWidth="1"/>
    <col min="3458" max="3458" width="2.5546875" style="580" customWidth="1"/>
    <col min="3459" max="3459" width="9.109375" style="580" customWidth="1"/>
    <col min="3460" max="3460" width="47.88671875" style="580" customWidth="1"/>
    <col min="3461" max="3461" width="6.6640625" style="580" customWidth="1"/>
    <col min="3462" max="3462" width="7.44140625" style="580" customWidth="1"/>
    <col min="3463" max="3463" width="7" style="580"/>
    <col min="3464" max="3464" width="8.5546875" style="580" customWidth="1"/>
    <col min="3465" max="3465" width="12" style="580" customWidth="1"/>
    <col min="3466" max="3466" width="4.6640625" style="580" customWidth="1"/>
    <col min="3467" max="3467" width="9.109375" style="580" customWidth="1"/>
    <col min="3468" max="3468" width="11.6640625" style="580" customWidth="1"/>
    <col min="3469" max="3580" width="7" style="580"/>
    <col min="3581" max="3581" width="3.88671875" style="580" customWidth="1"/>
    <col min="3582" max="3582" width="14" style="580" customWidth="1"/>
    <col min="3583" max="3583" width="66.5546875" style="580" customWidth="1"/>
    <col min="3584" max="3584" width="9.44140625" style="580" customWidth="1"/>
    <col min="3585" max="3585" width="9.109375" style="580" customWidth="1"/>
    <col min="3586" max="3586" width="11.109375" style="580" bestFit="1" customWidth="1"/>
    <col min="3587" max="3587" width="9.109375" style="580" customWidth="1"/>
    <col min="3588" max="3588" width="10.44140625" style="580" customWidth="1"/>
    <col min="3589" max="3589" width="9.109375" style="580" customWidth="1"/>
    <col min="3590" max="3590" width="10.6640625" style="580" customWidth="1"/>
    <col min="3591" max="3591" width="9.109375" style="580" customWidth="1"/>
    <col min="3592" max="3592" width="10.109375" style="580" customWidth="1"/>
    <col min="3593" max="3593" width="11.109375" style="580" customWidth="1"/>
    <col min="3594" max="3713" width="9.109375" style="580" customWidth="1"/>
    <col min="3714" max="3714" width="2.5546875" style="580" customWidth="1"/>
    <col min="3715" max="3715" width="9.109375" style="580" customWidth="1"/>
    <col min="3716" max="3716" width="47.88671875" style="580" customWidth="1"/>
    <col min="3717" max="3717" width="6.6640625" style="580" customWidth="1"/>
    <col min="3718" max="3718" width="7.44140625" style="580" customWidth="1"/>
    <col min="3719" max="3719" width="7" style="580"/>
    <col min="3720" max="3720" width="8.5546875" style="580" customWidth="1"/>
    <col min="3721" max="3721" width="12" style="580" customWidth="1"/>
    <col min="3722" max="3722" width="4.6640625" style="580" customWidth="1"/>
    <col min="3723" max="3723" width="9.109375" style="580" customWidth="1"/>
    <col min="3724" max="3724" width="11.6640625" style="580" customWidth="1"/>
    <col min="3725" max="3836" width="7" style="580"/>
    <col min="3837" max="3837" width="3.88671875" style="580" customWidth="1"/>
    <col min="3838" max="3838" width="14" style="580" customWidth="1"/>
    <col min="3839" max="3839" width="66.5546875" style="580" customWidth="1"/>
    <col min="3840" max="3840" width="9.44140625" style="580" customWidth="1"/>
    <col min="3841" max="3841" width="9.109375" style="580" customWidth="1"/>
    <col min="3842" max="3842" width="11.109375" style="580" bestFit="1" customWidth="1"/>
    <col min="3843" max="3843" width="9.109375" style="580" customWidth="1"/>
    <col min="3844" max="3844" width="10.44140625" style="580" customWidth="1"/>
    <col min="3845" max="3845" width="9.109375" style="580" customWidth="1"/>
    <col min="3846" max="3846" width="10.6640625" style="580" customWidth="1"/>
    <col min="3847" max="3847" width="9.109375" style="580" customWidth="1"/>
    <col min="3848" max="3848" width="10.109375" style="580" customWidth="1"/>
    <col min="3849" max="3849" width="11.109375" style="580" customWidth="1"/>
    <col min="3850" max="3969" width="9.109375" style="580" customWidth="1"/>
    <col min="3970" max="3970" width="2.5546875" style="580" customWidth="1"/>
    <col min="3971" max="3971" width="9.109375" style="580" customWidth="1"/>
    <col min="3972" max="3972" width="47.88671875" style="580" customWidth="1"/>
    <col min="3973" max="3973" width="6.6640625" style="580" customWidth="1"/>
    <col min="3974" max="3974" width="7.44140625" style="580" customWidth="1"/>
    <col min="3975" max="3975" width="7" style="580"/>
    <col min="3976" max="3976" width="8.5546875" style="580" customWidth="1"/>
    <col min="3977" max="3977" width="12" style="580" customWidth="1"/>
    <col min="3978" max="3978" width="4.6640625" style="580" customWidth="1"/>
    <col min="3979" max="3979" width="9.109375" style="580" customWidth="1"/>
    <col min="3980" max="3980" width="11.6640625" style="580" customWidth="1"/>
    <col min="3981" max="4092" width="7" style="580"/>
    <col min="4093" max="4093" width="3.88671875" style="580" customWidth="1"/>
    <col min="4094" max="4094" width="14" style="580" customWidth="1"/>
    <col min="4095" max="4095" width="66.5546875" style="580" customWidth="1"/>
    <col min="4096" max="4096" width="9.44140625" style="580" customWidth="1"/>
    <col min="4097" max="4097" width="9.109375" style="580" customWidth="1"/>
    <col min="4098" max="4098" width="11.109375" style="580" bestFit="1" customWidth="1"/>
    <col min="4099" max="4099" width="9.109375" style="580" customWidth="1"/>
    <col min="4100" max="4100" width="10.44140625" style="580" customWidth="1"/>
    <col min="4101" max="4101" width="9.109375" style="580" customWidth="1"/>
    <col min="4102" max="4102" width="10.6640625" style="580" customWidth="1"/>
    <col min="4103" max="4103" width="9.109375" style="580" customWidth="1"/>
    <col min="4104" max="4104" width="10.109375" style="580" customWidth="1"/>
    <col min="4105" max="4105" width="11.109375" style="580" customWidth="1"/>
    <col min="4106" max="4225" width="9.109375" style="580" customWidth="1"/>
    <col min="4226" max="4226" width="2.5546875" style="580" customWidth="1"/>
    <col min="4227" max="4227" width="9.109375" style="580" customWidth="1"/>
    <col min="4228" max="4228" width="47.88671875" style="580" customWidth="1"/>
    <col min="4229" max="4229" width="6.6640625" style="580" customWidth="1"/>
    <col min="4230" max="4230" width="7.44140625" style="580" customWidth="1"/>
    <col min="4231" max="4231" width="7" style="580"/>
    <col min="4232" max="4232" width="8.5546875" style="580" customWidth="1"/>
    <col min="4233" max="4233" width="12" style="580" customWidth="1"/>
    <col min="4234" max="4234" width="4.6640625" style="580" customWidth="1"/>
    <col min="4235" max="4235" width="9.109375" style="580" customWidth="1"/>
    <col min="4236" max="4236" width="11.6640625" style="580" customWidth="1"/>
    <col min="4237" max="4348" width="7" style="580"/>
    <col min="4349" max="4349" width="3.88671875" style="580" customWidth="1"/>
    <col min="4350" max="4350" width="14" style="580" customWidth="1"/>
    <col min="4351" max="4351" width="66.5546875" style="580" customWidth="1"/>
    <col min="4352" max="4352" width="9.44140625" style="580" customWidth="1"/>
    <col min="4353" max="4353" width="9.109375" style="580" customWidth="1"/>
    <col min="4354" max="4354" width="11.109375" style="580" bestFit="1" customWidth="1"/>
    <col min="4355" max="4355" width="9.109375" style="580" customWidth="1"/>
    <col min="4356" max="4356" width="10.44140625" style="580" customWidth="1"/>
    <col min="4357" max="4357" width="9.109375" style="580" customWidth="1"/>
    <col min="4358" max="4358" width="10.6640625" style="580" customWidth="1"/>
    <col min="4359" max="4359" width="9.109375" style="580" customWidth="1"/>
    <col min="4360" max="4360" width="10.109375" style="580" customWidth="1"/>
    <col min="4361" max="4361" width="11.109375" style="580" customWidth="1"/>
    <col min="4362" max="4481" width="9.109375" style="580" customWidth="1"/>
    <col min="4482" max="4482" width="2.5546875" style="580" customWidth="1"/>
    <col min="4483" max="4483" width="9.109375" style="580" customWidth="1"/>
    <col min="4484" max="4484" width="47.88671875" style="580" customWidth="1"/>
    <col min="4485" max="4485" width="6.6640625" style="580" customWidth="1"/>
    <col min="4486" max="4486" width="7.44140625" style="580" customWidth="1"/>
    <col min="4487" max="4487" width="7" style="580"/>
    <col min="4488" max="4488" width="8.5546875" style="580" customWidth="1"/>
    <col min="4489" max="4489" width="12" style="580" customWidth="1"/>
    <col min="4490" max="4490" width="4.6640625" style="580" customWidth="1"/>
    <col min="4491" max="4491" width="9.109375" style="580" customWidth="1"/>
    <col min="4492" max="4492" width="11.6640625" style="580" customWidth="1"/>
    <col min="4493" max="4604" width="7" style="580"/>
    <col min="4605" max="4605" width="3.88671875" style="580" customWidth="1"/>
    <col min="4606" max="4606" width="14" style="580" customWidth="1"/>
    <col min="4607" max="4607" width="66.5546875" style="580" customWidth="1"/>
    <col min="4608" max="4608" width="9.44140625" style="580" customWidth="1"/>
    <col min="4609" max="4609" width="9.109375" style="580" customWidth="1"/>
    <col min="4610" max="4610" width="11.109375" style="580" bestFit="1" customWidth="1"/>
    <col min="4611" max="4611" width="9.109375" style="580" customWidth="1"/>
    <col min="4612" max="4612" width="10.44140625" style="580" customWidth="1"/>
    <col min="4613" max="4613" width="9.109375" style="580" customWidth="1"/>
    <col min="4614" max="4614" width="10.6640625" style="580" customWidth="1"/>
    <col min="4615" max="4615" width="9.109375" style="580" customWidth="1"/>
    <col min="4616" max="4616" width="10.109375" style="580" customWidth="1"/>
    <col min="4617" max="4617" width="11.109375" style="580" customWidth="1"/>
    <col min="4618" max="4737" width="9.109375" style="580" customWidth="1"/>
    <col min="4738" max="4738" width="2.5546875" style="580" customWidth="1"/>
    <col min="4739" max="4739" width="9.109375" style="580" customWidth="1"/>
    <col min="4740" max="4740" width="47.88671875" style="580" customWidth="1"/>
    <col min="4741" max="4741" width="6.6640625" style="580" customWidth="1"/>
    <col min="4742" max="4742" width="7.44140625" style="580" customWidth="1"/>
    <col min="4743" max="4743" width="7" style="580"/>
    <col min="4744" max="4744" width="8.5546875" style="580" customWidth="1"/>
    <col min="4745" max="4745" width="12" style="580" customWidth="1"/>
    <col min="4746" max="4746" width="4.6640625" style="580" customWidth="1"/>
    <col min="4747" max="4747" width="9.109375" style="580" customWidth="1"/>
    <col min="4748" max="4748" width="11.6640625" style="580" customWidth="1"/>
    <col min="4749" max="4860" width="7" style="580"/>
    <col min="4861" max="4861" width="3.88671875" style="580" customWidth="1"/>
    <col min="4862" max="4862" width="14" style="580" customWidth="1"/>
    <col min="4863" max="4863" width="66.5546875" style="580" customWidth="1"/>
    <col min="4864" max="4864" width="9.44140625" style="580" customWidth="1"/>
    <col min="4865" max="4865" width="9.109375" style="580" customWidth="1"/>
    <col min="4866" max="4866" width="11.109375" style="580" bestFit="1" customWidth="1"/>
    <col min="4867" max="4867" width="9.109375" style="580" customWidth="1"/>
    <col min="4868" max="4868" width="10.44140625" style="580" customWidth="1"/>
    <col min="4869" max="4869" width="9.109375" style="580" customWidth="1"/>
    <col min="4870" max="4870" width="10.6640625" style="580" customWidth="1"/>
    <col min="4871" max="4871" width="9.109375" style="580" customWidth="1"/>
    <col min="4872" max="4872" width="10.109375" style="580" customWidth="1"/>
    <col min="4873" max="4873" width="11.109375" style="580" customWidth="1"/>
    <col min="4874" max="4993" width="9.109375" style="580" customWidth="1"/>
    <col min="4994" max="4994" width="2.5546875" style="580" customWidth="1"/>
    <col min="4995" max="4995" width="9.109375" style="580" customWidth="1"/>
    <col min="4996" max="4996" width="47.88671875" style="580" customWidth="1"/>
    <col min="4997" max="4997" width="6.6640625" style="580" customWidth="1"/>
    <col min="4998" max="4998" width="7.44140625" style="580" customWidth="1"/>
    <col min="4999" max="4999" width="7" style="580"/>
    <col min="5000" max="5000" width="8.5546875" style="580" customWidth="1"/>
    <col min="5001" max="5001" width="12" style="580" customWidth="1"/>
    <col min="5002" max="5002" width="4.6640625" style="580" customWidth="1"/>
    <col min="5003" max="5003" width="9.109375" style="580" customWidth="1"/>
    <col min="5004" max="5004" width="11.6640625" style="580" customWidth="1"/>
    <col min="5005" max="5116" width="7" style="580"/>
    <col min="5117" max="5117" width="3.88671875" style="580" customWidth="1"/>
    <col min="5118" max="5118" width="14" style="580" customWidth="1"/>
    <col min="5119" max="5119" width="66.5546875" style="580" customWidth="1"/>
    <col min="5120" max="5120" width="9.44140625" style="580" customWidth="1"/>
    <col min="5121" max="5121" width="9.109375" style="580" customWidth="1"/>
    <col min="5122" max="5122" width="11.109375" style="580" bestFit="1" customWidth="1"/>
    <col min="5123" max="5123" width="9.109375" style="580" customWidth="1"/>
    <col min="5124" max="5124" width="10.44140625" style="580" customWidth="1"/>
    <col min="5125" max="5125" width="9.109375" style="580" customWidth="1"/>
    <col min="5126" max="5126" width="10.6640625" style="580" customWidth="1"/>
    <col min="5127" max="5127" width="9.109375" style="580" customWidth="1"/>
    <col min="5128" max="5128" width="10.109375" style="580" customWidth="1"/>
    <col min="5129" max="5129" width="11.109375" style="580" customWidth="1"/>
    <col min="5130" max="5249" width="9.109375" style="580" customWidth="1"/>
    <col min="5250" max="5250" width="2.5546875" style="580" customWidth="1"/>
    <col min="5251" max="5251" width="9.109375" style="580" customWidth="1"/>
    <col min="5252" max="5252" width="47.88671875" style="580" customWidth="1"/>
    <col min="5253" max="5253" width="6.6640625" style="580" customWidth="1"/>
    <col min="5254" max="5254" width="7.44140625" style="580" customWidth="1"/>
    <col min="5255" max="5255" width="7" style="580"/>
    <col min="5256" max="5256" width="8.5546875" style="580" customWidth="1"/>
    <col min="5257" max="5257" width="12" style="580" customWidth="1"/>
    <col min="5258" max="5258" width="4.6640625" style="580" customWidth="1"/>
    <col min="5259" max="5259" width="9.109375" style="580" customWidth="1"/>
    <col min="5260" max="5260" width="11.6640625" style="580" customWidth="1"/>
    <col min="5261" max="5372" width="7" style="580"/>
    <col min="5373" max="5373" width="3.88671875" style="580" customWidth="1"/>
    <col min="5374" max="5374" width="14" style="580" customWidth="1"/>
    <col min="5375" max="5375" width="66.5546875" style="580" customWidth="1"/>
    <col min="5376" max="5376" width="9.44140625" style="580" customWidth="1"/>
    <col min="5377" max="5377" width="9.109375" style="580" customWidth="1"/>
    <col min="5378" max="5378" width="11.109375" style="580" bestFit="1" customWidth="1"/>
    <col min="5379" max="5379" width="9.109375" style="580" customWidth="1"/>
    <col min="5380" max="5380" width="10.44140625" style="580" customWidth="1"/>
    <col min="5381" max="5381" width="9.109375" style="580" customWidth="1"/>
    <col min="5382" max="5382" width="10.6640625" style="580" customWidth="1"/>
    <col min="5383" max="5383" width="9.109375" style="580" customWidth="1"/>
    <col min="5384" max="5384" width="10.109375" style="580" customWidth="1"/>
    <col min="5385" max="5385" width="11.109375" style="580" customWidth="1"/>
    <col min="5386" max="5505" width="9.109375" style="580" customWidth="1"/>
    <col min="5506" max="5506" width="2.5546875" style="580" customWidth="1"/>
    <col min="5507" max="5507" width="9.109375" style="580" customWidth="1"/>
    <col min="5508" max="5508" width="47.88671875" style="580" customWidth="1"/>
    <col min="5509" max="5509" width="6.6640625" style="580" customWidth="1"/>
    <col min="5510" max="5510" width="7.44140625" style="580" customWidth="1"/>
    <col min="5511" max="5511" width="7" style="580"/>
    <col min="5512" max="5512" width="8.5546875" style="580" customWidth="1"/>
    <col min="5513" max="5513" width="12" style="580" customWidth="1"/>
    <col min="5514" max="5514" width="4.6640625" style="580" customWidth="1"/>
    <col min="5515" max="5515" width="9.109375" style="580" customWidth="1"/>
    <col min="5516" max="5516" width="11.6640625" style="580" customWidth="1"/>
    <col min="5517" max="5628" width="7" style="580"/>
    <col min="5629" max="5629" width="3.88671875" style="580" customWidth="1"/>
    <col min="5630" max="5630" width="14" style="580" customWidth="1"/>
    <col min="5631" max="5631" width="66.5546875" style="580" customWidth="1"/>
    <col min="5632" max="5632" width="9.44140625" style="580" customWidth="1"/>
    <col min="5633" max="5633" width="9.109375" style="580" customWidth="1"/>
    <col min="5634" max="5634" width="11.109375" style="580" bestFit="1" customWidth="1"/>
    <col min="5635" max="5635" width="9.109375" style="580" customWidth="1"/>
    <col min="5636" max="5636" width="10.44140625" style="580" customWidth="1"/>
    <col min="5637" max="5637" width="9.109375" style="580" customWidth="1"/>
    <col min="5638" max="5638" width="10.6640625" style="580" customWidth="1"/>
    <col min="5639" max="5639" width="9.109375" style="580" customWidth="1"/>
    <col min="5640" max="5640" width="10.109375" style="580" customWidth="1"/>
    <col min="5641" max="5641" width="11.109375" style="580" customWidth="1"/>
    <col min="5642" max="5761" width="9.109375" style="580" customWidth="1"/>
    <col min="5762" max="5762" width="2.5546875" style="580" customWidth="1"/>
    <col min="5763" max="5763" width="9.109375" style="580" customWidth="1"/>
    <col min="5764" max="5764" width="47.88671875" style="580" customWidth="1"/>
    <col min="5765" max="5765" width="6.6640625" style="580" customWidth="1"/>
    <col min="5766" max="5766" width="7.44140625" style="580" customWidth="1"/>
    <col min="5767" max="5767" width="7" style="580"/>
    <col min="5768" max="5768" width="8.5546875" style="580" customWidth="1"/>
    <col min="5769" max="5769" width="12" style="580" customWidth="1"/>
    <col min="5770" max="5770" width="4.6640625" style="580" customWidth="1"/>
    <col min="5771" max="5771" width="9.109375" style="580" customWidth="1"/>
    <col min="5772" max="5772" width="11.6640625" style="580" customWidth="1"/>
    <col min="5773" max="5884" width="7" style="580"/>
    <col min="5885" max="5885" width="3.88671875" style="580" customWidth="1"/>
    <col min="5886" max="5886" width="14" style="580" customWidth="1"/>
    <col min="5887" max="5887" width="66.5546875" style="580" customWidth="1"/>
    <col min="5888" max="5888" width="9.44140625" style="580" customWidth="1"/>
    <col min="5889" max="5889" width="9.109375" style="580" customWidth="1"/>
    <col min="5890" max="5890" width="11.109375" style="580" bestFit="1" customWidth="1"/>
    <col min="5891" max="5891" width="9.109375" style="580" customWidth="1"/>
    <col min="5892" max="5892" width="10.44140625" style="580" customWidth="1"/>
    <col min="5893" max="5893" width="9.109375" style="580" customWidth="1"/>
    <col min="5894" max="5894" width="10.6640625" style="580" customWidth="1"/>
    <col min="5895" max="5895" width="9.109375" style="580" customWidth="1"/>
    <col min="5896" max="5896" width="10.109375" style="580" customWidth="1"/>
    <col min="5897" max="5897" width="11.109375" style="580" customWidth="1"/>
    <col min="5898" max="6017" width="9.109375" style="580" customWidth="1"/>
    <col min="6018" max="6018" width="2.5546875" style="580" customWidth="1"/>
    <col min="6019" max="6019" width="9.109375" style="580" customWidth="1"/>
    <col min="6020" max="6020" width="47.88671875" style="580" customWidth="1"/>
    <col min="6021" max="6021" width="6.6640625" style="580" customWidth="1"/>
    <col min="6022" max="6022" width="7.44140625" style="580" customWidth="1"/>
    <col min="6023" max="6023" width="7" style="580"/>
    <col min="6024" max="6024" width="8.5546875" style="580" customWidth="1"/>
    <col min="6025" max="6025" width="12" style="580" customWidth="1"/>
    <col min="6026" max="6026" width="4.6640625" style="580" customWidth="1"/>
    <col min="6027" max="6027" width="9.109375" style="580" customWidth="1"/>
    <col min="6028" max="6028" width="11.6640625" style="580" customWidth="1"/>
    <col min="6029" max="6140" width="7" style="580"/>
    <col min="6141" max="6141" width="3.88671875" style="580" customWidth="1"/>
    <col min="6142" max="6142" width="14" style="580" customWidth="1"/>
    <col min="6143" max="6143" width="66.5546875" style="580" customWidth="1"/>
    <col min="6144" max="6144" width="9.44140625" style="580" customWidth="1"/>
    <col min="6145" max="6145" width="9.109375" style="580" customWidth="1"/>
    <col min="6146" max="6146" width="11.109375" style="580" bestFit="1" customWidth="1"/>
    <col min="6147" max="6147" width="9.109375" style="580" customWidth="1"/>
    <col min="6148" max="6148" width="10.44140625" style="580" customWidth="1"/>
    <col min="6149" max="6149" width="9.109375" style="580" customWidth="1"/>
    <col min="6150" max="6150" width="10.6640625" style="580" customWidth="1"/>
    <col min="6151" max="6151" width="9.109375" style="580" customWidth="1"/>
    <col min="6152" max="6152" width="10.109375" style="580" customWidth="1"/>
    <col min="6153" max="6153" width="11.109375" style="580" customWidth="1"/>
    <col min="6154" max="6273" width="9.109375" style="580" customWidth="1"/>
    <col min="6274" max="6274" width="2.5546875" style="580" customWidth="1"/>
    <col min="6275" max="6275" width="9.109375" style="580" customWidth="1"/>
    <col min="6276" max="6276" width="47.88671875" style="580" customWidth="1"/>
    <col min="6277" max="6277" width="6.6640625" style="580" customWidth="1"/>
    <col min="6278" max="6278" width="7.44140625" style="580" customWidth="1"/>
    <col min="6279" max="6279" width="7" style="580"/>
    <col min="6280" max="6280" width="8.5546875" style="580" customWidth="1"/>
    <col min="6281" max="6281" width="12" style="580" customWidth="1"/>
    <col min="6282" max="6282" width="4.6640625" style="580" customWidth="1"/>
    <col min="6283" max="6283" width="9.109375" style="580" customWidth="1"/>
    <col min="6284" max="6284" width="11.6640625" style="580" customWidth="1"/>
    <col min="6285" max="6396" width="7" style="580"/>
    <col min="6397" max="6397" width="3.88671875" style="580" customWidth="1"/>
    <col min="6398" max="6398" width="14" style="580" customWidth="1"/>
    <col min="6399" max="6399" width="66.5546875" style="580" customWidth="1"/>
    <col min="6400" max="6400" width="9.44140625" style="580" customWidth="1"/>
    <col min="6401" max="6401" width="9.109375" style="580" customWidth="1"/>
    <col min="6402" max="6402" width="11.109375" style="580" bestFit="1" customWidth="1"/>
    <col min="6403" max="6403" width="9.109375" style="580" customWidth="1"/>
    <col min="6404" max="6404" width="10.44140625" style="580" customWidth="1"/>
    <col min="6405" max="6405" width="9.109375" style="580" customWidth="1"/>
    <col min="6406" max="6406" width="10.6640625" style="580" customWidth="1"/>
    <col min="6407" max="6407" width="9.109375" style="580" customWidth="1"/>
    <col min="6408" max="6408" width="10.109375" style="580" customWidth="1"/>
    <col min="6409" max="6409" width="11.109375" style="580" customWidth="1"/>
    <col min="6410" max="6529" width="9.109375" style="580" customWidth="1"/>
    <col min="6530" max="6530" width="2.5546875" style="580" customWidth="1"/>
    <col min="6531" max="6531" width="9.109375" style="580" customWidth="1"/>
    <col min="6532" max="6532" width="47.88671875" style="580" customWidth="1"/>
    <col min="6533" max="6533" width="6.6640625" style="580" customWidth="1"/>
    <col min="6534" max="6534" width="7.44140625" style="580" customWidth="1"/>
    <col min="6535" max="6535" width="7" style="580"/>
    <col min="6536" max="6536" width="8.5546875" style="580" customWidth="1"/>
    <col min="6537" max="6537" width="12" style="580" customWidth="1"/>
    <col min="6538" max="6538" width="4.6640625" style="580" customWidth="1"/>
    <col min="6539" max="6539" width="9.109375" style="580" customWidth="1"/>
    <col min="6540" max="6540" width="11.6640625" style="580" customWidth="1"/>
    <col min="6541" max="6652" width="7" style="580"/>
    <col min="6653" max="6653" width="3.88671875" style="580" customWidth="1"/>
    <col min="6654" max="6654" width="14" style="580" customWidth="1"/>
    <col min="6655" max="6655" width="66.5546875" style="580" customWidth="1"/>
    <col min="6656" max="6656" width="9.44140625" style="580" customWidth="1"/>
    <col min="6657" max="6657" width="9.109375" style="580" customWidth="1"/>
    <col min="6658" max="6658" width="11.109375" style="580" bestFit="1" customWidth="1"/>
    <col min="6659" max="6659" width="9.109375" style="580" customWidth="1"/>
    <col min="6660" max="6660" width="10.44140625" style="580" customWidth="1"/>
    <col min="6661" max="6661" width="9.109375" style="580" customWidth="1"/>
    <col min="6662" max="6662" width="10.6640625" style="580" customWidth="1"/>
    <col min="6663" max="6663" width="9.109375" style="580" customWidth="1"/>
    <col min="6664" max="6664" width="10.109375" style="580" customWidth="1"/>
    <col min="6665" max="6665" width="11.109375" style="580" customWidth="1"/>
    <col min="6666" max="6785" width="9.109375" style="580" customWidth="1"/>
    <col min="6786" max="6786" width="2.5546875" style="580" customWidth="1"/>
    <col min="6787" max="6787" width="9.109375" style="580" customWidth="1"/>
    <col min="6788" max="6788" width="47.88671875" style="580" customWidth="1"/>
    <col min="6789" max="6789" width="6.6640625" style="580" customWidth="1"/>
    <col min="6790" max="6790" width="7.44140625" style="580" customWidth="1"/>
    <col min="6791" max="6791" width="7" style="580"/>
    <col min="6792" max="6792" width="8.5546875" style="580" customWidth="1"/>
    <col min="6793" max="6793" width="12" style="580" customWidth="1"/>
    <col min="6794" max="6794" width="4.6640625" style="580" customWidth="1"/>
    <col min="6795" max="6795" width="9.109375" style="580" customWidth="1"/>
    <col min="6796" max="6796" width="11.6640625" style="580" customWidth="1"/>
    <col min="6797" max="6908" width="7" style="580"/>
    <col min="6909" max="6909" width="3.88671875" style="580" customWidth="1"/>
    <col min="6910" max="6910" width="14" style="580" customWidth="1"/>
    <col min="6911" max="6911" width="66.5546875" style="580" customWidth="1"/>
    <col min="6912" max="6912" width="9.44140625" style="580" customWidth="1"/>
    <col min="6913" max="6913" width="9.109375" style="580" customWidth="1"/>
    <col min="6914" max="6914" width="11.109375" style="580" bestFit="1" customWidth="1"/>
    <col min="6915" max="6915" width="9.109375" style="580" customWidth="1"/>
    <col min="6916" max="6916" width="10.44140625" style="580" customWidth="1"/>
    <col min="6917" max="6917" width="9.109375" style="580" customWidth="1"/>
    <col min="6918" max="6918" width="10.6640625" style="580" customWidth="1"/>
    <col min="6919" max="6919" width="9.109375" style="580" customWidth="1"/>
    <col min="6920" max="6920" width="10.109375" style="580" customWidth="1"/>
    <col min="6921" max="6921" width="11.109375" style="580" customWidth="1"/>
    <col min="6922" max="7041" width="9.109375" style="580" customWidth="1"/>
    <col min="7042" max="7042" width="2.5546875" style="580" customWidth="1"/>
    <col min="7043" max="7043" width="9.109375" style="580" customWidth="1"/>
    <col min="7044" max="7044" width="47.88671875" style="580" customWidth="1"/>
    <col min="7045" max="7045" width="6.6640625" style="580" customWidth="1"/>
    <col min="7046" max="7046" width="7.44140625" style="580" customWidth="1"/>
    <col min="7047" max="7047" width="7" style="580"/>
    <col min="7048" max="7048" width="8.5546875" style="580" customWidth="1"/>
    <col min="7049" max="7049" width="12" style="580" customWidth="1"/>
    <col min="7050" max="7050" width="4.6640625" style="580" customWidth="1"/>
    <col min="7051" max="7051" width="9.109375" style="580" customWidth="1"/>
    <col min="7052" max="7052" width="11.6640625" style="580" customWidth="1"/>
    <col min="7053" max="7164" width="7" style="580"/>
    <col min="7165" max="7165" width="3.88671875" style="580" customWidth="1"/>
    <col min="7166" max="7166" width="14" style="580" customWidth="1"/>
    <col min="7167" max="7167" width="66.5546875" style="580" customWidth="1"/>
    <col min="7168" max="7168" width="9.44140625" style="580" customWidth="1"/>
    <col min="7169" max="7169" width="9.109375" style="580" customWidth="1"/>
    <col min="7170" max="7170" width="11.109375" style="580" bestFit="1" customWidth="1"/>
    <col min="7171" max="7171" width="9.109375" style="580" customWidth="1"/>
    <col min="7172" max="7172" width="10.44140625" style="580" customWidth="1"/>
    <col min="7173" max="7173" width="9.109375" style="580" customWidth="1"/>
    <col min="7174" max="7174" width="10.6640625" style="580" customWidth="1"/>
    <col min="7175" max="7175" width="9.109375" style="580" customWidth="1"/>
    <col min="7176" max="7176" width="10.109375" style="580" customWidth="1"/>
    <col min="7177" max="7177" width="11.109375" style="580" customWidth="1"/>
    <col min="7178" max="7297" width="9.109375" style="580" customWidth="1"/>
    <col min="7298" max="7298" width="2.5546875" style="580" customWidth="1"/>
    <col min="7299" max="7299" width="9.109375" style="580" customWidth="1"/>
    <col min="7300" max="7300" width="47.88671875" style="580" customWidth="1"/>
    <col min="7301" max="7301" width="6.6640625" style="580" customWidth="1"/>
    <col min="7302" max="7302" width="7.44140625" style="580" customWidth="1"/>
    <col min="7303" max="7303" width="7" style="580"/>
    <col min="7304" max="7304" width="8.5546875" style="580" customWidth="1"/>
    <col min="7305" max="7305" width="12" style="580" customWidth="1"/>
    <col min="7306" max="7306" width="4.6640625" style="580" customWidth="1"/>
    <col min="7307" max="7307" width="9.109375" style="580" customWidth="1"/>
    <col min="7308" max="7308" width="11.6640625" style="580" customWidth="1"/>
    <col min="7309" max="7420" width="7" style="580"/>
    <col min="7421" max="7421" width="3.88671875" style="580" customWidth="1"/>
    <col min="7422" max="7422" width="14" style="580" customWidth="1"/>
    <col min="7423" max="7423" width="66.5546875" style="580" customWidth="1"/>
    <col min="7424" max="7424" width="9.44140625" style="580" customWidth="1"/>
    <col min="7425" max="7425" width="9.109375" style="580" customWidth="1"/>
    <col min="7426" max="7426" width="11.109375" style="580" bestFit="1" customWidth="1"/>
    <col min="7427" max="7427" width="9.109375" style="580" customWidth="1"/>
    <col min="7428" max="7428" width="10.44140625" style="580" customWidth="1"/>
    <col min="7429" max="7429" width="9.109375" style="580" customWidth="1"/>
    <col min="7430" max="7430" width="10.6640625" style="580" customWidth="1"/>
    <col min="7431" max="7431" width="9.109375" style="580" customWidth="1"/>
    <col min="7432" max="7432" width="10.109375" style="580" customWidth="1"/>
    <col min="7433" max="7433" width="11.109375" style="580" customWidth="1"/>
    <col min="7434" max="7553" width="9.109375" style="580" customWidth="1"/>
    <col min="7554" max="7554" width="2.5546875" style="580" customWidth="1"/>
    <col min="7555" max="7555" width="9.109375" style="580" customWidth="1"/>
    <col min="7556" max="7556" width="47.88671875" style="580" customWidth="1"/>
    <col min="7557" max="7557" width="6.6640625" style="580" customWidth="1"/>
    <col min="7558" max="7558" width="7.44140625" style="580" customWidth="1"/>
    <col min="7559" max="7559" width="7" style="580"/>
    <col min="7560" max="7560" width="8.5546875" style="580" customWidth="1"/>
    <col min="7561" max="7561" width="12" style="580" customWidth="1"/>
    <col min="7562" max="7562" width="4.6640625" style="580" customWidth="1"/>
    <col min="7563" max="7563" width="9.109375" style="580" customWidth="1"/>
    <col min="7564" max="7564" width="11.6640625" style="580" customWidth="1"/>
    <col min="7565" max="7676" width="7" style="580"/>
    <col min="7677" max="7677" width="3.88671875" style="580" customWidth="1"/>
    <col min="7678" max="7678" width="14" style="580" customWidth="1"/>
    <col min="7679" max="7679" width="66.5546875" style="580" customWidth="1"/>
    <col min="7680" max="7680" width="9.44140625" style="580" customWidth="1"/>
    <col min="7681" max="7681" width="9.109375" style="580" customWidth="1"/>
    <col min="7682" max="7682" width="11.109375" style="580" bestFit="1" customWidth="1"/>
    <col min="7683" max="7683" width="9.109375" style="580" customWidth="1"/>
    <col min="7684" max="7684" width="10.44140625" style="580" customWidth="1"/>
    <col min="7685" max="7685" width="9.109375" style="580" customWidth="1"/>
    <col min="7686" max="7686" width="10.6640625" style="580" customWidth="1"/>
    <col min="7687" max="7687" width="9.109375" style="580" customWidth="1"/>
    <col min="7688" max="7688" width="10.109375" style="580" customWidth="1"/>
    <col min="7689" max="7689" width="11.109375" style="580" customWidth="1"/>
    <col min="7690" max="7809" width="9.109375" style="580" customWidth="1"/>
    <col min="7810" max="7810" width="2.5546875" style="580" customWidth="1"/>
    <col min="7811" max="7811" width="9.109375" style="580" customWidth="1"/>
    <col min="7812" max="7812" width="47.88671875" style="580" customWidth="1"/>
    <col min="7813" max="7813" width="6.6640625" style="580" customWidth="1"/>
    <col min="7814" max="7814" width="7.44140625" style="580" customWidth="1"/>
    <col min="7815" max="7815" width="7" style="580"/>
    <col min="7816" max="7816" width="8.5546875" style="580" customWidth="1"/>
    <col min="7817" max="7817" width="12" style="580" customWidth="1"/>
    <col min="7818" max="7818" width="4.6640625" style="580" customWidth="1"/>
    <col min="7819" max="7819" width="9.109375" style="580" customWidth="1"/>
    <col min="7820" max="7820" width="11.6640625" style="580" customWidth="1"/>
    <col min="7821" max="7932" width="7" style="580"/>
    <col min="7933" max="7933" width="3.88671875" style="580" customWidth="1"/>
    <col min="7934" max="7934" width="14" style="580" customWidth="1"/>
    <col min="7935" max="7935" width="66.5546875" style="580" customWidth="1"/>
    <col min="7936" max="7936" width="9.44140625" style="580" customWidth="1"/>
    <col min="7937" max="7937" width="9.109375" style="580" customWidth="1"/>
    <col min="7938" max="7938" width="11.109375" style="580" bestFit="1" customWidth="1"/>
    <col min="7939" max="7939" width="9.109375" style="580" customWidth="1"/>
    <col min="7940" max="7940" width="10.44140625" style="580" customWidth="1"/>
    <col min="7941" max="7941" width="9.109375" style="580" customWidth="1"/>
    <col min="7942" max="7942" width="10.6640625" style="580" customWidth="1"/>
    <col min="7943" max="7943" width="9.109375" style="580" customWidth="1"/>
    <col min="7944" max="7944" width="10.109375" style="580" customWidth="1"/>
    <col min="7945" max="7945" width="11.109375" style="580" customWidth="1"/>
    <col min="7946" max="8065" width="9.109375" style="580" customWidth="1"/>
    <col min="8066" max="8066" width="2.5546875" style="580" customWidth="1"/>
    <col min="8067" max="8067" width="9.109375" style="580" customWidth="1"/>
    <col min="8068" max="8068" width="47.88671875" style="580" customWidth="1"/>
    <col min="8069" max="8069" width="6.6640625" style="580" customWidth="1"/>
    <col min="8070" max="8070" width="7.44140625" style="580" customWidth="1"/>
    <col min="8071" max="8071" width="7" style="580"/>
    <col min="8072" max="8072" width="8.5546875" style="580" customWidth="1"/>
    <col min="8073" max="8073" width="12" style="580" customWidth="1"/>
    <col min="8074" max="8074" width="4.6640625" style="580" customWidth="1"/>
    <col min="8075" max="8075" width="9.109375" style="580" customWidth="1"/>
    <col min="8076" max="8076" width="11.6640625" style="580" customWidth="1"/>
    <col min="8077" max="8188" width="7" style="580"/>
    <col min="8189" max="8189" width="3.88671875" style="580" customWidth="1"/>
    <col min="8190" max="8190" width="14" style="580" customWidth="1"/>
    <col min="8191" max="8191" width="66.5546875" style="580" customWidth="1"/>
    <col min="8192" max="8192" width="9.44140625" style="580" customWidth="1"/>
    <col min="8193" max="8193" width="9.109375" style="580" customWidth="1"/>
    <col min="8194" max="8194" width="11.109375" style="580" bestFit="1" customWidth="1"/>
    <col min="8195" max="8195" width="9.109375" style="580" customWidth="1"/>
    <col min="8196" max="8196" width="10.44140625" style="580" customWidth="1"/>
    <col min="8197" max="8197" width="9.109375" style="580" customWidth="1"/>
    <col min="8198" max="8198" width="10.6640625" style="580" customWidth="1"/>
    <col min="8199" max="8199" width="9.109375" style="580" customWidth="1"/>
    <col min="8200" max="8200" width="10.109375" style="580" customWidth="1"/>
    <col min="8201" max="8201" width="11.109375" style="580" customWidth="1"/>
    <col min="8202" max="8321" width="9.109375" style="580" customWidth="1"/>
    <col min="8322" max="8322" width="2.5546875" style="580" customWidth="1"/>
    <col min="8323" max="8323" width="9.109375" style="580" customWidth="1"/>
    <col min="8324" max="8324" width="47.88671875" style="580" customWidth="1"/>
    <col min="8325" max="8325" width="6.6640625" style="580" customWidth="1"/>
    <col min="8326" max="8326" width="7.44140625" style="580" customWidth="1"/>
    <col min="8327" max="8327" width="7" style="580"/>
    <col min="8328" max="8328" width="8.5546875" style="580" customWidth="1"/>
    <col min="8329" max="8329" width="12" style="580" customWidth="1"/>
    <col min="8330" max="8330" width="4.6640625" style="580" customWidth="1"/>
    <col min="8331" max="8331" width="9.109375" style="580" customWidth="1"/>
    <col min="8332" max="8332" width="11.6640625" style="580" customWidth="1"/>
    <col min="8333" max="8444" width="7" style="580"/>
    <col min="8445" max="8445" width="3.88671875" style="580" customWidth="1"/>
    <col min="8446" max="8446" width="14" style="580" customWidth="1"/>
    <col min="8447" max="8447" width="66.5546875" style="580" customWidth="1"/>
    <col min="8448" max="8448" width="9.44140625" style="580" customWidth="1"/>
    <col min="8449" max="8449" width="9.109375" style="580" customWidth="1"/>
    <col min="8450" max="8450" width="11.109375" style="580" bestFit="1" customWidth="1"/>
    <col min="8451" max="8451" width="9.109375" style="580" customWidth="1"/>
    <col min="8452" max="8452" width="10.44140625" style="580" customWidth="1"/>
    <col min="8453" max="8453" width="9.109375" style="580" customWidth="1"/>
    <col min="8454" max="8454" width="10.6640625" style="580" customWidth="1"/>
    <col min="8455" max="8455" width="9.109375" style="580" customWidth="1"/>
    <col min="8456" max="8456" width="10.109375" style="580" customWidth="1"/>
    <col min="8457" max="8457" width="11.109375" style="580" customWidth="1"/>
    <col min="8458" max="8577" width="9.109375" style="580" customWidth="1"/>
    <col min="8578" max="8578" width="2.5546875" style="580" customWidth="1"/>
    <col min="8579" max="8579" width="9.109375" style="580" customWidth="1"/>
    <col min="8580" max="8580" width="47.88671875" style="580" customWidth="1"/>
    <col min="8581" max="8581" width="6.6640625" style="580" customWidth="1"/>
    <col min="8582" max="8582" width="7.44140625" style="580" customWidth="1"/>
    <col min="8583" max="8583" width="7" style="580"/>
    <col min="8584" max="8584" width="8.5546875" style="580" customWidth="1"/>
    <col min="8585" max="8585" width="12" style="580" customWidth="1"/>
    <col min="8586" max="8586" width="4.6640625" style="580" customWidth="1"/>
    <col min="8587" max="8587" width="9.109375" style="580" customWidth="1"/>
    <col min="8588" max="8588" width="11.6640625" style="580" customWidth="1"/>
    <col min="8589" max="8700" width="7" style="580"/>
    <col min="8701" max="8701" width="3.88671875" style="580" customWidth="1"/>
    <col min="8702" max="8702" width="14" style="580" customWidth="1"/>
    <col min="8703" max="8703" width="66.5546875" style="580" customWidth="1"/>
    <col min="8704" max="8704" width="9.44140625" style="580" customWidth="1"/>
    <col min="8705" max="8705" width="9.109375" style="580" customWidth="1"/>
    <col min="8706" max="8706" width="11.109375" style="580" bestFit="1" customWidth="1"/>
    <col min="8707" max="8707" width="9.109375" style="580" customWidth="1"/>
    <col min="8708" max="8708" width="10.44140625" style="580" customWidth="1"/>
    <col min="8709" max="8709" width="9.109375" style="580" customWidth="1"/>
    <col min="8710" max="8710" width="10.6640625" style="580" customWidth="1"/>
    <col min="8711" max="8711" width="9.109375" style="580" customWidth="1"/>
    <col min="8712" max="8712" width="10.109375" style="580" customWidth="1"/>
    <col min="8713" max="8713" width="11.109375" style="580" customWidth="1"/>
    <col min="8714" max="8833" width="9.109375" style="580" customWidth="1"/>
    <col min="8834" max="8834" width="2.5546875" style="580" customWidth="1"/>
    <col min="8835" max="8835" width="9.109375" style="580" customWidth="1"/>
    <col min="8836" max="8836" width="47.88671875" style="580" customWidth="1"/>
    <col min="8837" max="8837" width="6.6640625" style="580" customWidth="1"/>
    <col min="8838" max="8838" width="7.44140625" style="580" customWidth="1"/>
    <col min="8839" max="8839" width="7" style="580"/>
    <col min="8840" max="8840" width="8.5546875" style="580" customWidth="1"/>
    <col min="8841" max="8841" width="12" style="580" customWidth="1"/>
    <col min="8842" max="8842" width="4.6640625" style="580" customWidth="1"/>
    <col min="8843" max="8843" width="9.109375" style="580" customWidth="1"/>
    <col min="8844" max="8844" width="11.6640625" style="580" customWidth="1"/>
    <col min="8845" max="8956" width="7" style="580"/>
    <col min="8957" max="8957" width="3.88671875" style="580" customWidth="1"/>
    <col min="8958" max="8958" width="14" style="580" customWidth="1"/>
    <col min="8959" max="8959" width="66.5546875" style="580" customWidth="1"/>
    <col min="8960" max="8960" width="9.44140625" style="580" customWidth="1"/>
    <col min="8961" max="8961" width="9.109375" style="580" customWidth="1"/>
    <col min="8962" max="8962" width="11.109375" style="580" bestFit="1" customWidth="1"/>
    <col min="8963" max="8963" width="9.109375" style="580" customWidth="1"/>
    <col min="8964" max="8964" width="10.44140625" style="580" customWidth="1"/>
    <col min="8965" max="8965" width="9.109375" style="580" customWidth="1"/>
    <col min="8966" max="8966" width="10.6640625" style="580" customWidth="1"/>
    <col min="8967" max="8967" width="9.109375" style="580" customWidth="1"/>
    <col min="8968" max="8968" width="10.109375" style="580" customWidth="1"/>
    <col min="8969" max="8969" width="11.109375" style="580" customWidth="1"/>
    <col min="8970" max="9089" width="9.109375" style="580" customWidth="1"/>
    <col min="9090" max="9090" width="2.5546875" style="580" customWidth="1"/>
    <col min="9091" max="9091" width="9.109375" style="580" customWidth="1"/>
    <col min="9092" max="9092" width="47.88671875" style="580" customWidth="1"/>
    <col min="9093" max="9093" width="6.6640625" style="580" customWidth="1"/>
    <col min="9094" max="9094" width="7.44140625" style="580" customWidth="1"/>
    <col min="9095" max="9095" width="7" style="580"/>
    <col min="9096" max="9096" width="8.5546875" style="580" customWidth="1"/>
    <col min="9097" max="9097" width="12" style="580" customWidth="1"/>
    <col min="9098" max="9098" width="4.6640625" style="580" customWidth="1"/>
    <col min="9099" max="9099" width="9.109375" style="580" customWidth="1"/>
    <col min="9100" max="9100" width="11.6640625" style="580" customWidth="1"/>
    <col min="9101" max="9212" width="7" style="580"/>
    <col min="9213" max="9213" width="3.88671875" style="580" customWidth="1"/>
    <col min="9214" max="9214" width="14" style="580" customWidth="1"/>
    <col min="9215" max="9215" width="66.5546875" style="580" customWidth="1"/>
    <col min="9216" max="9216" width="9.44140625" style="580" customWidth="1"/>
    <col min="9217" max="9217" width="9.109375" style="580" customWidth="1"/>
    <col min="9218" max="9218" width="11.109375" style="580" bestFit="1" customWidth="1"/>
    <col min="9219" max="9219" width="9.109375" style="580" customWidth="1"/>
    <col min="9220" max="9220" width="10.44140625" style="580" customWidth="1"/>
    <col min="9221" max="9221" width="9.109375" style="580" customWidth="1"/>
    <col min="9222" max="9222" width="10.6640625" style="580" customWidth="1"/>
    <col min="9223" max="9223" width="9.109375" style="580" customWidth="1"/>
    <col min="9224" max="9224" width="10.109375" style="580" customWidth="1"/>
    <col min="9225" max="9225" width="11.109375" style="580" customWidth="1"/>
    <col min="9226" max="9345" width="9.109375" style="580" customWidth="1"/>
    <col min="9346" max="9346" width="2.5546875" style="580" customWidth="1"/>
    <col min="9347" max="9347" width="9.109375" style="580" customWidth="1"/>
    <col min="9348" max="9348" width="47.88671875" style="580" customWidth="1"/>
    <col min="9349" max="9349" width="6.6640625" style="580" customWidth="1"/>
    <col min="9350" max="9350" width="7.44140625" style="580" customWidth="1"/>
    <col min="9351" max="9351" width="7" style="580"/>
    <col min="9352" max="9352" width="8.5546875" style="580" customWidth="1"/>
    <col min="9353" max="9353" width="12" style="580" customWidth="1"/>
    <col min="9354" max="9354" width="4.6640625" style="580" customWidth="1"/>
    <col min="9355" max="9355" width="9.109375" style="580" customWidth="1"/>
    <col min="9356" max="9356" width="11.6640625" style="580" customWidth="1"/>
    <col min="9357" max="9468" width="7" style="580"/>
    <col min="9469" max="9469" width="3.88671875" style="580" customWidth="1"/>
    <col min="9470" max="9470" width="14" style="580" customWidth="1"/>
    <col min="9471" max="9471" width="66.5546875" style="580" customWidth="1"/>
    <col min="9472" max="9472" width="9.44140625" style="580" customWidth="1"/>
    <col min="9473" max="9473" width="9.109375" style="580" customWidth="1"/>
    <col min="9474" max="9474" width="11.109375" style="580" bestFit="1" customWidth="1"/>
    <col min="9475" max="9475" width="9.109375" style="580" customWidth="1"/>
    <col min="9476" max="9476" width="10.44140625" style="580" customWidth="1"/>
    <col min="9477" max="9477" width="9.109375" style="580" customWidth="1"/>
    <col min="9478" max="9478" width="10.6640625" style="580" customWidth="1"/>
    <col min="9479" max="9479" width="9.109375" style="580" customWidth="1"/>
    <col min="9480" max="9480" width="10.109375" style="580" customWidth="1"/>
    <col min="9481" max="9481" width="11.109375" style="580" customWidth="1"/>
    <col min="9482" max="9601" width="9.109375" style="580" customWidth="1"/>
    <col min="9602" max="9602" width="2.5546875" style="580" customWidth="1"/>
    <col min="9603" max="9603" width="9.109375" style="580" customWidth="1"/>
    <col min="9604" max="9604" width="47.88671875" style="580" customWidth="1"/>
    <col min="9605" max="9605" width="6.6640625" style="580" customWidth="1"/>
    <col min="9606" max="9606" width="7.44140625" style="580" customWidth="1"/>
    <col min="9607" max="9607" width="7" style="580"/>
    <col min="9608" max="9608" width="8.5546875" style="580" customWidth="1"/>
    <col min="9609" max="9609" width="12" style="580" customWidth="1"/>
    <col min="9610" max="9610" width="4.6640625" style="580" customWidth="1"/>
    <col min="9611" max="9611" width="9.109375" style="580" customWidth="1"/>
    <col min="9612" max="9612" width="11.6640625" style="580" customWidth="1"/>
    <col min="9613" max="9724" width="7" style="580"/>
    <col min="9725" max="9725" width="3.88671875" style="580" customWidth="1"/>
    <col min="9726" max="9726" width="14" style="580" customWidth="1"/>
    <col min="9727" max="9727" width="66.5546875" style="580" customWidth="1"/>
    <col min="9728" max="9728" width="9.44140625" style="580" customWidth="1"/>
    <col min="9729" max="9729" width="9.109375" style="580" customWidth="1"/>
    <col min="9730" max="9730" width="11.109375" style="580" bestFit="1" customWidth="1"/>
    <col min="9731" max="9731" width="9.109375" style="580" customWidth="1"/>
    <col min="9732" max="9732" width="10.44140625" style="580" customWidth="1"/>
    <col min="9733" max="9733" width="9.109375" style="580" customWidth="1"/>
    <col min="9734" max="9734" width="10.6640625" style="580" customWidth="1"/>
    <col min="9735" max="9735" width="9.109375" style="580" customWidth="1"/>
    <col min="9736" max="9736" width="10.109375" style="580" customWidth="1"/>
    <col min="9737" max="9737" width="11.109375" style="580" customWidth="1"/>
    <col min="9738" max="9857" width="9.109375" style="580" customWidth="1"/>
    <col min="9858" max="9858" width="2.5546875" style="580" customWidth="1"/>
    <col min="9859" max="9859" width="9.109375" style="580" customWidth="1"/>
    <col min="9860" max="9860" width="47.88671875" style="580" customWidth="1"/>
    <col min="9861" max="9861" width="6.6640625" style="580" customWidth="1"/>
    <col min="9862" max="9862" width="7.44140625" style="580" customWidth="1"/>
    <col min="9863" max="9863" width="7" style="580"/>
    <col min="9864" max="9864" width="8.5546875" style="580" customWidth="1"/>
    <col min="9865" max="9865" width="12" style="580" customWidth="1"/>
    <col min="9866" max="9866" width="4.6640625" style="580" customWidth="1"/>
    <col min="9867" max="9867" width="9.109375" style="580" customWidth="1"/>
    <col min="9868" max="9868" width="11.6640625" style="580" customWidth="1"/>
    <col min="9869" max="9980" width="7" style="580"/>
    <col min="9981" max="9981" width="3.88671875" style="580" customWidth="1"/>
    <col min="9982" max="9982" width="14" style="580" customWidth="1"/>
    <col min="9983" max="9983" width="66.5546875" style="580" customWidth="1"/>
    <col min="9984" max="9984" width="9.44140625" style="580" customWidth="1"/>
    <col min="9985" max="9985" width="9.109375" style="580" customWidth="1"/>
    <col min="9986" max="9986" width="11.109375" style="580" bestFit="1" customWidth="1"/>
    <col min="9987" max="9987" width="9.109375" style="580" customWidth="1"/>
    <col min="9988" max="9988" width="10.44140625" style="580" customWidth="1"/>
    <col min="9989" max="9989" width="9.109375" style="580" customWidth="1"/>
    <col min="9990" max="9990" width="10.6640625" style="580" customWidth="1"/>
    <col min="9991" max="9991" width="9.109375" style="580" customWidth="1"/>
    <col min="9992" max="9992" width="10.109375" style="580" customWidth="1"/>
    <col min="9993" max="9993" width="11.109375" style="580" customWidth="1"/>
    <col min="9994" max="10113" width="9.109375" style="580" customWidth="1"/>
    <col min="10114" max="10114" width="2.5546875" style="580" customWidth="1"/>
    <col min="10115" max="10115" width="9.109375" style="580" customWidth="1"/>
    <col min="10116" max="10116" width="47.88671875" style="580" customWidth="1"/>
    <col min="10117" max="10117" width="6.6640625" style="580" customWidth="1"/>
    <col min="10118" max="10118" width="7.44140625" style="580" customWidth="1"/>
    <col min="10119" max="10119" width="7" style="580"/>
    <col min="10120" max="10120" width="8.5546875" style="580" customWidth="1"/>
    <col min="10121" max="10121" width="12" style="580" customWidth="1"/>
    <col min="10122" max="10122" width="4.6640625" style="580" customWidth="1"/>
    <col min="10123" max="10123" width="9.109375" style="580" customWidth="1"/>
    <col min="10124" max="10124" width="11.6640625" style="580" customWidth="1"/>
    <col min="10125" max="10236" width="7" style="580"/>
    <col min="10237" max="10237" width="3.88671875" style="580" customWidth="1"/>
    <col min="10238" max="10238" width="14" style="580" customWidth="1"/>
    <col min="10239" max="10239" width="66.5546875" style="580" customWidth="1"/>
    <col min="10240" max="10240" width="9.44140625" style="580" customWidth="1"/>
    <col min="10241" max="10241" width="9.109375" style="580" customWidth="1"/>
    <col min="10242" max="10242" width="11.109375" style="580" bestFit="1" customWidth="1"/>
    <col min="10243" max="10243" width="9.109375" style="580" customWidth="1"/>
    <col min="10244" max="10244" width="10.44140625" style="580" customWidth="1"/>
    <col min="10245" max="10245" width="9.109375" style="580" customWidth="1"/>
    <col min="10246" max="10246" width="10.6640625" style="580" customWidth="1"/>
    <col min="10247" max="10247" width="9.109375" style="580" customWidth="1"/>
    <col min="10248" max="10248" width="10.109375" style="580" customWidth="1"/>
    <col min="10249" max="10249" width="11.109375" style="580" customWidth="1"/>
    <col min="10250" max="10369" width="9.109375" style="580" customWidth="1"/>
    <col min="10370" max="10370" width="2.5546875" style="580" customWidth="1"/>
    <col min="10371" max="10371" width="9.109375" style="580" customWidth="1"/>
    <col min="10372" max="10372" width="47.88671875" style="580" customWidth="1"/>
    <col min="10373" max="10373" width="6.6640625" style="580" customWidth="1"/>
    <col min="10374" max="10374" width="7.44140625" style="580" customWidth="1"/>
    <col min="10375" max="10375" width="7" style="580"/>
    <col min="10376" max="10376" width="8.5546875" style="580" customWidth="1"/>
    <col min="10377" max="10377" width="12" style="580" customWidth="1"/>
    <col min="10378" max="10378" width="4.6640625" style="580" customWidth="1"/>
    <col min="10379" max="10379" width="9.109375" style="580" customWidth="1"/>
    <col min="10380" max="10380" width="11.6640625" style="580" customWidth="1"/>
    <col min="10381" max="10492" width="7" style="580"/>
    <col min="10493" max="10493" width="3.88671875" style="580" customWidth="1"/>
    <col min="10494" max="10494" width="14" style="580" customWidth="1"/>
    <col min="10495" max="10495" width="66.5546875" style="580" customWidth="1"/>
    <col min="10496" max="10496" width="9.44140625" style="580" customWidth="1"/>
    <col min="10497" max="10497" width="9.109375" style="580" customWidth="1"/>
    <col min="10498" max="10498" width="11.109375" style="580" bestFit="1" customWidth="1"/>
    <col min="10499" max="10499" width="9.109375" style="580" customWidth="1"/>
    <col min="10500" max="10500" width="10.44140625" style="580" customWidth="1"/>
    <col min="10501" max="10501" width="9.109375" style="580" customWidth="1"/>
    <col min="10502" max="10502" width="10.6640625" style="580" customWidth="1"/>
    <col min="10503" max="10503" width="9.109375" style="580" customWidth="1"/>
    <col min="10504" max="10504" width="10.109375" style="580" customWidth="1"/>
    <col min="10505" max="10505" width="11.109375" style="580" customWidth="1"/>
    <col min="10506" max="10625" width="9.109375" style="580" customWidth="1"/>
    <col min="10626" max="10626" width="2.5546875" style="580" customWidth="1"/>
    <col min="10627" max="10627" width="9.109375" style="580" customWidth="1"/>
    <col min="10628" max="10628" width="47.88671875" style="580" customWidth="1"/>
    <col min="10629" max="10629" width="6.6640625" style="580" customWidth="1"/>
    <col min="10630" max="10630" width="7.44140625" style="580" customWidth="1"/>
    <col min="10631" max="10631" width="7" style="580"/>
    <col min="10632" max="10632" width="8.5546875" style="580" customWidth="1"/>
    <col min="10633" max="10633" width="12" style="580" customWidth="1"/>
    <col min="10634" max="10634" width="4.6640625" style="580" customWidth="1"/>
    <col min="10635" max="10635" width="9.109375" style="580" customWidth="1"/>
    <col min="10636" max="10636" width="11.6640625" style="580" customWidth="1"/>
    <col min="10637" max="10748" width="7" style="580"/>
    <col min="10749" max="10749" width="3.88671875" style="580" customWidth="1"/>
    <col min="10750" max="10750" width="14" style="580" customWidth="1"/>
    <col min="10751" max="10751" width="66.5546875" style="580" customWidth="1"/>
    <col min="10752" max="10752" width="9.44140625" style="580" customWidth="1"/>
    <col min="10753" max="10753" width="9.109375" style="580" customWidth="1"/>
    <col min="10754" max="10754" width="11.109375" style="580" bestFit="1" customWidth="1"/>
    <col min="10755" max="10755" width="9.109375" style="580" customWidth="1"/>
    <col min="10756" max="10756" width="10.44140625" style="580" customWidth="1"/>
    <col min="10757" max="10757" width="9.109375" style="580" customWidth="1"/>
    <col min="10758" max="10758" width="10.6640625" style="580" customWidth="1"/>
    <col min="10759" max="10759" width="9.109375" style="580" customWidth="1"/>
    <col min="10760" max="10760" width="10.109375" style="580" customWidth="1"/>
    <col min="10761" max="10761" width="11.109375" style="580" customWidth="1"/>
    <col min="10762" max="10881" width="9.109375" style="580" customWidth="1"/>
    <col min="10882" max="10882" width="2.5546875" style="580" customWidth="1"/>
    <col min="10883" max="10883" width="9.109375" style="580" customWidth="1"/>
    <col min="10884" max="10884" width="47.88671875" style="580" customWidth="1"/>
    <col min="10885" max="10885" width="6.6640625" style="580" customWidth="1"/>
    <col min="10886" max="10886" width="7.44140625" style="580" customWidth="1"/>
    <col min="10887" max="10887" width="7" style="580"/>
    <col min="10888" max="10888" width="8.5546875" style="580" customWidth="1"/>
    <col min="10889" max="10889" width="12" style="580" customWidth="1"/>
    <col min="10890" max="10890" width="4.6640625" style="580" customWidth="1"/>
    <col min="10891" max="10891" width="9.109375" style="580" customWidth="1"/>
    <col min="10892" max="10892" width="11.6640625" style="580" customWidth="1"/>
    <col min="10893" max="11004" width="7" style="580"/>
    <col min="11005" max="11005" width="3.88671875" style="580" customWidth="1"/>
    <col min="11006" max="11006" width="14" style="580" customWidth="1"/>
    <col min="11007" max="11007" width="66.5546875" style="580" customWidth="1"/>
    <col min="11008" max="11008" width="9.44140625" style="580" customWidth="1"/>
    <col min="11009" max="11009" width="9.109375" style="580" customWidth="1"/>
    <col min="11010" max="11010" width="11.109375" style="580" bestFit="1" customWidth="1"/>
    <col min="11011" max="11011" width="9.109375" style="580" customWidth="1"/>
    <col min="11012" max="11012" width="10.44140625" style="580" customWidth="1"/>
    <col min="11013" max="11013" width="9.109375" style="580" customWidth="1"/>
    <col min="11014" max="11014" width="10.6640625" style="580" customWidth="1"/>
    <col min="11015" max="11015" width="9.109375" style="580" customWidth="1"/>
    <col min="11016" max="11016" width="10.109375" style="580" customWidth="1"/>
    <col min="11017" max="11017" width="11.109375" style="580" customWidth="1"/>
    <col min="11018" max="11137" width="9.109375" style="580" customWidth="1"/>
    <col min="11138" max="11138" width="2.5546875" style="580" customWidth="1"/>
    <col min="11139" max="11139" width="9.109375" style="580" customWidth="1"/>
    <col min="11140" max="11140" width="47.88671875" style="580" customWidth="1"/>
    <col min="11141" max="11141" width="6.6640625" style="580" customWidth="1"/>
    <col min="11142" max="11142" width="7.44140625" style="580" customWidth="1"/>
    <col min="11143" max="11143" width="7" style="580"/>
    <col min="11144" max="11144" width="8.5546875" style="580" customWidth="1"/>
    <col min="11145" max="11145" width="12" style="580" customWidth="1"/>
    <col min="11146" max="11146" width="4.6640625" style="580" customWidth="1"/>
    <col min="11147" max="11147" width="9.109375" style="580" customWidth="1"/>
    <col min="11148" max="11148" width="11.6640625" style="580" customWidth="1"/>
    <col min="11149" max="11260" width="7" style="580"/>
    <col min="11261" max="11261" width="3.88671875" style="580" customWidth="1"/>
    <col min="11262" max="11262" width="14" style="580" customWidth="1"/>
    <col min="11263" max="11263" width="66.5546875" style="580" customWidth="1"/>
    <col min="11264" max="11264" width="9.44140625" style="580" customWidth="1"/>
    <col min="11265" max="11265" width="9.109375" style="580" customWidth="1"/>
    <col min="11266" max="11266" width="11.109375" style="580" bestFit="1" customWidth="1"/>
    <col min="11267" max="11267" width="9.109375" style="580" customWidth="1"/>
    <col min="11268" max="11268" width="10.44140625" style="580" customWidth="1"/>
    <col min="11269" max="11269" width="9.109375" style="580" customWidth="1"/>
    <col min="11270" max="11270" width="10.6640625" style="580" customWidth="1"/>
    <col min="11271" max="11271" width="9.109375" style="580" customWidth="1"/>
    <col min="11272" max="11272" width="10.109375" style="580" customWidth="1"/>
    <col min="11273" max="11273" width="11.109375" style="580" customWidth="1"/>
    <col min="11274" max="11393" width="9.109375" style="580" customWidth="1"/>
    <col min="11394" max="11394" width="2.5546875" style="580" customWidth="1"/>
    <col min="11395" max="11395" width="9.109375" style="580" customWidth="1"/>
    <col min="11396" max="11396" width="47.88671875" style="580" customWidth="1"/>
    <col min="11397" max="11397" width="6.6640625" style="580" customWidth="1"/>
    <col min="11398" max="11398" width="7.44140625" style="580" customWidth="1"/>
    <col min="11399" max="11399" width="7" style="580"/>
    <col min="11400" max="11400" width="8.5546875" style="580" customWidth="1"/>
    <col min="11401" max="11401" width="12" style="580" customWidth="1"/>
    <col min="11402" max="11402" width="4.6640625" style="580" customWidth="1"/>
    <col min="11403" max="11403" width="9.109375" style="580" customWidth="1"/>
    <col min="11404" max="11404" width="11.6640625" style="580" customWidth="1"/>
    <col min="11405" max="11516" width="7" style="580"/>
    <col min="11517" max="11517" width="3.88671875" style="580" customWidth="1"/>
    <col min="11518" max="11518" width="14" style="580" customWidth="1"/>
    <col min="11519" max="11519" width="66.5546875" style="580" customWidth="1"/>
    <col min="11520" max="11520" width="9.44140625" style="580" customWidth="1"/>
    <col min="11521" max="11521" width="9.109375" style="580" customWidth="1"/>
    <col min="11522" max="11522" width="11.109375" style="580" bestFit="1" customWidth="1"/>
    <col min="11523" max="11523" width="9.109375" style="580" customWidth="1"/>
    <col min="11524" max="11524" width="10.44140625" style="580" customWidth="1"/>
    <col min="11525" max="11525" width="9.109375" style="580" customWidth="1"/>
    <col min="11526" max="11526" width="10.6640625" style="580" customWidth="1"/>
    <col min="11527" max="11527" width="9.109375" style="580" customWidth="1"/>
    <col min="11528" max="11528" width="10.109375" style="580" customWidth="1"/>
    <col min="11529" max="11529" width="11.109375" style="580" customWidth="1"/>
    <col min="11530" max="11649" width="9.109375" style="580" customWidth="1"/>
    <col min="11650" max="11650" width="2.5546875" style="580" customWidth="1"/>
    <col min="11651" max="11651" width="9.109375" style="580" customWidth="1"/>
    <col min="11652" max="11652" width="47.88671875" style="580" customWidth="1"/>
    <col min="11653" max="11653" width="6.6640625" style="580" customWidth="1"/>
    <col min="11654" max="11654" width="7.44140625" style="580" customWidth="1"/>
    <col min="11655" max="11655" width="7" style="580"/>
    <col min="11656" max="11656" width="8.5546875" style="580" customWidth="1"/>
    <col min="11657" max="11657" width="12" style="580" customWidth="1"/>
    <col min="11658" max="11658" width="4.6640625" style="580" customWidth="1"/>
    <col min="11659" max="11659" width="9.109375" style="580" customWidth="1"/>
    <col min="11660" max="11660" width="11.6640625" style="580" customWidth="1"/>
    <col min="11661" max="11772" width="7" style="580"/>
    <col min="11773" max="11773" width="3.88671875" style="580" customWidth="1"/>
    <col min="11774" max="11774" width="14" style="580" customWidth="1"/>
    <col min="11775" max="11775" width="66.5546875" style="580" customWidth="1"/>
    <col min="11776" max="11776" width="9.44140625" style="580" customWidth="1"/>
    <col min="11777" max="11777" width="9.109375" style="580" customWidth="1"/>
    <col min="11778" max="11778" width="11.109375" style="580" bestFit="1" customWidth="1"/>
    <col min="11779" max="11779" width="9.109375" style="580" customWidth="1"/>
    <col min="11780" max="11780" width="10.44140625" style="580" customWidth="1"/>
    <col min="11781" max="11781" width="9.109375" style="580" customWidth="1"/>
    <col min="11782" max="11782" width="10.6640625" style="580" customWidth="1"/>
    <col min="11783" max="11783" width="9.109375" style="580" customWidth="1"/>
    <col min="11784" max="11784" width="10.109375" style="580" customWidth="1"/>
    <col min="11785" max="11785" width="11.109375" style="580" customWidth="1"/>
    <col min="11786" max="11905" width="9.109375" style="580" customWidth="1"/>
    <col min="11906" max="11906" width="2.5546875" style="580" customWidth="1"/>
    <col min="11907" max="11907" width="9.109375" style="580" customWidth="1"/>
    <col min="11908" max="11908" width="47.88671875" style="580" customWidth="1"/>
    <col min="11909" max="11909" width="6.6640625" style="580" customWidth="1"/>
    <col min="11910" max="11910" width="7.44140625" style="580" customWidth="1"/>
    <col min="11911" max="11911" width="7" style="580"/>
    <col min="11912" max="11912" width="8.5546875" style="580" customWidth="1"/>
    <col min="11913" max="11913" width="12" style="580" customWidth="1"/>
    <col min="11914" max="11914" width="4.6640625" style="580" customWidth="1"/>
    <col min="11915" max="11915" width="9.109375" style="580" customWidth="1"/>
    <col min="11916" max="11916" width="11.6640625" style="580" customWidth="1"/>
    <col min="11917" max="12028" width="7" style="580"/>
    <col min="12029" max="12029" width="3.88671875" style="580" customWidth="1"/>
    <col min="12030" max="12030" width="14" style="580" customWidth="1"/>
    <col min="12031" max="12031" width="66.5546875" style="580" customWidth="1"/>
    <col min="12032" max="12032" width="9.44140625" style="580" customWidth="1"/>
    <col min="12033" max="12033" width="9.109375" style="580" customWidth="1"/>
    <col min="12034" max="12034" width="11.109375" style="580" bestFit="1" customWidth="1"/>
    <col min="12035" max="12035" width="9.109375" style="580" customWidth="1"/>
    <col min="12036" max="12036" width="10.44140625" style="580" customWidth="1"/>
    <col min="12037" max="12037" width="9.109375" style="580" customWidth="1"/>
    <col min="12038" max="12038" width="10.6640625" style="580" customWidth="1"/>
    <col min="12039" max="12039" width="9.109375" style="580" customWidth="1"/>
    <col min="12040" max="12040" width="10.109375" style="580" customWidth="1"/>
    <col min="12041" max="12041" width="11.109375" style="580" customWidth="1"/>
    <col min="12042" max="12161" width="9.109375" style="580" customWidth="1"/>
    <col min="12162" max="12162" width="2.5546875" style="580" customWidth="1"/>
    <col min="12163" max="12163" width="9.109375" style="580" customWidth="1"/>
    <col min="12164" max="12164" width="47.88671875" style="580" customWidth="1"/>
    <col min="12165" max="12165" width="6.6640625" style="580" customWidth="1"/>
    <col min="12166" max="12166" width="7.44140625" style="580" customWidth="1"/>
    <col min="12167" max="12167" width="7" style="580"/>
    <col min="12168" max="12168" width="8.5546875" style="580" customWidth="1"/>
    <col min="12169" max="12169" width="12" style="580" customWidth="1"/>
    <col min="12170" max="12170" width="4.6640625" style="580" customWidth="1"/>
    <col min="12171" max="12171" width="9.109375" style="580" customWidth="1"/>
    <col min="12172" max="12172" width="11.6640625" style="580" customWidth="1"/>
    <col min="12173" max="12284" width="7" style="580"/>
    <col min="12285" max="12285" width="3.88671875" style="580" customWidth="1"/>
    <col min="12286" max="12286" width="14" style="580" customWidth="1"/>
    <col min="12287" max="12287" width="66.5546875" style="580" customWidth="1"/>
    <col min="12288" max="12288" width="9.44140625" style="580" customWidth="1"/>
    <col min="12289" max="12289" width="9.109375" style="580" customWidth="1"/>
    <col min="12290" max="12290" width="11.109375" style="580" bestFit="1" customWidth="1"/>
    <col min="12291" max="12291" width="9.109375" style="580" customWidth="1"/>
    <col min="12292" max="12292" width="10.44140625" style="580" customWidth="1"/>
    <col min="12293" max="12293" width="9.109375" style="580" customWidth="1"/>
    <col min="12294" max="12294" width="10.6640625" style="580" customWidth="1"/>
    <col min="12295" max="12295" width="9.109375" style="580" customWidth="1"/>
    <col min="12296" max="12296" width="10.109375" style="580" customWidth="1"/>
    <col min="12297" max="12297" width="11.109375" style="580" customWidth="1"/>
    <col min="12298" max="12417" width="9.109375" style="580" customWidth="1"/>
    <col min="12418" max="12418" width="2.5546875" style="580" customWidth="1"/>
    <col min="12419" max="12419" width="9.109375" style="580" customWidth="1"/>
    <col min="12420" max="12420" width="47.88671875" style="580" customWidth="1"/>
    <col min="12421" max="12421" width="6.6640625" style="580" customWidth="1"/>
    <col min="12422" max="12422" width="7.44140625" style="580" customWidth="1"/>
    <col min="12423" max="12423" width="7" style="580"/>
    <col min="12424" max="12424" width="8.5546875" style="580" customWidth="1"/>
    <col min="12425" max="12425" width="12" style="580" customWidth="1"/>
    <col min="12426" max="12426" width="4.6640625" style="580" customWidth="1"/>
    <col min="12427" max="12427" width="9.109375" style="580" customWidth="1"/>
    <col min="12428" max="12428" width="11.6640625" style="580" customWidth="1"/>
    <col min="12429" max="12540" width="7" style="580"/>
    <col min="12541" max="12541" width="3.88671875" style="580" customWidth="1"/>
    <col min="12542" max="12542" width="14" style="580" customWidth="1"/>
    <col min="12543" max="12543" width="66.5546875" style="580" customWidth="1"/>
    <col min="12544" max="12544" width="9.44140625" style="580" customWidth="1"/>
    <col min="12545" max="12545" width="9.109375" style="580" customWidth="1"/>
    <col min="12546" max="12546" width="11.109375" style="580" bestFit="1" customWidth="1"/>
    <col min="12547" max="12547" width="9.109375" style="580" customWidth="1"/>
    <col min="12548" max="12548" width="10.44140625" style="580" customWidth="1"/>
    <col min="12549" max="12549" width="9.109375" style="580" customWidth="1"/>
    <col min="12550" max="12550" width="10.6640625" style="580" customWidth="1"/>
    <col min="12551" max="12551" width="9.109375" style="580" customWidth="1"/>
    <col min="12552" max="12552" width="10.109375" style="580" customWidth="1"/>
    <col min="12553" max="12553" width="11.109375" style="580" customWidth="1"/>
    <col min="12554" max="12673" width="9.109375" style="580" customWidth="1"/>
    <col min="12674" max="12674" width="2.5546875" style="580" customWidth="1"/>
    <col min="12675" max="12675" width="9.109375" style="580" customWidth="1"/>
    <col min="12676" max="12676" width="47.88671875" style="580" customWidth="1"/>
    <col min="12677" max="12677" width="6.6640625" style="580" customWidth="1"/>
    <col min="12678" max="12678" width="7.44140625" style="580" customWidth="1"/>
    <col min="12679" max="12679" width="7" style="580"/>
    <col min="12680" max="12680" width="8.5546875" style="580" customWidth="1"/>
    <col min="12681" max="12681" width="12" style="580" customWidth="1"/>
    <col min="12682" max="12682" width="4.6640625" style="580" customWidth="1"/>
    <col min="12683" max="12683" width="9.109375" style="580" customWidth="1"/>
    <col min="12684" max="12684" width="11.6640625" style="580" customWidth="1"/>
    <col min="12685" max="12796" width="7" style="580"/>
    <col min="12797" max="12797" width="3.88671875" style="580" customWidth="1"/>
    <col min="12798" max="12798" width="14" style="580" customWidth="1"/>
    <col min="12799" max="12799" width="66.5546875" style="580" customWidth="1"/>
    <col min="12800" max="12800" width="9.44140625" style="580" customWidth="1"/>
    <col min="12801" max="12801" width="9.109375" style="580" customWidth="1"/>
    <col min="12802" max="12802" width="11.109375" style="580" bestFit="1" customWidth="1"/>
    <col min="12803" max="12803" width="9.109375" style="580" customWidth="1"/>
    <col min="12804" max="12804" width="10.44140625" style="580" customWidth="1"/>
    <col min="12805" max="12805" width="9.109375" style="580" customWidth="1"/>
    <col min="12806" max="12806" width="10.6640625" style="580" customWidth="1"/>
    <col min="12807" max="12807" width="9.109375" style="580" customWidth="1"/>
    <col min="12808" max="12808" width="10.109375" style="580" customWidth="1"/>
    <col min="12809" max="12809" width="11.109375" style="580" customWidth="1"/>
    <col min="12810" max="12929" width="9.109375" style="580" customWidth="1"/>
    <col min="12930" max="12930" width="2.5546875" style="580" customWidth="1"/>
    <col min="12931" max="12931" width="9.109375" style="580" customWidth="1"/>
    <col min="12932" max="12932" width="47.88671875" style="580" customWidth="1"/>
    <col min="12933" max="12933" width="6.6640625" style="580" customWidth="1"/>
    <col min="12934" max="12934" width="7.44140625" style="580" customWidth="1"/>
    <col min="12935" max="12935" width="7" style="580"/>
    <col min="12936" max="12936" width="8.5546875" style="580" customWidth="1"/>
    <col min="12937" max="12937" width="12" style="580" customWidth="1"/>
    <col min="12938" max="12938" width="4.6640625" style="580" customWidth="1"/>
    <col min="12939" max="12939" width="9.109375" style="580" customWidth="1"/>
    <col min="12940" max="12940" width="11.6640625" style="580" customWidth="1"/>
    <col min="12941" max="13052" width="7" style="580"/>
    <col min="13053" max="13053" width="3.88671875" style="580" customWidth="1"/>
    <col min="13054" max="13054" width="14" style="580" customWidth="1"/>
    <col min="13055" max="13055" width="66.5546875" style="580" customWidth="1"/>
    <col min="13056" max="13056" width="9.44140625" style="580" customWidth="1"/>
    <col min="13057" max="13057" width="9.109375" style="580" customWidth="1"/>
    <col min="13058" max="13058" width="11.109375" style="580" bestFit="1" customWidth="1"/>
    <col min="13059" max="13059" width="9.109375" style="580" customWidth="1"/>
    <col min="13060" max="13060" width="10.44140625" style="580" customWidth="1"/>
    <col min="13061" max="13061" width="9.109375" style="580" customWidth="1"/>
    <col min="13062" max="13062" width="10.6640625" style="580" customWidth="1"/>
    <col min="13063" max="13063" width="9.109375" style="580" customWidth="1"/>
    <col min="13064" max="13064" width="10.109375" style="580" customWidth="1"/>
    <col min="13065" max="13065" width="11.109375" style="580" customWidth="1"/>
    <col min="13066" max="13185" width="9.109375" style="580" customWidth="1"/>
    <col min="13186" max="13186" width="2.5546875" style="580" customWidth="1"/>
    <col min="13187" max="13187" width="9.109375" style="580" customWidth="1"/>
    <col min="13188" max="13188" width="47.88671875" style="580" customWidth="1"/>
    <col min="13189" max="13189" width="6.6640625" style="580" customWidth="1"/>
    <col min="13190" max="13190" width="7.44140625" style="580" customWidth="1"/>
    <col min="13191" max="13191" width="7" style="580"/>
    <col min="13192" max="13192" width="8.5546875" style="580" customWidth="1"/>
    <col min="13193" max="13193" width="12" style="580" customWidth="1"/>
    <col min="13194" max="13194" width="4.6640625" style="580" customWidth="1"/>
    <col min="13195" max="13195" width="9.109375" style="580" customWidth="1"/>
    <col min="13196" max="13196" width="11.6640625" style="580" customWidth="1"/>
    <col min="13197" max="13308" width="7" style="580"/>
    <col min="13309" max="13309" width="3.88671875" style="580" customWidth="1"/>
    <col min="13310" max="13310" width="14" style="580" customWidth="1"/>
    <col min="13311" max="13311" width="66.5546875" style="580" customWidth="1"/>
    <col min="13312" max="13312" width="9.44140625" style="580" customWidth="1"/>
    <col min="13313" max="13313" width="9.109375" style="580" customWidth="1"/>
    <col min="13314" max="13314" width="11.109375" style="580" bestFit="1" customWidth="1"/>
    <col min="13315" max="13315" width="9.109375" style="580" customWidth="1"/>
    <col min="13316" max="13316" width="10.44140625" style="580" customWidth="1"/>
    <col min="13317" max="13317" width="9.109375" style="580" customWidth="1"/>
    <col min="13318" max="13318" width="10.6640625" style="580" customWidth="1"/>
    <col min="13319" max="13319" width="9.109375" style="580" customWidth="1"/>
    <col min="13320" max="13320" width="10.109375" style="580" customWidth="1"/>
    <col min="13321" max="13321" width="11.109375" style="580" customWidth="1"/>
    <col min="13322" max="13441" width="9.109375" style="580" customWidth="1"/>
    <col min="13442" max="13442" width="2.5546875" style="580" customWidth="1"/>
    <col min="13443" max="13443" width="9.109375" style="580" customWidth="1"/>
    <col min="13444" max="13444" width="47.88671875" style="580" customWidth="1"/>
    <col min="13445" max="13445" width="6.6640625" style="580" customWidth="1"/>
    <col min="13446" max="13446" width="7.44140625" style="580" customWidth="1"/>
    <col min="13447" max="13447" width="7" style="580"/>
    <col min="13448" max="13448" width="8.5546875" style="580" customWidth="1"/>
    <col min="13449" max="13449" width="12" style="580" customWidth="1"/>
    <col min="13450" max="13450" width="4.6640625" style="580" customWidth="1"/>
    <col min="13451" max="13451" width="9.109375" style="580" customWidth="1"/>
    <col min="13452" max="13452" width="11.6640625" style="580" customWidth="1"/>
    <col min="13453" max="13564" width="7" style="580"/>
    <col min="13565" max="13565" width="3.88671875" style="580" customWidth="1"/>
    <col min="13566" max="13566" width="14" style="580" customWidth="1"/>
    <col min="13567" max="13567" width="66.5546875" style="580" customWidth="1"/>
    <col min="13568" max="13568" width="9.44140625" style="580" customWidth="1"/>
    <col min="13569" max="13569" width="9.109375" style="580" customWidth="1"/>
    <col min="13570" max="13570" width="11.109375" style="580" bestFit="1" customWidth="1"/>
    <col min="13571" max="13571" width="9.109375" style="580" customWidth="1"/>
    <col min="13572" max="13572" width="10.44140625" style="580" customWidth="1"/>
    <col min="13573" max="13573" width="9.109375" style="580" customWidth="1"/>
    <col min="13574" max="13574" width="10.6640625" style="580" customWidth="1"/>
    <col min="13575" max="13575" width="9.109375" style="580" customWidth="1"/>
    <col min="13576" max="13576" width="10.109375" style="580" customWidth="1"/>
    <col min="13577" max="13577" width="11.109375" style="580" customWidth="1"/>
    <col min="13578" max="13697" width="9.109375" style="580" customWidth="1"/>
    <col min="13698" max="13698" width="2.5546875" style="580" customWidth="1"/>
    <col min="13699" max="13699" width="9.109375" style="580" customWidth="1"/>
    <col min="13700" max="13700" width="47.88671875" style="580" customWidth="1"/>
    <col min="13701" max="13701" width="6.6640625" style="580" customWidth="1"/>
    <col min="13702" max="13702" width="7.44140625" style="580" customWidth="1"/>
    <col min="13703" max="13703" width="7" style="580"/>
    <col min="13704" max="13704" width="8.5546875" style="580" customWidth="1"/>
    <col min="13705" max="13705" width="12" style="580" customWidth="1"/>
    <col min="13706" max="13706" width="4.6640625" style="580" customWidth="1"/>
    <col min="13707" max="13707" width="9.109375" style="580" customWidth="1"/>
    <col min="13708" max="13708" width="11.6640625" style="580" customWidth="1"/>
    <col min="13709" max="13820" width="7" style="580"/>
    <col min="13821" max="13821" width="3.88671875" style="580" customWidth="1"/>
    <col min="13822" max="13822" width="14" style="580" customWidth="1"/>
    <col min="13823" max="13823" width="66.5546875" style="580" customWidth="1"/>
    <col min="13824" max="13824" width="9.44140625" style="580" customWidth="1"/>
    <col min="13825" max="13825" width="9.109375" style="580" customWidth="1"/>
    <col min="13826" max="13826" width="11.109375" style="580" bestFit="1" customWidth="1"/>
    <col min="13827" max="13827" width="9.109375" style="580" customWidth="1"/>
    <col min="13828" max="13828" width="10.44140625" style="580" customWidth="1"/>
    <col min="13829" max="13829" width="9.109375" style="580" customWidth="1"/>
    <col min="13830" max="13830" width="10.6640625" style="580" customWidth="1"/>
    <col min="13831" max="13831" width="9.109375" style="580" customWidth="1"/>
    <col min="13832" max="13832" width="10.109375" style="580" customWidth="1"/>
    <col min="13833" max="13833" width="11.109375" style="580" customWidth="1"/>
    <col min="13834" max="13953" width="9.109375" style="580" customWidth="1"/>
    <col min="13954" max="13954" width="2.5546875" style="580" customWidth="1"/>
    <col min="13955" max="13955" width="9.109375" style="580" customWidth="1"/>
    <col min="13956" max="13956" width="47.88671875" style="580" customWidth="1"/>
    <col min="13957" max="13957" width="6.6640625" style="580" customWidth="1"/>
    <col min="13958" max="13958" width="7.44140625" style="580" customWidth="1"/>
    <col min="13959" max="13959" width="7" style="580"/>
    <col min="13960" max="13960" width="8.5546875" style="580" customWidth="1"/>
    <col min="13961" max="13961" width="12" style="580" customWidth="1"/>
    <col min="13962" max="13962" width="4.6640625" style="580" customWidth="1"/>
    <col min="13963" max="13963" width="9.109375" style="580" customWidth="1"/>
    <col min="13964" max="13964" width="11.6640625" style="580" customWidth="1"/>
    <col min="13965" max="14076" width="7" style="580"/>
    <col min="14077" max="14077" width="3.88671875" style="580" customWidth="1"/>
    <col min="14078" max="14078" width="14" style="580" customWidth="1"/>
    <col min="14079" max="14079" width="66.5546875" style="580" customWidth="1"/>
    <col min="14080" max="14080" width="9.44140625" style="580" customWidth="1"/>
    <col min="14081" max="14081" width="9.109375" style="580" customWidth="1"/>
    <col min="14082" max="14082" width="11.109375" style="580" bestFit="1" customWidth="1"/>
    <col min="14083" max="14083" width="9.109375" style="580" customWidth="1"/>
    <col min="14084" max="14084" width="10.44140625" style="580" customWidth="1"/>
    <col min="14085" max="14085" width="9.109375" style="580" customWidth="1"/>
    <col min="14086" max="14086" width="10.6640625" style="580" customWidth="1"/>
    <col min="14087" max="14087" width="9.109375" style="580" customWidth="1"/>
    <col min="14088" max="14088" width="10.109375" style="580" customWidth="1"/>
    <col min="14089" max="14089" width="11.109375" style="580" customWidth="1"/>
    <col min="14090" max="14209" width="9.109375" style="580" customWidth="1"/>
    <col min="14210" max="14210" width="2.5546875" style="580" customWidth="1"/>
    <col min="14211" max="14211" width="9.109375" style="580" customWidth="1"/>
    <col min="14212" max="14212" width="47.88671875" style="580" customWidth="1"/>
    <col min="14213" max="14213" width="6.6640625" style="580" customWidth="1"/>
    <col min="14214" max="14214" width="7.44140625" style="580" customWidth="1"/>
    <col min="14215" max="14215" width="7" style="580"/>
    <col min="14216" max="14216" width="8.5546875" style="580" customWidth="1"/>
    <col min="14217" max="14217" width="12" style="580" customWidth="1"/>
    <col min="14218" max="14218" width="4.6640625" style="580" customWidth="1"/>
    <col min="14219" max="14219" width="9.109375" style="580" customWidth="1"/>
    <col min="14220" max="14220" width="11.6640625" style="580" customWidth="1"/>
    <col min="14221" max="14332" width="7" style="580"/>
    <col min="14333" max="14333" width="3.88671875" style="580" customWidth="1"/>
    <col min="14334" max="14334" width="14" style="580" customWidth="1"/>
    <col min="14335" max="14335" width="66.5546875" style="580" customWidth="1"/>
    <col min="14336" max="14336" width="9.44140625" style="580" customWidth="1"/>
    <col min="14337" max="14337" width="9.109375" style="580" customWidth="1"/>
    <col min="14338" max="14338" width="11.109375" style="580" bestFit="1" customWidth="1"/>
    <col min="14339" max="14339" width="9.109375" style="580" customWidth="1"/>
    <col min="14340" max="14340" width="10.44140625" style="580" customWidth="1"/>
    <col min="14341" max="14341" width="9.109375" style="580" customWidth="1"/>
    <col min="14342" max="14342" width="10.6640625" style="580" customWidth="1"/>
    <col min="14343" max="14343" width="9.109375" style="580" customWidth="1"/>
    <col min="14344" max="14344" width="10.109375" style="580" customWidth="1"/>
    <col min="14345" max="14345" width="11.109375" style="580" customWidth="1"/>
    <col min="14346" max="14465" width="9.109375" style="580" customWidth="1"/>
    <col min="14466" max="14466" width="2.5546875" style="580" customWidth="1"/>
    <col min="14467" max="14467" width="9.109375" style="580" customWidth="1"/>
    <col min="14468" max="14468" width="47.88671875" style="580" customWidth="1"/>
    <col min="14469" max="14469" width="6.6640625" style="580" customWidth="1"/>
    <col min="14470" max="14470" width="7.44140625" style="580" customWidth="1"/>
    <col min="14471" max="14471" width="7" style="580"/>
    <col min="14472" max="14472" width="8.5546875" style="580" customWidth="1"/>
    <col min="14473" max="14473" width="12" style="580" customWidth="1"/>
    <col min="14474" max="14474" width="4.6640625" style="580" customWidth="1"/>
    <col min="14475" max="14475" width="9.109375" style="580" customWidth="1"/>
    <col min="14476" max="14476" width="11.6640625" style="580" customWidth="1"/>
    <col min="14477" max="14588" width="7" style="580"/>
    <col min="14589" max="14589" width="3.88671875" style="580" customWidth="1"/>
    <col min="14590" max="14590" width="14" style="580" customWidth="1"/>
    <col min="14591" max="14591" width="66.5546875" style="580" customWidth="1"/>
    <col min="14592" max="14592" width="9.44140625" style="580" customWidth="1"/>
    <col min="14593" max="14593" width="9.109375" style="580" customWidth="1"/>
    <col min="14594" max="14594" width="11.109375" style="580" bestFit="1" customWidth="1"/>
    <col min="14595" max="14595" width="9.109375" style="580" customWidth="1"/>
    <col min="14596" max="14596" width="10.44140625" style="580" customWidth="1"/>
    <col min="14597" max="14597" width="9.109375" style="580" customWidth="1"/>
    <col min="14598" max="14598" width="10.6640625" style="580" customWidth="1"/>
    <col min="14599" max="14599" width="9.109375" style="580" customWidth="1"/>
    <col min="14600" max="14600" width="10.109375" style="580" customWidth="1"/>
    <col min="14601" max="14601" width="11.109375" style="580" customWidth="1"/>
    <col min="14602" max="14721" width="9.109375" style="580" customWidth="1"/>
    <col min="14722" max="14722" width="2.5546875" style="580" customWidth="1"/>
    <col min="14723" max="14723" width="9.109375" style="580" customWidth="1"/>
    <col min="14724" max="14724" width="47.88671875" style="580" customWidth="1"/>
    <col min="14725" max="14725" width="6.6640625" style="580" customWidth="1"/>
    <col min="14726" max="14726" width="7.44140625" style="580" customWidth="1"/>
    <col min="14727" max="14727" width="7" style="580"/>
    <col min="14728" max="14728" width="8.5546875" style="580" customWidth="1"/>
    <col min="14729" max="14729" width="12" style="580" customWidth="1"/>
    <col min="14730" max="14730" width="4.6640625" style="580" customWidth="1"/>
    <col min="14731" max="14731" width="9.109375" style="580" customWidth="1"/>
    <col min="14732" max="14732" width="11.6640625" style="580" customWidth="1"/>
    <col min="14733" max="14844" width="7" style="580"/>
    <col min="14845" max="14845" width="3.88671875" style="580" customWidth="1"/>
    <col min="14846" max="14846" width="14" style="580" customWidth="1"/>
    <col min="14847" max="14847" width="66.5546875" style="580" customWidth="1"/>
    <col min="14848" max="14848" width="9.44140625" style="580" customWidth="1"/>
    <col min="14849" max="14849" width="9.109375" style="580" customWidth="1"/>
    <col min="14850" max="14850" width="11.109375" style="580" bestFit="1" customWidth="1"/>
    <col min="14851" max="14851" width="9.109375" style="580" customWidth="1"/>
    <col min="14852" max="14852" width="10.44140625" style="580" customWidth="1"/>
    <col min="14853" max="14853" width="9.109375" style="580" customWidth="1"/>
    <col min="14854" max="14854" width="10.6640625" style="580" customWidth="1"/>
    <col min="14855" max="14855" width="9.109375" style="580" customWidth="1"/>
    <col min="14856" max="14856" width="10.109375" style="580" customWidth="1"/>
    <col min="14857" max="14857" width="11.109375" style="580" customWidth="1"/>
    <col min="14858" max="14977" width="9.109375" style="580" customWidth="1"/>
    <col min="14978" max="14978" width="2.5546875" style="580" customWidth="1"/>
    <col min="14979" max="14979" width="9.109375" style="580" customWidth="1"/>
    <col min="14980" max="14980" width="47.88671875" style="580" customWidth="1"/>
    <col min="14981" max="14981" width="6.6640625" style="580" customWidth="1"/>
    <col min="14982" max="14982" width="7.44140625" style="580" customWidth="1"/>
    <col min="14983" max="14983" width="7" style="580"/>
    <col min="14984" max="14984" width="8.5546875" style="580" customWidth="1"/>
    <col min="14985" max="14985" width="12" style="580" customWidth="1"/>
    <col min="14986" max="14986" width="4.6640625" style="580" customWidth="1"/>
    <col min="14987" max="14987" width="9.109375" style="580" customWidth="1"/>
    <col min="14988" max="14988" width="11.6640625" style="580" customWidth="1"/>
    <col min="14989" max="15100" width="7" style="580"/>
    <col min="15101" max="15101" width="3.88671875" style="580" customWidth="1"/>
    <col min="15102" max="15102" width="14" style="580" customWidth="1"/>
    <col min="15103" max="15103" width="66.5546875" style="580" customWidth="1"/>
    <col min="15104" max="15104" width="9.44140625" style="580" customWidth="1"/>
    <col min="15105" max="15105" width="9.109375" style="580" customWidth="1"/>
    <col min="15106" max="15106" width="11.109375" style="580" bestFit="1" customWidth="1"/>
    <col min="15107" max="15107" width="9.109375" style="580" customWidth="1"/>
    <col min="15108" max="15108" width="10.44140625" style="580" customWidth="1"/>
    <col min="15109" max="15109" width="9.109375" style="580" customWidth="1"/>
    <col min="15110" max="15110" width="10.6640625" style="580" customWidth="1"/>
    <col min="15111" max="15111" width="9.109375" style="580" customWidth="1"/>
    <col min="15112" max="15112" width="10.109375" style="580" customWidth="1"/>
    <col min="15113" max="15113" width="11.109375" style="580" customWidth="1"/>
    <col min="15114" max="15233" width="9.109375" style="580" customWidth="1"/>
    <col min="15234" max="15234" width="2.5546875" style="580" customWidth="1"/>
    <col min="15235" max="15235" width="9.109375" style="580" customWidth="1"/>
    <col min="15236" max="15236" width="47.88671875" style="580" customWidth="1"/>
    <col min="15237" max="15237" width="6.6640625" style="580" customWidth="1"/>
    <col min="15238" max="15238" width="7.44140625" style="580" customWidth="1"/>
    <col min="15239" max="15239" width="7" style="580"/>
    <col min="15240" max="15240" width="8.5546875" style="580" customWidth="1"/>
    <col min="15241" max="15241" width="12" style="580" customWidth="1"/>
    <col min="15242" max="15242" width="4.6640625" style="580" customWidth="1"/>
    <col min="15243" max="15243" width="9.109375" style="580" customWidth="1"/>
    <col min="15244" max="15244" width="11.6640625" style="580" customWidth="1"/>
    <col min="15245" max="15356" width="7" style="580"/>
    <col min="15357" max="15357" width="3.88671875" style="580" customWidth="1"/>
    <col min="15358" max="15358" width="14" style="580" customWidth="1"/>
    <col min="15359" max="15359" width="66.5546875" style="580" customWidth="1"/>
    <col min="15360" max="15360" width="9.44140625" style="580" customWidth="1"/>
    <col min="15361" max="15361" width="9.109375" style="580" customWidth="1"/>
    <col min="15362" max="15362" width="11.109375" style="580" bestFit="1" customWidth="1"/>
    <col min="15363" max="15363" width="9.109375" style="580" customWidth="1"/>
    <col min="15364" max="15364" width="10.44140625" style="580" customWidth="1"/>
    <col min="15365" max="15365" width="9.109375" style="580" customWidth="1"/>
    <col min="15366" max="15366" width="10.6640625" style="580" customWidth="1"/>
    <col min="15367" max="15367" width="9.109375" style="580" customWidth="1"/>
    <col min="15368" max="15368" width="10.109375" style="580" customWidth="1"/>
    <col min="15369" max="15369" width="11.109375" style="580" customWidth="1"/>
    <col min="15370" max="15489" width="9.109375" style="580" customWidth="1"/>
    <col min="15490" max="15490" width="2.5546875" style="580" customWidth="1"/>
    <col min="15491" max="15491" width="9.109375" style="580" customWidth="1"/>
    <col min="15492" max="15492" width="47.88671875" style="580" customWidth="1"/>
    <col min="15493" max="15493" width="6.6640625" style="580" customWidth="1"/>
    <col min="15494" max="15494" width="7.44140625" style="580" customWidth="1"/>
    <col min="15495" max="15495" width="7" style="580"/>
    <col min="15496" max="15496" width="8.5546875" style="580" customWidth="1"/>
    <col min="15497" max="15497" width="12" style="580" customWidth="1"/>
    <col min="15498" max="15498" width="4.6640625" style="580" customWidth="1"/>
    <col min="15499" max="15499" width="9.109375" style="580" customWidth="1"/>
    <col min="15500" max="15500" width="11.6640625" style="580" customWidth="1"/>
    <col min="15501" max="15612" width="7" style="580"/>
    <col min="15613" max="15613" width="3.88671875" style="580" customWidth="1"/>
    <col min="15614" max="15614" width="14" style="580" customWidth="1"/>
    <col min="15615" max="15615" width="66.5546875" style="580" customWidth="1"/>
    <col min="15616" max="15616" width="9.44140625" style="580" customWidth="1"/>
    <col min="15617" max="15617" width="9.109375" style="580" customWidth="1"/>
    <col min="15618" max="15618" width="11.109375" style="580" bestFit="1" customWidth="1"/>
    <col min="15619" max="15619" width="9.109375" style="580" customWidth="1"/>
    <col min="15620" max="15620" width="10.44140625" style="580" customWidth="1"/>
    <col min="15621" max="15621" width="9.109375" style="580" customWidth="1"/>
    <col min="15622" max="15622" width="10.6640625" style="580" customWidth="1"/>
    <col min="15623" max="15623" width="9.109375" style="580" customWidth="1"/>
    <col min="15624" max="15624" width="10.109375" style="580" customWidth="1"/>
    <col min="15625" max="15625" width="11.109375" style="580" customWidth="1"/>
    <col min="15626" max="15745" width="9.109375" style="580" customWidth="1"/>
    <col min="15746" max="15746" width="2.5546875" style="580" customWidth="1"/>
    <col min="15747" max="15747" width="9.109375" style="580" customWidth="1"/>
    <col min="15748" max="15748" width="47.88671875" style="580" customWidth="1"/>
    <col min="15749" max="15749" width="6.6640625" style="580" customWidth="1"/>
    <col min="15750" max="15750" width="7.44140625" style="580" customWidth="1"/>
    <col min="15751" max="15751" width="7" style="580"/>
    <col min="15752" max="15752" width="8.5546875" style="580" customWidth="1"/>
    <col min="15753" max="15753" width="12" style="580" customWidth="1"/>
    <col min="15754" max="15754" width="4.6640625" style="580" customWidth="1"/>
    <col min="15755" max="15755" width="9.109375" style="580" customWidth="1"/>
    <col min="15756" max="15756" width="11.6640625" style="580" customWidth="1"/>
    <col min="15757" max="15868" width="7" style="580"/>
    <col min="15869" max="15869" width="3.88671875" style="580" customWidth="1"/>
    <col min="15870" max="15870" width="14" style="580" customWidth="1"/>
    <col min="15871" max="15871" width="66.5546875" style="580" customWidth="1"/>
    <col min="15872" max="15872" width="9.44140625" style="580" customWidth="1"/>
    <col min="15873" max="15873" width="9.109375" style="580" customWidth="1"/>
    <col min="15874" max="15874" width="11.109375" style="580" bestFit="1" customWidth="1"/>
    <col min="15875" max="15875" width="9.109375" style="580" customWidth="1"/>
    <col min="15876" max="15876" width="10.44140625" style="580" customWidth="1"/>
    <col min="15877" max="15877" width="9.109375" style="580" customWidth="1"/>
    <col min="15878" max="15878" width="10.6640625" style="580" customWidth="1"/>
    <col min="15879" max="15879" width="9.109375" style="580" customWidth="1"/>
    <col min="15880" max="15880" width="10.109375" style="580" customWidth="1"/>
    <col min="15881" max="15881" width="11.109375" style="580" customWidth="1"/>
    <col min="15882" max="16001" width="9.109375" style="580" customWidth="1"/>
    <col min="16002" max="16002" width="2.5546875" style="580" customWidth="1"/>
    <col min="16003" max="16003" width="9.109375" style="580" customWidth="1"/>
    <col min="16004" max="16004" width="47.88671875" style="580" customWidth="1"/>
    <col min="16005" max="16005" width="6.6640625" style="580" customWidth="1"/>
    <col min="16006" max="16006" width="7.44140625" style="580" customWidth="1"/>
    <col min="16007" max="16007" width="7" style="580"/>
    <col min="16008" max="16008" width="8.5546875" style="580" customWidth="1"/>
    <col min="16009" max="16009" width="12" style="580" customWidth="1"/>
    <col min="16010" max="16010" width="4.6640625" style="580" customWidth="1"/>
    <col min="16011" max="16011" width="9.109375" style="580" customWidth="1"/>
    <col min="16012" max="16012" width="11.6640625" style="580" customWidth="1"/>
    <col min="16013" max="16124" width="7" style="580"/>
    <col min="16125" max="16125" width="3.88671875" style="580" customWidth="1"/>
    <col min="16126" max="16126" width="14" style="580" customWidth="1"/>
    <col min="16127" max="16127" width="66.5546875" style="580" customWidth="1"/>
    <col min="16128" max="16128" width="9.44140625" style="580" customWidth="1"/>
    <col min="16129" max="16129" width="9.109375" style="580" customWidth="1"/>
    <col min="16130" max="16130" width="11.109375" style="580" bestFit="1" customWidth="1"/>
    <col min="16131" max="16131" width="9.109375" style="580" customWidth="1"/>
    <col min="16132" max="16132" width="10.44140625" style="580" customWidth="1"/>
    <col min="16133" max="16133" width="9.109375" style="580" customWidth="1"/>
    <col min="16134" max="16134" width="10.6640625" style="580" customWidth="1"/>
    <col min="16135" max="16135" width="9.109375" style="580" customWidth="1"/>
    <col min="16136" max="16136" width="10.109375" style="580" customWidth="1"/>
    <col min="16137" max="16137" width="11.109375" style="580" customWidth="1"/>
    <col min="16138" max="16257" width="9.109375" style="580" customWidth="1"/>
    <col min="16258" max="16258" width="2.5546875" style="580" customWidth="1"/>
    <col min="16259" max="16259" width="9.109375" style="580" customWidth="1"/>
    <col min="16260" max="16260" width="47.88671875" style="580" customWidth="1"/>
    <col min="16261" max="16261" width="6.6640625" style="580" customWidth="1"/>
    <col min="16262" max="16262" width="7.44140625" style="580" customWidth="1"/>
    <col min="16263" max="16263" width="7" style="580"/>
    <col min="16264" max="16264" width="8.5546875" style="580" customWidth="1"/>
    <col min="16265" max="16265" width="12" style="580" customWidth="1"/>
    <col min="16266" max="16266" width="4.6640625" style="580" customWidth="1"/>
    <col min="16267" max="16267" width="9.109375" style="580" customWidth="1"/>
    <col min="16268" max="16268" width="11.6640625" style="580" customWidth="1"/>
    <col min="16269" max="16384" width="7" style="580"/>
  </cols>
  <sheetData>
    <row r="1" spans="1:13" s="555" customFormat="1" ht="16.2">
      <c r="A1" s="684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s="555" customFormat="1" ht="16.2">
      <c r="A2" s="685" t="s">
        <v>1</v>
      </c>
      <c r="B2" s="685"/>
      <c r="C2" s="685"/>
      <c r="D2" s="685"/>
      <c r="E2" s="685"/>
      <c r="F2" s="685"/>
      <c r="G2" s="102" t="str">
        <f>B!B17</f>
        <v>B-7</v>
      </c>
      <c r="H2" s="102"/>
      <c r="I2" s="102"/>
      <c r="J2" s="102"/>
      <c r="K2" s="102"/>
      <c r="L2" s="102"/>
      <c r="M2" s="102"/>
    </row>
    <row r="3" spans="1:13" s="555" customFormat="1" ht="16.2">
      <c r="A3" s="738" t="str">
        <f>B!C17</f>
        <v>რეზერვუარის შემოღობვა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</row>
    <row r="4" spans="1:13" s="555" customFormat="1" ht="15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3" s="555" customFormat="1" ht="31.5" customHeight="1">
      <c r="A5" s="258"/>
      <c r="B5" s="688">
        <f>gan.barat!B34</f>
        <v>0</v>
      </c>
      <c r="C5" s="688"/>
      <c r="D5" s="688"/>
      <c r="E5" s="688"/>
      <c r="F5" s="688"/>
      <c r="G5" s="688"/>
      <c r="H5" s="604"/>
      <c r="I5" s="604"/>
      <c r="J5" s="604"/>
      <c r="K5" s="604"/>
      <c r="L5" s="604"/>
      <c r="M5" s="604"/>
    </row>
    <row r="6" spans="1:13" s="555" customFormat="1" ht="15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3" s="555" customFormat="1" ht="15">
      <c r="A7" s="736" t="s">
        <v>382</v>
      </c>
      <c r="B7" s="739" t="s">
        <v>383</v>
      </c>
      <c r="C7" s="736" t="s">
        <v>384</v>
      </c>
      <c r="D7" s="736" t="s">
        <v>385</v>
      </c>
      <c r="E7" s="736" t="s">
        <v>386</v>
      </c>
      <c r="F7" s="736" t="s">
        <v>387</v>
      </c>
      <c r="G7" s="737" t="s">
        <v>388</v>
      </c>
      <c r="H7" s="737"/>
      <c r="I7" s="737" t="s">
        <v>389</v>
      </c>
      <c r="J7" s="737"/>
      <c r="K7" s="736" t="s">
        <v>390</v>
      </c>
      <c r="L7" s="736"/>
      <c r="M7" s="606" t="s">
        <v>391</v>
      </c>
    </row>
    <row r="8" spans="1:13" s="555" customFormat="1" ht="15">
      <c r="A8" s="736"/>
      <c r="B8" s="739"/>
      <c r="C8" s="736"/>
      <c r="D8" s="736"/>
      <c r="E8" s="736"/>
      <c r="F8" s="736"/>
      <c r="G8" s="606" t="s">
        <v>392</v>
      </c>
      <c r="H8" s="606" t="s">
        <v>393</v>
      </c>
      <c r="I8" s="606" t="s">
        <v>392</v>
      </c>
      <c r="J8" s="606" t="s">
        <v>393</v>
      </c>
      <c r="K8" s="606" t="s">
        <v>392</v>
      </c>
      <c r="L8" s="606" t="s">
        <v>394</v>
      </c>
      <c r="M8" s="606" t="s">
        <v>395</v>
      </c>
    </row>
    <row r="9" spans="1:13" s="557" customFormat="1" ht="15">
      <c r="A9" s="605">
        <v>1</v>
      </c>
      <c r="B9" s="607">
        <v>3</v>
      </c>
      <c r="C9" s="605">
        <v>2</v>
      </c>
      <c r="D9" s="605">
        <v>4</v>
      </c>
      <c r="E9" s="605">
        <v>5</v>
      </c>
      <c r="F9" s="605">
        <v>6</v>
      </c>
      <c r="G9" s="606">
        <v>7</v>
      </c>
      <c r="H9" s="606">
        <v>8</v>
      </c>
      <c r="I9" s="606">
        <v>9</v>
      </c>
      <c r="J9" s="606">
        <v>10</v>
      </c>
      <c r="K9" s="606">
        <v>11</v>
      </c>
      <c r="L9" s="606">
        <v>12</v>
      </c>
      <c r="M9" s="606">
        <v>13</v>
      </c>
    </row>
    <row r="10" spans="1:13" s="557" customFormat="1" ht="15">
      <c r="A10" s="259">
        <v>1</v>
      </c>
      <c r="B10" s="558" t="s">
        <v>344</v>
      </c>
      <c r="C10" s="220" t="s">
        <v>345</v>
      </c>
      <c r="D10" s="118" t="s">
        <v>6</v>
      </c>
      <c r="E10" s="118"/>
      <c r="F10" s="625">
        <v>9.98</v>
      </c>
      <c r="G10" s="990"/>
      <c r="H10" s="991"/>
      <c r="I10" s="990"/>
      <c r="J10" s="991"/>
      <c r="K10" s="990"/>
      <c r="L10" s="991"/>
      <c r="M10" s="991">
        <f>M11</f>
        <v>0</v>
      </c>
    </row>
    <row r="11" spans="1:13" s="557" customFormat="1" ht="15">
      <c r="A11" s="606"/>
      <c r="B11" s="626"/>
      <c r="C11" s="228" t="s">
        <v>58</v>
      </c>
      <c r="D11" s="96" t="s">
        <v>5</v>
      </c>
      <c r="E11" s="96">
        <v>3.88</v>
      </c>
      <c r="F11" s="559">
        <f>F10*E11</f>
        <v>38.7224</v>
      </c>
      <c r="G11" s="992"/>
      <c r="H11" s="993"/>
      <c r="I11" s="992">
        <v>0</v>
      </c>
      <c r="J11" s="993">
        <f>F11*I11</f>
        <v>0</v>
      </c>
      <c r="K11" s="992"/>
      <c r="L11" s="993"/>
      <c r="M11" s="993">
        <f>H11+J11+L11</f>
        <v>0</v>
      </c>
    </row>
    <row r="12" spans="1:13" s="557" customFormat="1" ht="30">
      <c r="A12" s="259">
        <v>2</v>
      </c>
      <c r="B12" s="558" t="s">
        <v>344</v>
      </c>
      <c r="C12" s="220" t="s">
        <v>346</v>
      </c>
      <c r="D12" s="118" t="s">
        <v>6</v>
      </c>
      <c r="E12" s="118"/>
      <c r="F12" s="625">
        <v>8.1</v>
      </c>
      <c r="G12" s="990"/>
      <c r="H12" s="991"/>
      <c r="I12" s="990"/>
      <c r="J12" s="991"/>
      <c r="K12" s="990"/>
      <c r="L12" s="991"/>
      <c r="M12" s="991">
        <f>M13</f>
        <v>0</v>
      </c>
    </row>
    <row r="13" spans="1:13" s="557" customFormat="1" ht="15">
      <c r="A13" s="606"/>
      <c r="B13" s="626"/>
      <c r="C13" s="228" t="s">
        <v>58</v>
      </c>
      <c r="D13" s="96" t="s">
        <v>5</v>
      </c>
      <c r="E13" s="96">
        <v>3.88</v>
      </c>
      <c r="F13" s="559">
        <f>F12*E13</f>
        <v>31.427999999999997</v>
      </c>
      <c r="G13" s="992"/>
      <c r="H13" s="993"/>
      <c r="I13" s="992">
        <v>0</v>
      </c>
      <c r="J13" s="993">
        <f>F13*I13</f>
        <v>0</v>
      </c>
      <c r="K13" s="992"/>
      <c r="L13" s="993"/>
      <c r="M13" s="993">
        <f>H13+J13+L13</f>
        <v>0</v>
      </c>
    </row>
    <row r="14" spans="1:13" s="557" customFormat="1" ht="30">
      <c r="A14" s="259">
        <v>3</v>
      </c>
      <c r="B14" s="558" t="s">
        <v>347</v>
      </c>
      <c r="C14" s="98" t="s">
        <v>714</v>
      </c>
      <c r="D14" s="95" t="s">
        <v>6</v>
      </c>
      <c r="E14" s="95"/>
      <c r="F14" s="625">
        <v>6.14</v>
      </c>
      <c r="G14" s="844"/>
      <c r="H14" s="844"/>
      <c r="I14" s="844"/>
      <c r="J14" s="844"/>
      <c r="K14" s="844"/>
      <c r="L14" s="844"/>
      <c r="M14" s="845">
        <f>SUM(M15:M18)</f>
        <v>0</v>
      </c>
    </row>
    <row r="15" spans="1:13" s="557" customFormat="1" ht="15">
      <c r="A15" s="259"/>
      <c r="B15" s="627"/>
      <c r="C15" s="97" t="s">
        <v>63</v>
      </c>
      <c r="D15" s="96" t="s">
        <v>66</v>
      </c>
      <c r="E15" s="94">
        <v>1.37</v>
      </c>
      <c r="F15" s="111">
        <f>E15*F14</f>
        <v>8.4117999999999995</v>
      </c>
      <c r="G15" s="852"/>
      <c r="H15" s="853"/>
      <c r="I15" s="992">
        <v>0</v>
      </c>
      <c r="J15" s="853">
        <f>I15*F15</f>
        <v>0</v>
      </c>
      <c r="K15" s="852"/>
      <c r="L15" s="852"/>
      <c r="M15" s="853">
        <f t="shared" ref="M15:M18" si="0">L15+J15+H15</f>
        <v>0</v>
      </c>
    </row>
    <row r="16" spans="1:13" s="557" customFormat="1" ht="15">
      <c r="A16" s="606"/>
      <c r="B16" s="626"/>
      <c r="C16" s="97" t="s">
        <v>64</v>
      </c>
      <c r="D16" s="96" t="s">
        <v>7</v>
      </c>
      <c r="E16" s="94">
        <v>0.28299999999999997</v>
      </c>
      <c r="F16" s="111">
        <f>E16*F15</f>
        <v>2.3805393999999995</v>
      </c>
      <c r="G16" s="852"/>
      <c r="H16" s="852"/>
      <c r="I16" s="852"/>
      <c r="J16" s="852"/>
      <c r="K16" s="852">
        <v>0</v>
      </c>
      <c r="L16" s="853">
        <f>K16*F16</f>
        <v>0</v>
      </c>
      <c r="M16" s="853">
        <f t="shared" si="0"/>
        <v>0</v>
      </c>
    </row>
    <row r="17" spans="1:13" s="557" customFormat="1" ht="17.399999999999999">
      <c r="A17" s="606"/>
      <c r="B17" s="628" t="s">
        <v>752</v>
      </c>
      <c r="C17" s="97" t="s">
        <v>125</v>
      </c>
      <c r="D17" s="96" t="s">
        <v>220</v>
      </c>
      <c r="E17" s="94">
        <v>1.02</v>
      </c>
      <c r="F17" s="111">
        <f>E17*F14</f>
        <v>6.2627999999999995</v>
      </c>
      <c r="G17" s="807">
        <v>0</v>
      </c>
      <c r="H17" s="994">
        <f>G17*F17</f>
        <v>0</v>
      </c>
      <c r="I17" s="995"/>
      <c r="J17" s="996"/>
      <c r="K17" s="997"/>
      <c r="L17" s="997"/>
      <c r="M17" s="853">
        <f t="shared" si="0"/>
        <v>0</v>
      </c>
    </row>
    <row r="18" spans="1:13" s="557" customFormat="1" ht="15">
      <c r="A18" s="606"/>
      <c r="B18" s="627"/>
      <c r="C18" s="97" t="s">
        <v>60</v>
      </c>
      <c r="D18" s="96" t="s">
        <v>7</v>
      </c>
      <c r="E18" s="94">
        <v>0.62</v>
      </c>
      <c r="F18" s="111">
        <f>E18*F14</f>
        <v>3.8068</v>
      </c>
      <c r="G18" s="997">
        <v>0</v>
      </c>
      <c r="H18" s="994">
        <f>G18*F18</f>
        <v>0</v>
      </c>
      <c r="I18" s="995"/>
      <c r="J18" s="996"/>
      <c r="K18" s="997"/>
      <c r="L18" s="997"/>
      <c r="M18" s="853">
        <f t="shared" si="0"/>
        <v>0</v>
      </c>
    </row>
    <row r="19" spans="1:13" s="557" customFormat="1" ht="30">
      <c r="A19" s="259">
        <v>4</v>
      </c>
      <c r="B19" s="558" t="s">
        <v>347</v>
      </c>
      <c r="C19" s="98" t="s">
        <v>348</v>
      </c>
      <c r="D19" s="95" t="s">
        <v>6</v>
      </c>
      <c r="E19" s="95"/>
      <c r="F19" s="625">
        <v>10.8</v>
      </c>
      <c r="G19" s="844"/>
      <c r="H19" s="844"/>
      <c r="I19" s="844"/>
      <c r="J19" s="844"/>
      <c r="K19" s="844"/>
      <c r="L19" s="844"/>
      <c r="M19" s="845">
        <f>SUM(M20:M25)</f>
        <v>0</v>
      </c>
    </row>
    <row r="20" spans="1:13" s="557" customFormat="1" ht="15">
      <c r="A20" s="606"/>
      <c r="B20" s="627"/>
      <c r="C20" s="97" t="s">
        <v>63</v>
      </c>
      <c r="D20" s="96" t="s">
        <v>66</v>
      </c>
      <c r="E20" s="94">
        <v>1.37</v>
      </c>
      <c r="F20" s="111">
        <f>E20*F19</f>
        <v>14.796000000000003</v>
      </c>
      <c r="G20" s="852"/>
      <c r="H20" s="853"/>
      <c r="I20" s="992">
        <v>0</v>
      </c>
      <c r="J20" s="853">
        <f>I20*F20</f>
        <v>0</v>
      </c>
      <c r="K20" s="852"/>
      <c r="L20" s="852"/>
      <c r="M20" s="853">
        <f t="shared" ref="M20:M25" si="1">L20+J20+H20</f>
        <v>0</v>
      </c>
    </row>
    <row r="21" spans="1:13" s="557" customFormat="1" ht="15">
      <c r="A21" s="606"/>
      <c r="B21" s="626"/>
      <c r="C21" s="97" t="s">
        <v>64</v>
      </c>
      <c r="D21" s="96" t="s">
        <v>7</v>
      </c>
      <c r="E21" s="94">
        <v>0.28299999999999997</v>
      </c>
      <c r="F21" s="111">
        <f>E21*F20</f>
        <v>4.1872680000000004</v>
      </c>
      <c r="G21" s="852"/>
      <c r="H21" s="852"/>
      <c r="I21" s="852"/>
      <c r="J21" s="852"/>
      <c r="K21" s="852">
        <v>0</v>
      </c>
      <c r="L21" s="853">
        <f>K21*F21</f>
        <v>0</v>
      </c>
      <c r="M21" s="853">
        <f t="shared" si="1"/>
        <v>0</v>
      </c>
    </row>
    <row r="22" spans="1:13" s="557" customFormat="1" ht="17.399999999999999">
      <c r="A22" s="606"/>
      <c r="B22" s="628" t="s">
        <v>752</v>
      </c>
      <c r="C22" s="97" t="s">
        <v>125</v>
      </c>
      <c r="D22" s="96" t="s">
        <v>220</v>
      </c>
      <c r="E22" s="94">
        <v>1.02</v>
      </c>
      <c r="F22" s="111">
        <f>E22*F19</f>
        <v>11.016000000000002</v>
      </c>
      <c r="G22" s="807">
        <v>0</v>
      </c>
      <c r="H22" s="994">
        <f>G22*F22</f>
        <v>0</v>
      </c>
      <c r="I22" s="995"/>
      <c r="J22" s="996"/>
      <c r="K22" s="997"/>
      <c r="L22" s="997"/>
      <c r="M22" s="853">
        <f t="shared" si="1"/>
        <v>0</v>
      </c>
    </row>
    <row r="23" spans="1:13" s="557" customFormat="1" ht="15">
      <c r="A23" s="606"/>
      <c r="B23" s="250" t="s">
        <v>741</v>
      </c>
      <c r="C23" s="97" t="s">
        <v>715</v>
      </c>
      <c r="D23" s="96" t="s">
        <v>81</v>
      </c>
      <c r="E23" s="94">
        <v>0.01</v>
      </c>
      <c r="F23" s="111">
        <f>E23*F19</f>
        <v>0.10800000000000001</v>
      </c>
      <c r="G23" s="858">
        <v>0</v>
      </c>
      <c r="H23" s="994">
        <f>G23*F23</f>
        <v>0</v>
      </c>
      <c r="I23" s="995"/>
      <c r="J23" s="996"/>
      <c r="K23" s="997"/>
      <c r="L23" s="997"/>
      <c r="M23" s="853">
        <f t="shared" si="1"/>
        <v>0</v>
      </c>
    </row>
    <row r="24" spans="1:13" s="557" customFormat="1" ht="15">
      <c r="A24" s="606"/>
      <c r="B24" s="250" t="s">
        <v>738</v>
      </c>
      <c r="C24" s="629" t="s">
        <v>716</v>
      </c>
      <c r="D24" s="96" t="s">
        <v>6</v>
      </c>
      <c r="E24" s="94">
        <v>0.01</v>
      </c>
      <c r="F24" s="111">
        <f>E24*F19</f>
        <v>0.10800000000000001</v>
      </c>
      <c r="G24" s="809">
        <v>0</v>
      </c>
      <c r="H24" s="994">
        <f>G24*F24</f>
        <v>0</v>
      </c>
      <c r="I24" s="995"/>
      <c r="J24" s="996"/>
      <c r="K24" s="997"/>
      <c r="L24" s="997"/>
      <c r="M24" s="853">
        <f t="shared" si="1"/>
        <v>0</v>
      </c>
    </row>
    <row r="25" spans="1:13" s="557" customFormat="1" ht="15">
      <c r="A25" s="606"/>
      <c r="B25" s="627"/>
      <c r="C25" s="97" t="s">
        <v>60</v>
      </c>
      <c r="D25" s="96" t="s">
        <v>7</v>
      </c>
      <c r="E25" s="94">
        <v>0.62</v>
      </c>
      <c r="F25" s="111">
        <f>E25*F19</f>
        <v>6.6960000000000006</v>
      </c>
      <c r="G25" s="997">
        <v>0</v>
      </c>
      <c r="H25" s="994">
        <f>G25*F25</f>
        <v>0</v>
      </c>
      <c r="I25" s="995"/>
      <c r="J25" s="996"/>
      <c r="K25" s="997"/>
      <c r="L25" s="997"/>
      <c r="M25" s="853">
        <f t="shared" si="1"/>
        <v>0</v>
      </c>
    </row>
    <row r="26" spans="1:13" s="557" customFormat="1" ht="30">
      <c r="A26" s="259">
        <v>5</v>
      </c>
      <c r="B26" s="630" t="s">
        <v>349</v>
      </c>
      <c r="C26" s="631" t="s">
        <v>717</v>
      </c>
      <c r="D26" s="95" t="s">
        <v>62</v>
      </c>
      <c r="E26" s="95"/>
      <c r="F26" s="632">
        <v>135</v>
      </c>
      <c r="G26" s="844"/>
      <c r="H26" s="844"/>
      <c r="I26" s="844"/>
      <c r="J26" s="844"/>
      <c r="K26" s="844"/>
      <c r="L26" s="844"/>
      <c r="M26" s="845">
        <f>SUM(M27:M34)</f>
        <v>0</v>
      </c>
    </row>
    <row r="27" spans="1:13" s="557" customFormat="1" ht="15">
      <c r="A27" s="606"/>
      <c r="B27" s="95"/>
      <c r="C27" s="97" t="s">
        <v>63</v>
      </c>
      <c r="D27" s="96" t="s">
        <v>5</v>
      </c>
      <c r="E27" s="94">
        <f>3.12</f>
        <v>3.12</v>
      </c>
      <c r="F27" s="111">
        <f>E27*F26</f>
        <v>421.2</v>
      </c>
      <c r="G27" s="852"/>
      <c r="H27" s="853"/>
      <c r="I27" s="852">
        <v>0</v>
      </c>
      <c r="J27" s="853">
        <f>I27*F27</f>
        <v>0</v>
      </c>
      <c r="K27" s="852"/>
      <c r="L27" s="852"/>
      <c r="M27" s="853">
        <f t="shared" ref="M27:M34" si="2">L27+J27+H27</f>
        <v>0</v>
      </c>
    </row>
    <row r="28" spans="1:13" s="557" customFormat="1" ht="15">
      <c r="A28" s="606"/>
      <c r="B28" s="633" t="s">
        <v>755</v>
      </c>
      <c r="C28" s="97" t="s">
        <v>350</v>
      </c>
      <c r="D28" s="96" t="s">
        <v>229</v>
      </c>
      <c r="E28" s="94">
        <f>0.407</f>
        <v>0.40699999999999997</v>
      </c>
      <c r="F28" s="111">
        <f>E28*F26</f>
        <v>54.944999999999993</v>
      </c>
      <c r="G28" s="852"/>
      <c r="H28" s="852"/>
      <c r="I28" s="852"/>
      <c r="J28" s="852"/>
      <c r="K28" s="802">
        <v>0</v>
      </c>
      <c r="L28" s="853">
        <f>K28*F28</f>
        <v>0</v>
      </c>
      <c r="M28" s="853">
        <f t="shared" si="2"/>
        <v>0</v>
      </c>
    </row>
    <row r="29" spans="1:13" s="557" customFormat="1" ht="15">
      <c r="A29" s="259"/>
      <c r="B29" s="634"/>
      <c r="C29" s="97" t="s">
        <v>64</v>
      </c>
      <c r="D29" s="96" t="s">
        <v>7</v>
      </c>
      <c r="E29" s="94">
        <v>0.09</v>
      </c>
      <c r="F29" s="111">
        <f>E29*F26</f>
        <v>12.15</v>
      </c>
      <c r="G29" s="852"/>
      <c r="H29" s="852"/>
      <c r="I29" s="852"/>
      <c r="J29" s="852"/>
      <c r="K29" s="852">
        <v>0</v>
      </c>
      <c r="L29" s="853">
        <f>K29*F29</f>
        <v>0</v>
      </c>
      <c r="M29" s="853">
        <f t="shared" si="2"/>
        <v>0</v>
      </c>
    </row>
    <row r="30" spans="1:13" s="561" customFormat="1" ht="15">
      <c r="A30" s="606"/>
      <c r="B30" s="560" t="s">
        <v>718</v>
      </c>
      <c r="C30" s="97" t="s">
        <v>757</v>
      </c>
      <c r="D30" s="96" t="s">
        <v>351</v>
      </c>
      <c r="E30" s="94" t="s">
        <v>499</v>
      </c>
      <c r="F30" s="94">
        <v>80</v>
      </c>
      <c r="G30" s="807">
        <v>0</v>
      </c>
      <c r="H30" s="994">
        <f>G30*F30</f>
        <v>0</v>
      </c>
      <c r="I30" s="995"/>
      <c r="J30" s="996"/>
      <c r="K30" s="997"/>
      <c r="L30" s="997"/>
      <c r="M30" s="853">
        <f t="shared" si="2"/>
        <v>0</v>
      </c>
    </row>
    <row r="31" spans="1:13" s="561" customFormat="1" ht="15">
      <c r="A31" s="606"/>
      <c r="B31" s="260" t="s">
        <v>719</v>
      </c>
      <c r="C31" s="97" t="s">
        <v>352</v>
      </c>
      <c r="D31" s="96" t="s">
        <v>67</v>
      </c>
      <c r="E31" s="94" t="s">
        <v>353</v>
      </c>
      <c r="F31" s="562">
        <v>0.129</v>
      </c>
      <c r="G31" s="994">
        <v>0</v>
      </c>
      <c r="H31" s="994">
        <f>G31*F31</f>
        <v>0</v>
      </c>
      <c r="I31" s="995"/>
      <c r="J31" s="996"/>
      <c r="K31" s="997"/>
      <c r="L31" s="997"/>
      <c r="M31" s="853">
        <f t="shared" si="2"/>
        <v>0</v>
      </c>
    </row>
    <row r="32" spans="1:13" s="561" customFormat="1" ht="15">
      <c r="A32" s="606"/>
      <c r="B32" s="221" t="s">
        <v>720</v>
      </c>
      <c r="C32" s="97" t="s">
        <v>354</v>
      </c>
      <c r="D32" s="96" t="s">
        <v>67</v>
      </c>
      <c r="E32" s="94">
        <f>0.002/100</f>
        <v>2.0000000000000002E-5</v>
      </c>
      <c r="F32" s="563">
        <f>E32*F26</f>
        <v>2.7000000000000001E-3</v>
      </c>
      <c r="G32" s="997">
        <v>0</v>
      </c>
      <c r="H32" s="994">
        <f>G32*F32</f>
        <v>0</v>
      </c>
      <c r="I32" s="995"/>
      <c r="J32" s="996"/>
      <c r="K32" s="997"/>
      <c r="L32" s="997"/>
      <c r="M32" s="853">
        <f t="shared" si="2"/>
        <v>0</v>
      </c>
    </row>
    <row r="33" spans="1:252" s="561" customFormat="1" ht="15">
      <c r="A33" s="606"/>
      <c r="B33" s="221" t="s">
        <v>721</v>
      </c>
      <c r="C33" s="97" t="s">
        <v>722</v>
      </c>
      <c r="D33" s="96" t="s">
        <v>81</v>
      </c>
      <c r="E33" s="94">
        <v>1.5</v>
      </c>
      <c r="F33" s="111">
        <f>E33*F26</f>
        <v>202.5</v>
      </c>
      <c r="G33" s="997">
        <v>0</v>
      </c>
      <c r="H33" s="994">
        <f>G33*F33</f>
        <v>0</v>
      </c>
      <c r="I33" s="995"/>
      <c r="J33" s="996"/>
      <c r="K33" s="997"/>
      <c r="L33" s="997"/>
      <c r="M33" s="853">
        <f t="shared" si="2"/>
        <v>0</v>
      </c>
    </row>
    <row r="34" spans="1:252" s="561" customFormat="1" ht="15">
      <c r="A34" s="606"/>
      <c r="B34" s="564"/>
      <c r="C34" s="565" t="s">
        <v>60</v>
      </c>
      <c r="D34" s="566" t="s">
        <v>7</v>
      </c>
      <c r="E34" s="99">
        <v>0.05</v>
      </c>
      <c r="F34" s="100">
        <f>E34*F26</f>
        <v>6.75</v>
      </c>
      <c r="G34" s="998">
        <v>0</v>
      </c>
      <c r="H34" s="999">
        <f>G34*F34</f>
        <v>0</v>
      </c>
      <c r="I34" s="1000"/>
      <c r="J34" s="1001"/>
      <c r="K34" s="998"/>
      <c r="L34" s="998"/>
      <c r="M34" s="1002">
        <f t="shared" si="2"/>
        <v>0</v>
      </c>
    </row>
    <row r="35" spans="1:252" s="561" customFormat="1" ht="15">
      <c r="A35" s="95">
        <v>6</v>
      </c>
      <c r="B35" s="558" t="s">
        <v>355</v>
      </c>
      <c r="C35" s="220" t="s">
        <v>723</v>
      </c>
      <c r="D35" s="95" t="s">
        <v>65</v>
      </c>
      <c r="E35" s="261"/>
      <c r="F35" s="116">
        <v>1</v>
      </c>
      <c r="G35" s="844"/>
      <c r="H35" s="844"/>
      <c r="I35" s="845"/>
      <c r="J35" s="844"/>
      <c r="K35" s="844"/>
      <c r="L35" s="844"/>
      <c r="M35" s="845">
        <f>SUM(M36:M46)</f>
        <v>0</v>
      </c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  <c r="BO35" s="567"/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567"/>
      <c r="CC35" s="567"/>
      <c r="CD35" s="567"/>
      <c r="CE35" s="567"/>
      <c r="CF35" s="567"/>
      <c r="CG35" s="567"/>
      <c r="CH35" s="567"/>
      <c r="CI35" s="567"/>
      <c r="CJ35" s="567"/>
      <c r="CK35" s="567"/>
      <c r="CL35" s="567"/>
      <c r="CM35" s="567"/>
      <c r="CN35" s="567"/>
      <c r="CO35" s="567"/>
      <c r="CP35" s="567"/>
      <c r="CQ35" s="567"/>
      <c r="CR35" s="567"/>
      <c r="CS35" s="567"/>
      <c r="CT35" s="567"/>
      <c r="CU35" s="567"/>
      <c r="CV35" s="567"/>
      <c r="CW35" s="567"/>
      <c r="CX35" s="567"/>
      <c r="CY35" s="567"/>
      <c r="CZ35" s="567"/>
      <c r="DA35" s="567"/>
      <c r="DB35" s="567"/>
      <c r="DC35" s="567"/>
      <c r="DD35" s="567"/>
      <c r="DE35" s="567"/>
      <c r="DF35" s="567"/>
      <c r="DG35" s="567"/>
      <c r="DH35" s="567"/>
      <c r="DI35" s="567"/>
      <c r="DJ35" s="567"/>
      <c r="DK35" s="567"/>
      <c r="DL35" s="567"/>
      <c r="DM35" s="567"/>
      <c r="DN35" s="567"/>
      <c r="DO35" s="567"/>
      <c r="DP35" s="567"/>
      <c r="DQ35" s="567"/>
      <c r="DR35" s="567"/>
      <c r="DS35" s="567"/>
      <c r="DT35" s="567"/>
      <c r="DU35" s="567"/>
      <c r="DV35" s="567"/>
      <c r="DW35" s="567"/>
      <c r="DX35" s="567"/>
      <c r="DY35" s="567"/>
      <c r="DZ35" s="567"/>
      <c r="EA35" s="567"/>
      <c r="EB35" s="567"/>
      <c r="EC35" s="567"/>
      <c r="ED35" s="567"/>
      <c r="EE35" s="567"/>
      <c r="EF35" s="567"/>
      <c r="EG35" s="567"/>
      <c r="EH35" s="567"/>
      <c r="EI35" s="567"/>
      <c r="EJ35" s="567"/>
      <c r="EK35" s="567"/>
      <c r="EL35" s="567"/>
      <c r="EM35" s="567"/>
      <c r="EN35" s="567"/>
      <c r="EO35" s="567"/>
      <c r="EP35" s="567"/>
      <c r="EQ35" s="567"/>
      <c r="ER35" s="567"/>
      <c r="ES35" s="567"/>
      <c r="ET35" s="567"/>
      <c r="EU35" s="567"/>
      <c r="EV35" s="567"/>
      <c r="EW35" s="567"/>
      <c r="EX35" s="567"/>
      <c r="EY35" s="567"/>
      <c r="EZ35" s="567"/>
      <c r="FA35" s="567"/>
      <c r="FB35" s="567"/>
      <c r="FC35" s="567"/>
      <c r="FD35" s="567"/>
      <c r="FE35" s="567"/>
      <c r="FF35" s="567"/>
      <c r="FG35" s="567"/>
      <c r="FH35" s="567"/>
      <c r="FI35" s="567"/>
      <c r="FJ35" s="567"/>
      <c r="FK35" s="567"/>
      <c r="FL35" s="567"/>
      <c r="FM35" s="567"/>
      <c r="FN35" s="567"/>
      <c r="FO35" s="567"/>
      <c r="FP35" s="567"/>
      <c r="FQ35" s="567"/>
      <c r="FR35" s="567"/>
      <c r="FS35" s="567"/>
      <c r="FT35" s="567"/>
      <c r="FU35" s="567"/>
      <c r="FV35" s="567"/>
      <c r="FW35" s="567"/>
      <c r="FX35" s="567"/>
      <c r="FY35" s="567"/>
      <c r="FZ35" s="567"/>
      <c r="GA35" s="567"/>
      <c r="GB35" s="567"/>
      <c r="GC35" s="567"/>
      <c r="GD35" s="567"/>
      <c r="GE35" s="567"/>
      <c r="GF35" s="567"/>
      <c r="GG35" s="567"/>
      <c r="GH35" s="567"/>
      <c r="GI35" s="567"/>
      <c r="GJ35" s="567"/>
      <c r="GK35" s="567"/>
      <c r="GL35" s="567"/>
      <c r="GM35" s="567"/>
      <c r="GN35" s="567"/>
      <c r="GO35" s="567"/>
      <c r="GP35" s="567"/>
      <c r="GQ35" s="567"/>
      <c r="GR35" s="567"/>
      <c r="GS35" s="567"/>
      <c r="GT35" s="567"/>
      <c r="GU35" s="567"/>
      <c r="GV35" s="567"/>
      <c r="GW35" s="567"/>
      <c r="GX35" s="567"/>
      <c r="GY35" s="567"/>
      <c r="GZ35" s="567"/>
      <c r="HA35" s="567"/>
      <c r="HB35" s="567"/>
      <c r="HC35" s="567"/>
      <c r="HD35" s="567"/>
      <c r="HE35" s="567"/>
      <c r="HF35" s="567"/>
      <c r="HG35" s="567"/>
      <c r="HH35" s="567"/>
      <c r="HI35" s="567"/>
      <c r="HJ35" s="567"/>
      <c r="HK35" s="567"/>
      <c r="HL35" s="567"/>
      <c r="HM35" s="567"/>
      <c r="HN35" s="567"/>
      <c r="HO35" s="567"/>
      <c r="HP35" s="567"/>
      <c r="HQ35" s="567"/>
      <c r="HR35" s="567"/>
      <c r="HS35" s="567"/>
      <c r="HT35" s="567"/>
      <c r="HU35" s="567"/>
      <c r="HV35" s="567"/>
      <c r="HW35" s="567"/>
      <c r="HX35" s="567"/>
      <c r="HY35" s="567"/>
      <c r="HZ35" s="567"/>
      <c r="IA35" s="567"/>
      <c r="IB35" s="567"/>
      <c r="IC35" s="567"/>
      <c r="ID35" s="567"/>
      <c r="IE35" s="567"/>
      <c r="IF35" s="567"/>
      <c r="IG35" s="568"/>
      <c r="IH35" s="568"/>
      <c r="II35" s="568"/>
      <c r="IJ35" s="568"/>
      <c r="IK35" s="568"/>
      <c r="IL35" s="568"/>
      <c r="IM35" s="568"/>
      <c r="IN35" s="568"/>
      <c r="IO35" s="568"/>
      <c r="IP35" s="568"/>
      <c r="IQ35" s="568"/>
      <c r="IR35" s="568"/>
    </row>
    <row r="36" spans="1:252" s="561" customFormat="1" ht="15">
      <c r="A36" s="95"/>
      <c r="B36" s="558"/>
      <c r="C36" s="569" t="s">
        <v>724</v>
      </c>
      <c r="D36" s="94" t="s">
        <v>66</v>
      </c>
      <c r="E36" s="262">
        <v>7.33</v>
      </c>
      <c r="F36" s="111">
        <f>F35*E36</f>
        <v>7.33</v>
      </c>
      <c r="G36" s="852"/>
      <c r="H36" s="1003"/>
      <c r="I36" s="1004">
        <v>0</v>
      </c>
      <c r="J36" s="853">
        <f>I36*F36</f>
        <v>0</v>
      </c>
      <c r="K36" s="852"/>
      <c r="L36" s="852"/>
      <c r="M36" s="852">
        <f>J36</f>
        <v>0</v>
      </c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70"/>
      <c r="BY36" s="570"/>
      <c r="BZ36" s="570"/>
      <c r="CA36" s="570"/>
      <c r="CB36" s="570"/>
      <c r="CC36" s="570"/>
      <c r="CD36" s="570"/>
      <c r="CE36" s="570"/>
      <c r="CF36" s="570"/>
      <c r="CG36" s="570"/>
      <c r="CH36" s="570"/>
      <c r="CI36" s="570"/>
      <c r="CJ36" s="570"/>
      <c r="CK36" s="570"/>
      <c r="CL36" s="570"/>
      <c r="CM36" s="570"/>
      <c r="CN36" s="570"/>
      <c r="CO36" s="570"/>
      <c r="CP36" s="570"/>
      <c r="CQ36" s="570"/>
      <c r="CR36" s="570"/>
      <c r="CS36" s="570"/>
      <c r="CT36" s="570"/>
      <c r="CU36" s="570"/>
      <c r="CV36" s="570"/>
      <c r="CW36" s="570"/>
      <c r="CX36" s="570"/>
      <c r="CY36" s="570"/>
      <c r="CZ36" s="570"/>
      <c r="DA36" s="570"/>
      <c r="DB36" s="570"/>
      <c r="DC36" s="570"/>
      <c r="DD36" s="570"/>
      <c r="DE36" s="570"/>
      <c r="DF36" s="570"/>
      <c r="DG36" s="570"/>
      <c r="DH36" s="570"/>
      <c r="DI36" s="570"/>
      <c r="DJ36" s="570"/>
      <c r="DK36" s="570"/>
      <c r="DL36" s="570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70"/>
      <c r="DX36" s="570"/>
      <c r="DY36" s="570"/>
      <c r="DZ36" s="570"/>
      <c r="EA36" s="570"/>
      <c r="EB36" s="570"/>
      <c r="EC36" s="570"/>
      <c r="ED36" s="570"/>
      <c r="EE36" s="570"/>
      <c r="EF36" s="570"/>
      <c r="EG36" s="570"/>
      <c r="EH36" s="570"/>
      <c r="EI36" s="570"/>
      <c r="EJ36" s="570"/>
      <c r="EK36" s="570"/>
      <c r="EL36" s="570"/>
      <c r="EM36" s="570"/>
      <c r="EN36" s="570"/>
      <c r="EO36" s="570"/>
      <c r="EP36" s="570"/>
      <c r="EQ36" s="570"/>
      <c r="ER36" s="570"/>
      <c r="ES36" s="570"/>
      <c r="ET36" s="570"/>
      <c r="EU36" s="570"/>
      <c r="EV36" s="570"/>
      <c r="EW36" s="570"/>
      <c r="EX36" s="570"/>
      <c r="EY36" s="570"/>
      <c r="EZ36" s="570"/>
      <c r="FA36" s="570"/>
      <c r="FB36" s="570"/>
      <c r="FC36" s="570"/>
      <c r="FD36" s="570"/>
      <c r="FE36" s="570"/>
      <c r="FF36" s="570"/>
      <c r="FG36" s="570"/>
      <c r="FH36" s="570"/>
      <c r="FI36" s="570"/>
      <c r="FJ36" s="570"/>
      <c r="FK36" s="570"/>
      <c r="FL36" s="570"/>
      <c r="FM36" s="570"/>
      <c r="FN36" s="570"/>
      <c r="FO36" s="570"/>
      <c r="FP36" s="570"/>
      <c r="FQ36" s="570"/>
      <c r="FR36" s="570"/>
      <c r="FS36" s="570"/>
      <c r="FT36" s="570"/>
      <c r="FU36" s="570"/>
      <c r="FV36" s="570"/>
      <c r="FW36" s="570"/>
      <c r="FX36" s="570"/>
      <c r="FY36" s="570"/>
      <c r="FZ36" s="570"/>
      <c r="GA36" s="570"/>
      <c r="GB36" s="570"/>
      <c r="GC36" s="570"/>
      <c r="GD36" s="570"/>
      <c r="GE36" s="570"/>
      <c r="GF36" s="570"/>
      <c r="GG36" s="570"/>
      <c r="GH36" s="570"/>
      <c r="GI36" s="570"/>
      <c r="GJ36" s="570"/>
      <c r="GK36" s="570"/>
      <c r="GL36" s="570"/>
      <c r="GM36" s="570"/>
      <c r="GN36" s="570"/>
      <c r="GO36" s="570"/>
      <c r="GP36" s="570"/>
      <c r="GQ36" s="570"/>
      <c r="GR36" s="570"/>
      <c r="GS36" s="570"/>
      <c r="GT36" s="570"/>
      <c r="GU36" s="570"/>
      <c r="GV36" s="570"/>
      <c r="GW36" s="570"/>
      <c r="GX36" s="570"/>
      <c r="GY36" s="570"/>
      <c r="GZ36" s="570"/>
      <c r="HA36" s="570"/>
      <c r="HB36" s="570"/>
      <c r="HC36" s="570"/>
      <c r="HD36" s="570"/>
      <c r="HE36" s="570"/>
      <c r="HF36" s="570"/>
      <c r="HG36" s="570"/>
      <c r="HH36" s="570"/>
      <c r="HI36" s="570"/>
      <c r="HJ36" s="570"/>
      <c r="HK36" s="570"/>
      <c r="HL36" s="570"/>
      <c r="HM36" s="570"/>
      <c r="HN36" s="570"/>
      <c r="HO36" s="570"/>
      <c r="HP36" s="570"/>
      <c r="HQ36" s="570"/>
      <c r="HR36" s="570"/>
      <c r="HS36" s="570"/>
      <c r="HT36" s="570"/>
      <c r="HU36" s="570"/>
      <c r="HV36" s="570"/>
      <c r="HW36" s="570"/>
      <c r="HX36" s="570"/>
      <c r="HY36" s="570"/>
      <c r="HZ36" s="570"/>
      <c r="IA36" s="570"/>
      <c r="IB36" s="570"/>
      <c r="IC36" s="570"/>
      <c r="ID36" s="570"/>
      <c r="IE36" s="570"/>
      <c r="IF36" s="570"/>
      <c r="IG36" s="568"/>
      <c r="IH36" s="568"/>
      <c r="II36" s="568"/>
      <c r="IJ36" s="568"/>
      <c r="IK36" s="568"/>
      <c r="IL36" s="568"/>
      <c r="IM36" s="568"/>
      <c r="IN36" s="568"/>
      <c r="IO36" s="568"/>
      <c r="IP36" s="568"/>
      <c r="IQ36" s="568"/>
      <c r="IR36" s="568"/>
    </row>
    <row r="37" spans="1:252" s="561" customFormat="1" ht="15">
      <c r="A37" s="606"/>
      <c r="B37" s="260" t="s">
        <v>725</v>
      </c>
      <c r="C37" s="97" t="s">
        <v>726</v>
      </c>
      <c r="D37" s="96" t="s">
        <v>351</v>
      </c>
      <c r="E37" s="94"/>
      <c r="F37" s="94">
        <v>21</v>
      </c>
      <c r="G37" s="994">
        <v>0</v>
      </c>
      <c r="H37" s="994">
        <f t="shared" ref="H37:H44" si="3">G37*F37</f>
        <v>0</v>
      </c>
      <c r="I37" s="995"/>
      <c r="J37" s="996"/>
      <c r="K37" s="997"/>
      <c r="L37" s="997"/>
      <c r="M37" s="853">
        <f t="shared" ref="M37:M44" si="4">L37+J37+H37</f>
        <v>0</v>
      </c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1"/>
      <c r="AY37" s="571"/>
      <c r="AZ37" s="571"/>
      <c r="BA37" s="571"/>
      <c r="BB37" s="571"/>
      <c r="BC37" s="571"/>
      <c r="BD37" s="571"/>
      <c r="BE37" s="571"/>
      <c r="BF37" s="571"/>
      <c r="BG37" s="571"/>
      <c r="BH37" s="571"/>
      <c r="BI37" s="571"/>
      <c r="BJ37" s="571"/>
      <c r="BK37" s="571"/>
      <c r="BL37" s="571"/>
      <c r="BM37" s="571"/>
      <c r="BN37" s="571"/>
      <c r="BO37" s="571"/>
      <c r="BP37" s="571"/>
      <c r="BQ37" s="571"/>
      <c r="BR37" s="571"/>
      <c r="BS37" s="571"/>
      <c r="BT37" s="571"/>
      <c r="BU37" s="571"/>
      <c r="BV37" s="571"/>
      <c r="BW37" s="571"/>
      <c r="BX37" s="571"/>
      <c r="BY37" s="571"/>
      <c r="BZ37" s="571"/>
      <c r="CA37" s="571"/>
      <c r="CB37" s="571"/>
      <c r="CC37" s="571"/>
      <c r="CD37" s="571"/>
      <c r="CE37" s="571"/>
      <c r="CF37" s="571"/>
      <c r="CG37" s="571"/>
      <c r="CH37" s="571"/>
      <c r="CI37" s="571"/>
      <c r="CJ37" s="571"/>
      <c r="CK37" s="571"/>
      <c r="CL37" s="571"/>
      <c r="CM37" s="571"/>
      <c r="CN37" s="571"/>
      <c r="CO37" s="571"/>
      <c r="CP37" s="571"/>
      <c r="CQ37" s="571"/>
      <c r="CR37" s="571"/>
      <c r="CS37" s="571"/>
      <c r="CT37" s="571"/>
      <c r="CU37" s="571"/>
      <c r="CV37" s="571"/>
      <c r="CW37" s="571"/>
      <c r="CX37" s="571"/>
      <c r="CY37" s="571"/>
      <c r="CZ37" s="571"/>
      <c r="DA37" s="571"/>
      <c r="DB37" s="571"/>
      <c r="DC37" s="571"/>
      <c r="DD37" s="571"/>
      <c r="DE37" s="571"/>
      <c r="DF37" s="571"/>
      <c r="DG37" s="571"/>
      <c r="DH37" s="571"/>
      <c r="DI37" s="571"/>
      <c r="DJ37" s="571"/>
      <c r="DK37" s="571"/>
      <c r="DL37" s="571"/>
      <c r="DM37" s="571"/>
      <c r="DN37" s="571"/>
      <c r="DO37" s="571"/>
      <c r="DP37" s="571"/>
      <c r="DQ37" s="571"/>
      <c r="DR37" s="571"/>
      <c r="DS37" s="571"/>
      <c r="DT37" s="571"/>
      <c r="DU37" s="571"/>
      <c r="DV37" s="571"/>
      <c r="DW37" s="571"/>
      <c r="DX37" s="571"/>
      <c r="DY37" s="571"/>
      <c r="DZ37" s="571"/>
      <c r="EA37" s="571"/>
      <c r="EB37" s="571"/>
      <c r="EC37" s="571"/>
      <c r="ED37" s="571"/>
      <c r="EE37" s="571"/>
      <c r="EF37" s="571"/>
      <c r="EG37" s="571"/>
      <c r="EH37" s="571"/>
      <c r="EI37" s="571"/>
      <c r="EJ37" s="571"/>
      <c r="EK37" s="571"/>
      <c r="EL37" s="571"/>
      <c r="EM37" s="571"/>
      <c r="EN37" s="571"/>
      <c r="EO37" s="571"/>
      <c r="EP37" s="571"/>
      <c r="EQ37" s="571"/>
      <c r="ER37" s="571"/>
      <c r="ES37" s="571"/>
      <c r="ET37" s="571"/>
      <c r="EU37" s="571"/>
      <c r="EV37" s="571"/>
      <c r="EW37" s="571"/>
      <c r="EX37" s="557"/>
      <c r="EY37" s="557"/>
      <c r="EZ37" s="557"/>
      <c r="FA37" s="557"/>
      <c r="FB37" s="557"/>
      <c r="FC37" s="557"/>
      <c r="FD37" s="557"/>
      <c r="FE37" s="557"/>
      <c r="FF37" s="557"/>
      <c r="FG37" s="557"/>
      <c r="FH37" s="557"/>
      <c r="FI37" s="557"/>
      <c r="FJ37" s="557"/>
      <c r="FK37" s="557"/>
      <c r="FL37" s="557"/>
      <c r="FM37" s="557"/>
      <c r="FN37" s="557"/>
      <c r="FO37" s="557"/>
      <c r="FP37" s="557"/>
      <c r="FQ37" s="557"/>
      <c r="FR37" s="557"/>
      <c r="FS37" s="557"/>
      <c r="FT37" s="557"/>
      <c r="FU37" s="557"/>
      <c r="FV37" s="557"/>
      <c r="FW37" s="557"/>
      <c r="FX37" s="557"/>
      <c r="FY37" s="557"/>
      <c r="FZ37" s="557"/>
      <c r="GA37" s="557"/>
      <c r="GB37" s="557"/>
      <c r="GC37" s="557"/>
      <c r="GD37" s="557"/>
      <c r="GE37" s="557"/>
      <c r="GF37" s="557"/>
      <c r="GG37" s="557"/>
      <c r="GH37" s="557"/>
      <c r="GI37" s="557"/>
      <c r="GJ37" s="557"/>
      <c r="GK37" s="557"/>
      <c r="GL37" s="557"/>
      <c r="GM37" s="557"/>
      <c r="GN37" s="557"/>
      <c r="GO37" s="557"/>
      <c r="GP37" s="557"/>
      <c r="GQ37" s="557"/>
      <c r="GR37" s="557"/>
      <c r="GS37" s="557"/>
      <c r="GT37" s="557"/>
      <c r="GU37" s="557"/>
      <c r="GV37" s="557"/>
      <c r="GW37" s="557"/>
      <c r="GX37" s="557"/>
      <c r="GY37" s="557"/>
      <c r="GZ37" s="557"/>
      <c r="HA37" s="557"/>
      <c r="HB37" s="557"/>
      <c r="HC37" s="557"/>
      <c r="HD37" s="557"/>
      <c r="HE37" s="557"/>
      <c r="HF37" s="557"/>
      <c r="HG37" s="557"/>
      <c r="HH37" s="557"/>
      <c r="HI37" s="557"/>
      <c r="HJ37" s="557"/>
      <c r="HK37" s="557"/>
      <c r="HL37" s="557"/>
      <c r="HM37" s="557"/>
      <c r="HN37" s="557"/>
      <c r="HO37" s="557"/>
      <c r="HP37" s="557"/>
      <c r="HQ37" s="557"/>
      <c r="HR37" s="557"/>
      <c r="HS37" s="557"/>
      <c r="HT37" s="557"/>
      <c r="HU37" s="557"/>
      <c r="HV37" s="557"/>
      <c r="HW37" s="557"/>
      <c r="HX37" s="557"/>
      <c r="HY37" s="557"/>
      <c r="HZ37" s="557"/>
      <c r="IA37" s="557"/>
      <c r="IB37" s="557"/>
      <c r="IC37" s="557"/>
      <c r="ID37" s="557"/>
      <c r="IE37" s="557"/>
      <c r="IF37" s="557"/>
      <c r="IG37" s="557"/>
      <c r="IH37" s="557"/>
      <c r="II37" s="557"/>
      <c r="IJ37" s="557"/>
      <c r="IK37" s="557"/>
      <c r="IL37" s="557"/>
      <c r="IM37" s="557"/>
      <c r="IN37" s="557"/>
      <c r="IO37" s="557"/>
      <c r="IP37" s="557"/>
      <c r="IQ37" s="557"/>
      <c r="IR37" s="557"/>
    </row>
    <row r="38" spans="1:252" s="561" customFormat="1" ht="15">
      <c r="A38" s="259"/>
      <c r="B38" s="260" t="s">
        <v>727</v>
      </c>
      <c r="C38" s="97" t="s">
        <v>728</v>
      </c>
      <c r="D38" s="96" t="s">
        <v>67</v>
      </c>
      <c r="E38" s="94" t="s">
        <v>353</v>
      </c>
      <c r="F38" s="94">
        <v>3.056E-2</v>
      </c>
      <c r="G38" s="994">
        <v>0</v>
      </c>
      <c r="H38" s="994">
        <f t="shared" si="3"/>
        <v>0</v>
      </c>
      <c r="I38" s="995"/>
      <c r="J38" s="996"/>
      <c r="K38" s="997"/>
      <c r="L38" s="997"/>
      <c r="M38" s="853">
        <f t="shared" si="4"/>
        <v>0</v>
      </c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2"/>
      <c r="AT38" s="572"/>
      <c r="AU38" s="572"/>
      <c r="AV38" s="572"/>
      <c r="AW38" s="572"/>
      <c r="AX38" s="572"/>
      <c r="AY38" s="572"/>
      <c r="AZ38" s="572"/>
      <c r="BA38" s="572"/>
      <c r="BB38" s="572"/>
      <c r="BC38" s="572"/>
      <c r="BD38" s="572"/>
      <c r="BE38" s="572"/>
      <c r="BF38" s="572"/>
      <c r="BG38" s="572"/>
      <c r="BH38" s="572"/>
      <c r="BI38" s="572"/>
      <c r="BJ38" s="572"/>
      <c r="BK38" s="572"/>
      <c r="BL38" s="572"/>
      <c r="BM38" s="572"/>
      <c r="BN38" s="572"/>
      <c r="BO38" s="572"/>
      <c r="BP38" s="572"/>
      <c r="BQ38" s="572"/>
      <c r="BR38" s="572"/>
      <c r="BS38" s="572"/>
      <c r="BT38" s="572"/>
      <c r="BU38" s="572"/>
      <c r="BV38" s="572"/>
      <c r="BW38" s="572"/>
      <c r="BX38" s="572"/>
      <c r="BY38" s="572"/>
      <c r="BZ38" s="572"/>
      <c r="CA38" s="572"/>
      <c r="CB38" s="572"/>
      <c r="CC38" s="572"/>
      <c r="CD38" s="572"/>
      <c r="CE38" s="572"/>
      <c r="CF38" s="572"/>
      <c r="CG38" s="572"/>
      <c r="CH38" s="572"/>
      <c r="CI38" s="572"/>
      <c r="CJ38" s="572"/>
      <c r="CK38" s="572"/>
      <c r="CL38" s="572"/>
      <c r="CM38" s="572"/>
      <c r="CN38" s="572"/>
      <c r="CO38" s="572"/>
      <c r="CP38" s="572"/>
      <c r="CQ38" s="572"/>
      <c r="CR38" s="572"/>
      <c r="CS38" s="572"/>
      <c r="CT38" s="572"/>
      <c r="CU38" s="572"/>
      <c r="CV38" s="572"/>
      <c r="CW38" s="572"/>
      <c r="CX38" s="572"/>
      <c r="CY38" s="572"/>
      <c r="CZ38" s="572"/>
      <c r="DA38" s="572"/>
      <c r="DB38" s="572"/>
      <c r="DC38" s="572"/>
      <c r="DD38" s="572"/>
      <c r="DE38" s="572"/>
      <c r="DF38" s="572"/>
      <c r="DG38" s="572"/>
      <c r="DH38" s="572"/>
      <c r="DI38" s="572"/>
      <c r="DJ38" s="572"/>
      <c r="DK38" s="572"/>
      <c r="DL38" s="572"/>
      <c r="DM38" s="572"/>
      <c r="DN38" s="572"/>
      <c r="DO38" s="572"/>
      <c r="DP38" s="572"/>
      <c r="DQ38" s="572"/>
      <c r="DR38" s="572"/>
      <c r="DS38" s="572"/>
      <c r="DT38" s="572"/>
      <c r="DU38" s="572"/>
      <c r="DV38" s="572"/>
      <c r="DW38" s="572"/>
      <c r="DX38" s="572"/>
      <c r="DY38" s="572"/>
      <c r="DZ38" s="572"/>
      <c r="EA38" s="572"/>
      <c r="EB38" s="572"/>
      <c r="EC38" s="572"/>
      <c r="ED38" s="572"/>
      <c r="EE38" s="572"/>
      <c r="EF38" s="572"/>
      <c r="EG38" s="572"/>
      <c r="EH38" s="572"/>
      <c r="EI38" s="572"/>
      <c r="EJ38" s="572"/>
      <c r="EK38" s="572"/>
      <c r="EL38" s="572"/>
      <c r="EM38" s="572"/>
      <c r="EN38" s="572"/>
      <c r="EO38" s="572"/>
      <c r="EP38" s="572"/>
      <c r="EQ38" s="572"/>
      <c r="ER38" s="572"/>
      <c r="ES38" s="572"/>
      <c r="ET38" s="572"/>
      <c r="EU38" s="572"/>
      <c r="EV38" s="572"/>
      <c r="EW38" s="572"/>
      <c r="EX38" s="557"/>
      <c r="EY38" s="557"/>
      <c r="EZ38" s="557"/>
      <c r="FA38" s="557"/>
      <c r="FB38" s="557"/>
      <c r="FC38" s="557"/>
      <c r="FD38" s="557"/>
      <c r="FE38" s="557"/>
      <c r="FF38" s="557"/>
      <c r="FG38" s="557"/>
      <c r="FH38" s="557"/>
      <c r="FI38" s="557"/>
      <c r="FJ38" s="557"/>
      <c r="FK38" s="557"/>
      <c r="FL38" s="557"/>
      <c r="FM38" s="557"/>
      <c r="FN38" s="557"/>
      <c r="FO38" s="557"/>
      <c r="FP38" s="557"/>
      <c r="FQ38" s="557"/>
      <c r="FR38" s="557"/>
      <c r="FS38" s="557"/>
      <c r="FT38" s="557"/>
      <c r="FU38" s="557"/>
      <c r="FV38" s="557"/>
      <c r="FW38" s="557"/>
      <c r="FX38" s="557"/>
      <c r="FY38" s="557"/>
      <c r="FZ38" s="557"/>
      <c r="GA38" s="557"/>
      <c r="GB38" s="557"/>
      <c r="GC38" s="557"/>
      <c r="GD38" s="557"/>
      <c r="GE38" s="557"/>
      <c r="GF38" s="557"/>
      <c r="GG38" s="557"/>
      <c r="GH38" s="557"/>
      <c r="GI38" s="557"/>
      <c r="GJ38" s="557"/>
      <c r="GK38" s="557"/>
      <c r="GL38" s="557"/>
      <c r="GM38" s="557"/>
      <c r="GN38" s="557"/>
      <c r="GO38" s="557"/>
      <c r="GP38" s="557"/>
      <c r="GQ38" s="557"/>
      <c r="GR38" s="557"/>
      <c r="GS38" s="557"/>
      <c r="GT38" s="557"/>
      <c r="GU38" s="557"/>
      <c r="GV38" s="557"/>
      <c r="GW38" s="557"/>
      <c r="GX38" s="557"/>
      <c r="GY38" s="557"/>
      <c r="GZ38" s="557"/>
      <c r="HA38" s="557"/>
      <c r="HB38" s="557"/>
      <c r="HC38" s="557"/>
      <c r="HD38" s="557"/>
      <c r="HE38" s="557"/>
      <c r="HF38" s="557"/>
      <c r="HG38" s="557"/>
      <c r="HH38" s="557"/>
      <c r="HI38" s="557"/>
      <c r="HJ38" s="557"/>
      <c r="HK38" s="557"/>
      <c r="HL38" s="557"/>
      <c r="HM38" s="557"/>
      <c r="HN38" s="557"/>
      <c r="HO38" s="557"/>
      <c r="HP38" s="557"/>
      <c r="HQ38" s="557"/>
      <c r="HR38" s="557"/>
      <c r="HS38" s="557"/>
      <c r="HT38" s="557"/>
      <c r="HU38" s="557"/>
      <c r="HV38" s="557"/>
      <c r="HW38" s="557"/>
      <c r="HX38" s="557"/>
      <c r="HY38" s="557"/>
      <c r="HZ38" s="557"/>
      <c r="IA38" s="557"/>
      <c r="IB38" s="557"/>
      <c r="IC38" s="557"/>
      <c r="ID38" s="557"/>
      <c r="IE38" s="557"/>
      <c r="IF38" s="557"/>
      <c r="IG38" s="557"/>
      <c r="IH38" s="557"/>
      <c r="II38" s="557"/>
      <c r="IJ38" s="557"/>
      <c r="IK38" s="557"/>
      <c r="IL38" s="557"/>
      <c r="IM38" s="557"/>
      <c r="IN38" s="557"/>
      <c r="IO38" s="557"/>
      <c r="IP38" s="557"/>
      <c r="IQ38" s="557"/>
      <c r="IR38" s="557"/>
    </row>
    <row r="39" spans="1:252" s="561" customFormat="1" ht="15">
      <c r="A39" s="606"/>
      <c r="B39" s="260" t="s">
        <v>729</v>
      </c>
      <c r="C39" s="97" t="s">
        <v>730</v>
      </c>
      <c r="D39" s="96" t="s">
        <v>67</v>
      </c>
      <c r="E39" s="94" t="s">
        <v>353</v>
      </c>
      <c r="F39" s="563">
        <v>3.0000000000000001E-3</v>
      </c>
      <c r="G39" s="1005">
        <v>0</v>
      </c>
      <c r="H39" s="994">
        <f t="shared" si="3"/>
        <v>0</v>
      </c>
      <c r="I39" s="995"/>
      <c r="J39" s="996"/>
      <c r="K39" s="997"/>
      <c r="L39" s="997"/>
      <c r="M39" s="853">
        <f t="shared" si="4"/>
        <v>0</v>
      </c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1"/>
      <c r="BN39" s="571"/>
      <c r="BO39" s="571"/>
      <c r="BP39" s="571"/>
      <c r="BQ39" s="571"/>
      <c r="BR39" s="571"/>
      <c r="BS39" s="571"/>
      <c r="BT39" s="571"/>
      <c r="BU39" s="571"/>
      <c r="BV39" s="571"/>
      <c r="BW39" s="571"/>
      <c r="BX39" s="571"/>
      <c r="BY39" s="571"/>
      <c r="BZ39" s="571"/>
      <c r="CA39" s="57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I39" s="571"/>
      <c r="DJ39" s="571"/>
      <c r="DK39" s="571"/>
      <c r="DL39" s="571"/>
      <c r="DM39" s="571"/>
      <c r="DN39" s="571"/>
      <c r="DO39" s="571"/>
      <c r="DP39" s="571"/>
      <c r="DQ39" s="571"/>
      <c r="DR39" s="571"/>
      <c r="DS39" s="571"/>
      <c r="DT39" s="571"/>
      <c r="DU39" s="571"/>
      <c r="DV39" s="571"/>
      <c r="DW39" s="571"/>
      <c r="DX39" s="571"/>
      <c r="DY39" s="571"/>
      <c r="DZ39" s="571"/>
      <c r="EA39" s="571"/>
      <c r="EB39" s="571"/>
      <c r="EC39" s="571"/>
      <c r="ED39" s="571"/>
      <c r="EE39" s="571"/>
      <c r="EF39" s="571"/>
      <c r="EG39" s="571"/>
      <c r="EH39" s="571"/>
      <c r="EI39" s="571"/>
      <c r="EJ39" s="571"/>
      <c r="EK39" s="571"/>
      <c r="EL39" s="571"/>
      <c r="EM39" s="571"/>
      <c r="EN39" s="571"/>
      <c r="EO39" s="571"/>
      <c r="EP39" s="571"/>
      <c r="EQ39" s="571"/>
      <c r="ER39" s="571"/>
      <c r="ES39" s="571"/>
      <c r="ET39" s="571"/>
      <c r="EU39" s="571"/>
      <c r="EV39" s="571"/>
      <c r="EW39" s="571"/>
      <c r="EX39" s="557"/>
      <c r="EY39" s="557"/>
      <c r="EZ39" s="557"/>
      <c r="FA39" s="557"/>
      <c r="FB39" s="557"/>
      <c r="FC39" s="557"/>
      <c r="FD39" s="557"/>
      <c r="FE39" s="557"/>
      <c r="FF39" s="557"/>
      <c r="FG39" s="557"/>
      <c r="FH39" s="557"/>
      <c r="FI39" s="557"/>
      <c r="FJ39" s="557"/>
      <c r="FK39" s="557"/>
      <c r="FL39" s="557"/>
      <c r="FM39" s="557"/>
      <c r="FN39" s="557"/>
      <c r="FO39" s="557"/>
      <c r="FP39" s="557"/>
      <c r="FQ39" s="557"/>
      <c r="FR39" s="557"/>
      <c r="FS39" s="557"/>
      <c r="FT39" s="557"/>
      <c r="FU39" s="557"/>
      <c r="FV39" s="557"/>
      <c r="FW39" s="557"/>
      <c r="FX39" s="557"/>
      <c r="FY39" s="557"/>
      <c r="FZ39" s="557"/>
      <c r="GA39" s="557"/>
      <c r="GB39" s="557"/>
      <c r="GC39" s="557"/>
      <c r="GD39" s="557"/>
      <c r="GE39" s="557"/>
      <c r="GF39" s="557"/>
      <c r="GG39" s="557"/>
      <c r="GH39" s="557"/>
      <c r="GI39" s="557"/>
      <c r="GJ39" s="557"/>
      <c r="GK39" s="557"/>
      <c r="GL39" s="557"/>
      <c r="GM39" s="557"/>
      <c r="GN39" s="557"/>
      <c r="GO39" s="557"/>
      <c r="GP39" s="557"/>
      <c r="GQ39" s="557"/>
      <c r="GR39" s="557"/>
      <c r="GS39" s="557"/>
      <c r="GT39" s="557"/>
      <c r="GU39" s="557"/>
      <c r="GV39" s="557"/>
      <c r="GW39" s="557"/>
      <c r="GX39" s="557"/>
      <c r="GY39" s="557"/>
      <c r="GZ39" s="557"/>
      <c r="HA39" s="557"/>
      <c r="HB39" s="557"/>
      <c r="HC39" s="557"/>
      <c r="HD39" s="557"/>
      <c r="HE39" s="557"/>
      <c r="HF39" s="557"/>
      <c r="HG39" s="557"/>
      <c r="HH39" s="557"/>
      <c r="HI39" s="557"/>
      <c r="HJ39" s="557"/>
      <c r="HK39" s="557"/>
      <c r="HL39" s="557"/>
      <c r="HM39" s="557"/>
      <c r="HN39" s="557"/>
      <c r="HO39" s="557"/>
      <c r="HP39" s="557"/>
      <c r="HQ39" s="557"/>
      <c r="HR39" s="557"/>
      <c r="HS39" s="557"/>
      <c r="HT39" s="557"/>
      <c r="HU39" s="557"/>
      <c r="HV39" s="557"/>
      <c r="HW39" s="557"/>
      <c r="HX39" s="557"/>
      <c r="HY39" s="557"/>
      <c r="HZ39" s="557"/>
      <c r="IA39" s="557"/>
      <c r="IB39" s="557"/>
      <c r="IC39" s="557"/>
      <c r="ID39" s="557"/>
      <c r="IE39" s="557"/>
      <c r="IF39" s="557"/>
      <c r="IG39" s="557"/>
      <c r="IH39" s="557"/>
      <c r="II39" s="557"/>
      <c r="IJ39" s="557"/>
      <c r="IK39" s="557"/>
      <c r="IL39" s="557"/>
      <c r="IM39" s="557"/>
      <c r="IN39" s="557"/>
      <c r="IO39" s="557"/>
      <c r="IP39" s="557"/>
      <c r="IQ39" s="557"/>
      <c r="IR39" s="557"/>
    </row>
    <row r="40" spans="1:252" s="561" customFormat="1" ht="15">
      <c r="A40" s="606"/>
      <c r="B40" s="260" t="s">
        <v>731</v>
      </c>
      <c r="C40" s="97" t="s">
        <v>269</v>
      </c>
      <c r="D40" s="96" t="s">
        <v>67</v>
      </c>
      <c r="E40" s="94" t="s">
        <v>353</v>
      </c>
      <c r="F40" s="563">
        <v>3.2000000000000002E-3</v>
      </c>
      <c r="G40" s="994">
        <v>0</v>
      </c>
      <c r="H40" s="994">
        <f t="shared" si="3"/>
        <v>0</v>
      </c>
      <c r="I40" s="995"/>
      <c r="J40" s="996"/>
      <c r="K40" s="997"/>
      <c r="L40" s="997"/>
      <c r="M40" s="853">
        <f t="shared" si="4"/>
        <v>0</v>
      </c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571"/>
      <c r="AS40" s="571"/>
      <c r="AT40" s="571"/>
      <c r="AU40" s="571"/>
      <c r="AV40" s="571"/>
      <c r="AW40" s="571"/>
      <c r="AX40" s="571"/>
      <c r="AY40" s="571"/>
      <c r="AZ40" s="571"/>
      <c r="BA40" s="571"/>
      <c r="BB40" s="571"/>
      <c r="BC40" s="571"/>
      <c r="BD40" s="571"/>
      <c r="BE40" s="571"/>
      <c r="BF40" s="571"/>
      <c r="BG40" s="571"/>
      <c r="BH40" s="571"/>
      <c r="BI40" s="571"/>
      <c r="BJ40" s="571"/>
      <c r="BK40" s="571"/>
      <c r="BL40" s="571"/>
      <c r="BM40" s="571"/>
      <c r="BN40" s="571"/>
      <c r="BO40" s="571"/>
      <c r="BP40" s="571"/>
      <c r="BQ40" s="571"/>
      <c r="BR40" s="571"/>
      <c r="BS40" s="571"/>
      <c r="BT40" s="571"/>
      <c r="BU40" s="571"/>
      <c r="BV40" s="571"/>
      <c r="BW40" s="571"/>
      <c r="BX40" s="571"/>
      <c r="BY40" s="571"/>
      <c r="BZ40" s="571"/>
      <c r="CA40" s="571"/>
      <c r="CB40" s="571"/>
      <c r="CC40" s="571"/>
      <c r="CD40" s="571"/>
      <c r="CE40" s="571"/>
      <c r="CF40" s="571"/>
      <c r="CG40" s="571"/>
      <c r="CH40" s="571"/>
      <c r="CI40" s="571"/>
      <c r="CJ40" s="571"/>
      <c r="CK40" s="571"/>
      <c r="CL40" s="571"/>
      <c r="CM40" s="571"/>
      <c r="CN40" s="571"/>
      <c r="CO40" s="571"/>
      <c r="CP40" s="571"/>
      <c r="CQ40" s="571"/>
      <c r="CR40" s="571"/>
      <c r="CS40" s="571"/>
      <c r="CT40" s="571"/>
      <c r="CU40" s="571"/>
      <c r="CV40" s="571"/>
      <c r="CW40" s="571"/>
      <c r="CX40" s="571"/>
      <c r="CY40" s="571"/>
      <c r="CZ40" s="571"/>
      <c r="DA40" s="571"/>
      <c r="DB40" s="571"/>
      <c r="DC40" s="571"/>
      <c r="DD40" s="571"/>
      <c r="DE40" s="571"/>
      <c r="DF40" s="571"/>
      <c r="DG40" s="571"/>
      <c r="DH40" s="571"/>
      <c r="DI40" s="571"/>
      <c r="DJ40" s="571"/>
      <c r="DK40" s="571"/>
      <c r="DL40" s="571"/>
      <c r="DM40" s="571"/>
      <c r="DN40" s="571"/>
      <c r="DO40" s="571"/>
      <c r="DP40" s="571"/>
      <c r="DQ40" s="571"/>
      <c r="DR40" s="571"/>
      <c r="DS40" s="571"/>
      <c r="DT40" s="571"/>
      <c r="DU40" s="571"/>
      <c r="DV40" s="571"/>
      <c r="DW40" s="571"/>
      <c r="DX40" s="571"/>
      <c r="DY40" s="571"/>
      <c r="DZ40" s="571"/>
      <c r="EA40" s="571"/>
      <c r="EB40" s="571"/>
      <c r="EC40" s="571"/>
      <c r="ED40" s="571"/>
      <c r="EE40" s="571"/>
      <c r="EF40" s="571"/>
      <c r="EG40" s="571"/>
      <c r="EH40" s="571"/>
      <c r="EI40" s="571"/>
      <c r="EJ40" s="571"/>
      <c r="EK40" s="571"/>
      <c r="EL40" s="571"/>
      <c r="EM40" s="571"/>
      <c r="EN40" s="571"/>
      <c r="EO40" s="571"/>
      <c r="EP40" s="571"/>
      <c r="EQ40" s="571"/>
      <c r="ER40" s="571"/>
      <c r="ES40" s="571"/>
      <c r="ET40" s="571"/>
      <c r="EU40" s="571"/>
      <c r="EV40" s="571"/>
      <c r="EW40" s="571"/>
      <c r="EX40" s="557"/>
      <c r="EY40" s="557"/>
      <c r="EZ40" s="557"/>
      <c r="FA40" s="557"/>
      <c r="FB40" s="557"/>
      <c r="FC40" s="557"/>
      <c r="FD40" s="557"/>
      <c r="FE40" s="557"/>
      <c r="FF40" s="557"/>
      <c r="FG40" s="557"/>
      <c r="FH40" s="557"/>
      <c r="FI40" s="557"/>
      <c r="FJ40" s="557"/>
      <c r="FK40" s="557"/>
      <c r="FL40" s="557"/>
      <c r="FM40" s="557"/>
      <c r="FN40" s="557"/>
      <c r="FO40" s="557"/>
      <c r="FP40" s="557"/>
      <c r="FQ40" s="557"/>
      <c r="FR40" s="557"/>
      <c r="FS40" s="557"/>
      <c r="FT40" s="557"/>
      <c r="FU40" s="557"/>
      <c r="FV40" s="557"/>
      <c r="FW40" s="557"/>
      <c r="FX40" s="557"/>
      <c r="FY40" s="557"/>
      <c r="FZ40" s="557"/>
      <c r="GA40" s="557"/>
      <c r="GB40" s="557"/>
      <c r="GC40" s="557"/>
      <c r="GD40" s="557"/>
      <c r="GE40" s="557"/>
      <c r="GF40" s="557"/>
      <c r="GG40" s="557"/>
      <c r="GH40" s="557"/>
      <c r="GI40" s="557"/>
      <c r="GJ40" s="557"/>
      <c r="GK40" s="557"/>
      <c r="GL40" s="557"/>
      <c r="GM40" s="557"/>
      <c r="GN40" s="557"/>
      <c r="GO40" s="557"/>
      <c r="GP40" s="557"/>
      <c r="GQ40" s="557"/>
      <c r="GR40" s="557"/>
      <c r="GS40" s="557"/>
      <c r="GT40" s="557"/>
      <c r="GU40" s="557"/>
      <c r="GV40" s="557"/>
      <c r="GW40" s="557"/>
      <c r="GX40" s="557"/>
      <c r="GY40" s="557"/>
      <c r="GZ40" s="557"/>
      <c r="HA40" s="557"/>
      <c r="HB40" s="557"/>
      <c r="HC40" s="557"/>
      <c r="HD40" s="557"/>
      <c r="HE40" s="557"/>
      <c r="HF40" s="557"/>
      <c r="HG40" s="557"/>
      <c r="HH40" s="557"/>
      <c r="HI40" s="557"/>
      <c r="HJ40" s="557"/>
      <c r="HK40" s="557"/>
      <c r="HL40" s="557"/>
      <c r="HM40" s="557"/>
      <c r="HN40" s="557"/>
      <c r="HO40" s="557"/>
      <c r="HP40" s="557"/>
      <c r="HQ40" s="557"/>
      <c r="HR40" s="557"/>
      <c r="HS40" s="557"/>
      <c r="HT40" s="557"/>
      <c r="HU40" s="557"/>
      <c r="HV40" s="557"/>
      <c r="HW40" s="557"/>
      <c r="HX40" s="557"/>
      <c r="HY40" s="557"/>
      <c r="HZ40" s="557"/>
      <c r="IA40" s="557"/>
      <c r="IB40" s="557"/>
      <c r="IC40" s="557"/>
      <c r="ID40" s="557"/>
      <c r="IE40" s="557"/>
      <c r="IF40" s="557"/>
      <c r="IG40" s="557"/>
      <c r="IH40" s="557"/>
      <c r="II40" s="557"/>
      <c r="IJ40" s="557"/>
      <c r="IK40" s="557"/>
      <c r="IL40" s="557"/>
      <c r="IM40" s="557"/>
      <c r="IN40" s="557"/>
      <c r="IO40" s="557"/>
      <c r="IP40" s="557"/>
      <c r="IQ40" s="557"/>
      <c r="IR40" s="557"/>
    </row>
    <row r="41" spans="1:252" s="561" customFormat="1" ht="15">
      <c r="A41" s="606"/>
      <c r="B41" s="260" t="s">
        <v>719</v>
      </c>
      <c r="C41" s="97" t="s">
        <v>352</v>
      </c>
      <c r="D41" s="96" t="s">
        <v>67</v>
      </c>
      <c r="E41" s="94" t="s">
        <v>353</v>
      </c>
      <c r="F41" s="563">
        <v>6.0000000000000001E-3</v>
      </c>
      <c r="G41" s="994">
        <v>0</v>
      </c>
      <c r="H41" s="994">
        <f t="shared" si="3"/>
        <v>0</v>
      </c>
      <c r="I41" s="995"/>
      <c r="J41" s="996"/>
      <c r="K41" s="997"/>
      <c r="L41" s="997"/>
      <c r="M41" s="853">
        <f t="shared" si="4"/>
        <v>0</v>
      </c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571"/>
      <c r="CB41" s="571"/>
      <c r="CC41" s="571"/>
      <c r="CD41" s="571"/>
      <c r="CE41" s="571"/>
      <c r="CF41" s="571"/>
      <c r="CG41" s="571"/>
      <c r="CH41" s="571"/>
      <c r="CI41" s="571"/>
      <c r="CJ41" s="571"/>
      <c r="CK41" s="571"/>
      <c r="CL41" s="571"/>
      <c r="CM41" s="571"/>
      <c r="CN41" s="571"/>
      <c r="CO41" s="571"/>
      <c r="CP41" s="571"/>
      <c r="CQ41" s="571"/>
      <c r="CR41" s="571"/>
      <c r="CS41" s="571"/>
      <c r="CT41" s="571"/>
      <c r="CU41" s="571"/>
      <c r="CV41" s="571"/>
      <c r="CW41" s="571"/>
      <c r="CX41" s="571"/>
      <c r="CY41" s="571"/>
      <c r="CZ41" s="571"/>
      <c r="DA41" s="571"/>
      <c r="DB41" s="571"/>
      <c r="DC41" s="571"/>
      <c r="DD41" s="571"/>
      <c r="DE41" s="571"/>
      <c r="DF41" s="571"/>
      <c r="DG41" s="571"/>
      <c r="DH41" s="571"/>
      <c r="DI41" s="571"/>
      <c r="DJ41" s="571"/>
      <c r="DK41" s="571"/>
      <c r="DL41" s="571"/>
      <c r="DM41" s="571"/>
      <c r="DN41" s="571"/>
      <c r="DO41" s="571"/>
      <c r="DP41" s="571"/>
      <c r="DQ41" s="571"/>
      <c r="DR41" s="571"/>
      <c r="DS41" s="571"/>
      <c r="DT41" s="571"/>
      <c r="DU41" s="571"/>
      <c r="DV41" s="571"/>
      <c r="DW41" s="571"/>
      <c r="DX41" s="571"/>
      <c r="DY41" s="571"/>
      <c r="DZ41" s="571"/>
      <c r="EA41" s="571"/>
      <c r="EB41" s="571"/>
      <c r="EC41" s="571"/>
      <c r="ED41" s="571"/>
      <c r="EE41" s="571"/>
      <c r="EF41" s="571"/>
      <c r="EG41" s="571"/>
      <c r="EH41" s="571"/>
      <c r="EI41" s="571"/>
      <c r="EJ41" s="571"/>
      <c r="EK41" s="571"/>
      <c r="EL41" s="571"/>
      <c r="EM41" s="571"/>
      <c r="EN41" s="571"/>
      <c r="EO41" s="571"/>
      <c r="EP41" s="571"/>
      <c r="EQ41" s="571"/>
      <c r="ER41" s="571"/>
      <c r="ES41" s="571"/>
      <c r="ET41" s="571"/>
      <c r="EU41" s="571"/>
      <c r="EV41" s="571"/>
      <c r="EW41" s="571"/>
      <c r="EX41" s="557"/>
      <c r="EY41" s="557"/>
      <c r="EZ41" s="557"/>
      <c r="FA41" s="557"/>
      <c r="FB41" s="557"/>
      <c r="FC41" s="557"/>
      <c r="FD41" s="557"/>
      <c r="FE41" s="557"/>
      <c r="FF41" s="557"/>
      <c r="FG41" s="557"/>
      <c r="FH41" s="557"/>
      <c r="FI41" s="557"/>
      <c r="FJ41" s="557"/>
      <c r="FK41" s="557"/>
      <c r="FL41" s="557"/>
      <c r="FM41" s="557"/>
      <c r="FN41" s="557"/>
      <c r="FO41" s="557"/>
      <c r="FP41" s="557"/>
      <c r="FQ41" s="557"/>
      <c r="FR41" s="557"/>
      <c r="FS41" s="557"/>
      <c r="FT41" s="557"/>
      <c r="FU41" s="557"/>
      <c r="FV41" s="557"/>
      <c r="FW41" s="557"/>
      <c r="FX41" s="557"/>
      <c r="FY41" s="557"/>
      <c r="FZ41" s="557"/>
      <c r="GA41" s="557"/>
      <c r="GB41" s="557"/>
      <c r="GC41" s="557"/>
      <c r="GD41" s="557"/>
      <c r="GE41" s="557"/>
      <c r="GF41" s="557"/>
      <c r="GG41" s="557"/>
      <c r="GH41" s="557"/>
      <c r="GI41" s="557"/>
      <c r="GJ41" s="557"/>
      <c r="GK41" s="557"/>
      <c r="GL41" s="557"/>
      <c r="GM41" s="557"/>
      <c r="GN41" s="557"/>
      <c r="GO41" s="557"/>
      <c r="GP41" s="557"/>
      <c r="GQ41" s="557"/>
      <c r="GR41" s="557"/>
      <c r="GS41" s="557"/>
      <c r="GT41" s="557"/>
      <c r="GU41" s="557"/>
      <c r="GV41" s="557"/>
      <c r="GW41" s="557"/>
      <c r="GX41" s="557"/>
      <c r="GY41" s="557"/>
      <c r="GZ41" s="557"/>
      <c r="HA41" s="557"/>
      <c r="HB41" s="557"/>
      <c r="HC41" s="557"/>
      <c r="HD41" s="557"/>
      <c r="HE41" s="557"/>
      <c r="HF41" s="557"/>
      <c r="HG41" s="557"/>
      <c r="HH41" s="557"/>
      <c r="HI41" s="557"/>
      <c r="HJ41" s="557"/>
      <c r="HK41" s="557"/>
      <c r="HL41" s="557"/>
      <c r="HM41" s="557"/>
      <c r="HN41" s="557"/>
      <c r="HO41" s="557"/>
      <c r="HP41" s="557"/>
      <c r="HQ41" s="557"/>
      <c r="HR41" s="557"/>
      <c r="HS41" s="557"/>
      <c r="HT41" s="557"/>
      <c r="HU41" s="557"/>
      <c r="HV41" s="557"/>
      <c r="HW41" s="557"/>
      <c r="HX41" s="557"/>
      <c r="HY41" s="557"/>
      <c r="HZ41" s="557"/>
      <c r="IA41" s="557"/>
      <c r="IB41" s="557"/>
      <c r="IC41" s="557"/>
      <c r="ID41" s="557"/>
      <c r="IE41" s="557"/>
      <c r="IF41" s="557"/>
      <c r="IG41" s="557"/>
      <c r="IH41" s="557"/>
      <c r="II41" s="557"/>
      <c r="IJ41" s="557"/>
      <c r="IK41" s="557"/>
      <c r="IL41" s="557"/>
      <c r="IM41" s="557"/>
      <c r="IN41" s="557"/>
      <c r="IO41" s="557"/>
      <c r="IP41" s="557"/>
      <c r="IQ41" s="557"/>
      <c r="IR41" s="557"/>
    </row>
    <row r="42" spans="1:252" s="561" customFormat="1" ht="15">
      <c r="A42" s="606"/>
      <c r="B42" s="221" t="s">
        <v>721</v>
      </c>
      <c r="C42" s="97" t="s">
        <v>722</v>
      </c>
      <c r="D42" s="96" t="s">
        <v>81</v>
      </c>
      <c r="E42" s="94" t="s">
        <v>353</v>
      </c>
      <c r="F42" s="111">
        <v>7.14</v>
      </c>
      <c r="G42" s="997">
        <v>0</v>
      </c>
      <c r="H42" s="994">
        <f t="shared" si="3"/>
        <v>0</v>
      </c>
      <c r="I42" s="995"/>
      <c r="J42" s="996"/>
      <c r="K42" s="997"/>
      <c r="L42" s="997"/>
      <c r="M42" s="853">
        <f t="shared" si="4"/>
        <v>0</v>
      </c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  <c r="AY42" s="571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71"/>
      <c r="BL42" s="571"/>
      <c r="BM42" s="571"/>
      <c r="BN42" s="571"/>
      <c r="BO42" s="571"/>
      <c r="BP42" s="571"/>
      <c r="BQ42" s="571"/>
      <c r="BR42" s="571"/>
      <c r="BS42" s="571"/>
      <c r="BT42" s="571"/>
      <c r="BU42" s="571"/>
      <c r="BV42" s="571"/>
      <c r="BW42" s="571"/>
      <c r="BX42" s="571"/>
      <c r="BY42" s="571"/>
      <c r="BZ42" s="571"/>
      <c r="CA42" s="571"/>
      <c r="CB42" s="571"/>
      <c r="CC42" s="571"/>
      <c r="CD42" s="571"/>
      <c r="CE42" s="571"/>
      <c r="CF42" s="571"/>
      <c r="CG42" s="571"/>
      <c r="CH42" s="571"/>
      <c r="CI42" s="571"/>
      <c r="CJ42" s="571"/>
      <c r="CK42" s="571"/>
      <c r="CL42" s="571"/>
      <c r="CM42" s="571"/>
      <c r="CN42" s="571"/>
      <c r="CO42" s="571"/>
      <c r="CP42" s="571"/>
      <c r="CQ42" s="571"/>
      <c r="CR42" s="571"/>
      <c r="CS42" s="571"/>
      <c r="CT42" s="571"/>
      <c r="CU42" s="571"/>
      <c r="CV42" s="571"/>
      <c r="CW42" s="571"/>
      <c r="CX42" s="571"/>
      <c r="CY42" s="571"/>
      <c r="CZ42" s="571"/>
      <c r="DA42" s="571"/>
      <c r="DB42" s="571"/>
      <c r="DC42" s="571"/>
      <c r="DD42" s="571"/>
      <c r="DE42" s="571"/>
      <c r="DF42" s="571"/>
      <c r="DG42" s="571"/>
      <c r="DH42" s="571"/>
      <c r="DI42" s="571"/>
      <c r="DJ42" s="571"/>
      <c r="DK42" s="571"/>
      <c r="DL42" s="571"/>
      <c r="DM42" s="571"/>
      <c r="DN42" s="571"/>
      <c r="DO42" s="571"/>
      <c r="DP42" s="571"/>
      <c r="DQ42" s="571"/>
      <c r="DR42" s="571"/>
      <c r="DS42" s="571"/>
      <c r="DT42" s="571"/>
      <c r="DU42" s="571"/>
      <c r="DV42" s="571"/>
      <c r="DW42" s="571"/>
      <c r="DX42" s="571"/>
      <c r="DY42" s="571"/>
      <c r="DZ42" s="571"/>
      <c r="EA42" s="571"/>
      <c r="EB42" s="571"/>
      <c r="EC42" s="571"/>
      <c r="ED42" s="571"/>
      <c r="EE42" s="571"/>
      <c r="EF42" s="571"/>
      <c r="EG42" s="571"/>
      <c r="EH42" s="571"/>
      <c r="EI42" s="571"/>
      <c r="EJ42" s="571"/>
      <c r="EK42" s="571"/>
      <c r="EL42" s="571"/>
      <c r="EM42" s="571"/>
      <c r="EN42" s="571"/>
      <c r="EO42" s="571"/>
      <c r="EP42" s="571"/>
      <c r="EQ42" s="571"/>
      <c r="ER42" s="571"/>
      <c r="ES42" s="571"/>
      <c r="ET42" s="571"/>
      <c r="EU42" s="571"/>
      <c r="EV42" s="571"/>
      <c r="EW42" s="571"/>
      <c r="EX42" s="557"/>
      <c r="EY42" s="557"/>
      <c r="EZ42" s="557"/>
      <c r="FA42" s="557"/>
      <c r="FB42" s="557"/>
      <c r="FC42" s="557"/>
      <c r="FD42" s="557"/>
      <c r="FE42" s="557"/>
      <c r="FF42" s="557"/>
      <c r="FG42" s="557"/>
      <c r="FH42" s="557"/>
      <c r="FI42" s="557"/>
      <c r="FJ42" s="557"/>
      <c r="FK42" s="557"/>
      <c r="FL42" s="557"/>
      <c r="FM42" s="557"/>
      <c r="FN42" s="557"/>
      <c r="FO42" s="557"/>
      <c r="FP42" s="557"/>
      <c r="FQ42" s="557"/>
      <c r="FR42" s="557"/>
      <c r="FS42" s="557"/>
      <c r="FT42" s="557"/>
      <c r="FU42" s="557"/>
      <c r="FV42" s="557"/>
      <c r="FW42" s="557"/>
      <c r="FX42" s="557"/>
      <c r="FY42" s="557"/>
      <c r="FZ42" s="557"/>
      <c r="GA42" s="557"/>
      <c r="GB42" s="557"/>
      <c r="GC42" s="557"/>
      <c r="GD42" s="557"/>
      <c r="GE42" s="557"/>
      <c r="GF42" s="557"/>
      <c r="GG42" s="557"/>
      <c r="GH42" s="557"/>
      <c r="GI42" s="557"/>
      <c r="GJ42" s="557"/>
      <c r="GK42" s="557"/>
      <c r="GL42" s="557"/>
      <c r="GM42" s="557"/>
      <c r="GN42" s="557"/>
      <c r="GO42" s="557"/>
      <c r="GP42" s="557"/>
      <c r="GQ42" s="557"/>
      <c r="GR42" s="557"/>
      <c r="GS42" s="557"/>
      <c r="GT42" s="557"/>
      <c r="GU42" s="557"/>
      <c r="GV42" s="557"/>
      <c r="GW42" s="557"/>
      <c r="GX42" s="557"/>
      <c r="GY42" s="557"/>
      <c r="GZ42" s="557"/>
      <c r="HA42" s="557"/>
      <c r="HB42" s="557"/>
      <c r="HC42" s="557"/>
      <c r="HD42" s="557"/>
      <c r="HE42" s="557"/>
      <c r="HF42" s="557"/>
      <c r="HG42" s="557"/>
      <c r="HH42" s="557"/>
      <c r="HI42" s="557"/>
      <c r="HJ42" s="557"/>
      <c r="HK42" s="557"/>
      <c r="HL42" s="557"/>
      <c r="HM42" s="557"/>
      <c r="HN42" s="557"/>
      <c r="HO42" s="557"/>
      <c r="HP42" s="557"/>
      <c r="HQ42" s="557"/>
      <c r="HR42" s="557"/>
      <c r="HS42" s="557"/>
      <c r="HT42" s="557"/>
      <c r="HU42" s="557"/>
      <c r="HV42" s="557"/>
      <c r="HW42" s="557"/>
      <c r="HX42" s="557"/>
      <c r="HY42" s="557"/>
      <c r="HZ42" s="557"/>
      <c r="IA42" s="557"/>
      <c r="IB42" s="557"/>
      <c r="IC42" s="557"/>
      <c r="ID42" s="557"/>
      <c r="IE42" s="557"/>
      <c r="IF42" s="557"/>
      <c r="IG42" s="557"/>
      <c r="IH42" s="557"/>
      <c r="II42" s="557"/>
      <c r="IJ42" s="557"/>
      <c r="IK42" s="557"/>
      <c r="IL42" s="557"/>
      <c r="IM42" s="557"/>
      <c r="IN42" s="557"/>
      <c r="IO42" s="557"/>
      <c r="IP42" s="557"/>
      <c r="IQ42" s="557"/>
      <c r="IR42" s="557"/>
    </row>
    <row r="43" spans="1:252" s="561" customFormat="1" ht="15">
      <c r="A43" s="606"/>
      <c r="B43" s="260" t="s">
        <v>732</v>
      </c>
      <c r="C43" s="97" t="s">
        <v>356</v>
      </c>
      <c r="D43" s="96" t="s">
        <v>65</v>
      </c>
      <c r="E43" s="94" t="s">
        <v>353</v>
      </c>
      <c r="F43" s="111">
        <v>2</v>
      </c>
      <c r="G43" s="994">
        <v>0</v>
      </c>
      <c r="H43" s="994">
        <f t="shared" si="3"/>
        <v>0</v>
      </c>
      <c r="I43" s="995"/>
      <c r="J43" s="996"/>
      <c r="K43" s="997"/>
      <c r="L43" s="997"/>
      <c r="M43" s="853">
        <f t="shared" si="4"/>
        <v>0</v>
      </c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1"/>
      <c r="BD43" s="571"/>
      <c r="BE43" s="571"/>
      <c r="BF43" s="571"/>
      <c r="BG43" s="571"/>
      <c r="BH43" s="571"/>
      <c r="BI43" s="571"/>
      <c r="BJ43" s="571"/>
      <c r="BK43" s="571"/>
      <c r="BL43" s="571"/>
      <c r="BM43" s="571"/>
      <c r="BN43" s="571"/>
      <c r="BO43" s="571"/>
      <c r="BP43" s="571"/>
      <c r="BQ43" s="571"/>
      <c r="BR43" s="571"/>
      <c r="BS43" s="571"/>
      <c r="BT43" s="571"/>
      <c r="BU43" s="571"/>
      <c r="BV43" s="571"/>
      <c r="BW43" s="571"/>
      <c r="BX43" s="571"/>
      <c r="BY43" s="571"/>
      <c r="BZ43" s="571"/>
      <c r="CA43" s="571"/>
      <c r="CB43" s="571"/>
      <c r="CC43" s="571"/>
      <c r="CD43" s="571"/>
      <c r="CE43" s="571"/>
      <c r="CF43" s="571"/>
      <c r="CG43" s="571"/>
      <c r="CH43" s="571"/>
      <c r="CI43" s="571"/>
      <c r="CJ43" s="571"/>
      <c r="CK43" s="571"/>
      <c r="CL43" s="571"/>
      <c r="CM43" s="571"/>
      <c r="CN43" s="571"/>
      <c r="CO43" s="571"/>
      <c r="CP43" s="571"/>
      <c r="CQ43" s="571"/>
      <c r="CR43" s="571"/>
      <c r="CS43" s="571"/>
      <c r="CT43" s="571"/>
      <c r="CU43" s="571"/>
      <c r="CV43" s="571"/>
      <c r="CW43" s="571"/>
      <c r="CX43" s="571"/>
      <c r="CY43" s="571"/>
      <c r="CZ43" s="571"/>
      <c r="DA43" s="571"/>
      <c r="DB43" s="571"/>
      <c r="DC43" s="571"/>
      <c r="DD43" s="571"/>
      <c r="DE43" s="571"/>
      <c r="DF43" s="571"/>
      <c r="DG43" s="571"/>
      <c r="DH43" s="571"/>
      <c r="DI43" s="571"/>
      <c r="DJ43" s="571"/>
      <c r="DK43" s="571"/>
      <c r="DL43" s="571"/>
      <c r="DM43" s="571"/>
      <c r="DN43" s="571"/>
      <c r="DO43" s="571"/>
      <c r="DP43" s="571"/>
      <c r="DQ43" s="571"/>
      <c r="DR43" s="571"/>
      <c r="DS43" s="571"/>
      <c r="DT43" s="571"/>
      <c r="DU43" s="571"/>
      <c r="DV43" s="571"/>
      <c r="DW43" s="571"/>
      <c r="DX43" s="571"/>
      <c r="DY43" s="571"/>
      <c r="DZ43" s="571"/>
      <c r="EA43" s="571"/>
      <c r="EB43" s="571"/>
      <c r="EC43" s="571"/>
      <c r="ED43" s="571"/>
      <c r="EE43" s="571"/>
      <c r="EF43" s="571"/>
      <c r="EG43" s="571"/>
      <c r="EH43" s="571"/>
      <c r="EI43" s="571"/>
      <c r="EJ43" s="571"/>
      <c r="EK43" s="571"/>
      <c r="EL43" s="571"/>
      <c r="EM43" s="571"/>
      <c r="EN43" s="571"/>
      <c r="EO43" s="571"/>
      <c r="EP43" s="571"/>
      <c r="EQ43" s="571"/>
      <c r="ER43" s="571"/>
      <c r="ES43" s="571"/>
      <c r="ET43" s="571"/>
      <c r="EU43" s="571"/>
      <c r="EV43" s="571"/>
      <c r="EW43" s="571"/>
      <c r="EX43" s="557"/>
      <c r="EY43" s="557"/>
      <c r="EZ43" s="557"/>
      <c r="FA43" s="557"/>
      <c r="FB43" s="557"/>
      <c r="FC43" s="557"/>
      <c r="FD43" s="557"/>
      <c r="FE43" s="557"/>
      <c r="FF43" s="557"/>
      <c r="FG43" s="557"/>
      <c r="FH43" s="557"/>
      <c r="FI43" s="557"/>
      <c r="FJ43" s="557"/>
      <c r="FK43" s="557"/>
      <c r="FL43" s="557"/>
      <c r="FM43" s="557"/>
      <c r="FN43" s="557"/>
      <c r="FO43" s="557"/>
      <c r="FP43" s="557"/>
      <c r="FQ43" s="557"/>
      <c r="FR43" s="557"/>
      <c r="FS43" s="557"/>
      <c r="FT43" s="557"/>
      <c r="FU43" s="557"/>
      <c r="FV43" s="557"/>
      <c r="FW43" s="557"/>
      <c r="FX43" s="557"/>
      <c r="FY43" s="557"/>
      <c r="FZ43" s="557"/>
      <c r="GA43" s="557"/>
      <c r="GB43" s="557"/>
      <c r="GC43" s="557"/>
      <c r="GD43" s="557"/>
      <c r="GE43" s="557"/>
      <c r="GF43" s="557"/>
      <c r="GG43" s="557"/>
      <c r="GH43" s="557"/>
      <c r="GI43" s="557"/>
      <c r="GJ43" s="557"/>
      <c r="GK43" s="557"/>
      <c r="GL43" s="557"/>
      <c r="GM43" s="557"/>
      <c r="GN43" s="557"/>
      <c r="GO43" s="557"/>
      <c r="GP43" s="557"/>
      <c r="GQ43" s="557"/>
      <c r="GR43" s="557"/>
      <c r="GS43" s="557"/>
      <c r="GT43" s="557"/>
      <c r="GU43" s="557"/>
      <c r="GV43" s="557"/>
      <c r="GW43" s="557"/>
      <c r="GX43" s="557"/>
      <c r="GY43" s="557"/>
      <c r="GZ43" s="557"/>
      <c r="HA43" s="557"/>
      <c r="HB43" s="557"/>
      <c r="HC43" s="557"/>
      <c r="HD43" s="557"/>
      <c r="HE43" s="557"/>
      <c r="HF43" s="557"/>
      <c r="HG43" s="557"/>
      <c r="HH43" s="557"/>
      <c r="HI43" s="557"/>
      <c r="HJ43" s="557"/>
      <c r="HK43" s="557"/>
      <c r="HL43" s="557"/>
      <c r="HM43" s="557"/>
      <c r="HN43" s="557"/>
      <c r="HO43" s="557"/>
      <c r="HP43" s="557"/>
      <c r="HQ43" s="557"/>
      <c r="HR43" s="557"/>
      <c r="HS43" s="557"/>
      <c r="HT43" s="557"/>
      <c r="HU43" s="557"/>
      <c r="HV43" s="557"/>
      <c r="HW43" s="557"/>
      <c r="HX43" s="557"/>
      <c r="HY43" s="557"/>
      <c r="HZ43" s="557"/>
      <c r="IA43" s="557"/>
      <c r="IB43" s="557"/>
      <c r="IC43" s="557"/>
      <c r="ID43" s="557"/>
      <c r="IE43" s="557"/>
      <c r="IF43" s="557"/>
      <c r="IG43" s="557"/>
      <c r="IH43" s="557"/>
      <c r="II43" s="557"/>
      <c r="IJ43" s="557"/>
      <c r="IK43" s="557"/>
      <c r="IL43" s="557"/>
      <c r="IM43" s="557"/>
      <c r="IN43" s="557"/>
      <c r="IO43" s="557"/>
      <c r="IP43" s="557"/>
      <c r="IQ43" s="557"/>
      <c r="IR43" s="557"/>
    </row>
    <row r="44" spans="1:252" s="561" customFormat="1" ht="15">
      <c r="A44" s="606"/>
      <c r="B44" s="221" t="s">
        <v>733</v>
      </c>
      <c r="C44" s="97" t="s">
        <v>357</v>
      </c>
      <c r="D44" s="96" t="s">
        <v>65</v>
      </c>
      <c r="E44" s="94" t="s">
        <v>353</v>
      </c>
      <c r="F44" s="111">
        <v>6</v>
      </c>
      <c r="G44" s="997">
        <v>0</v>
      </c>
      <c r="H44" s="994">
        <f t="shared" si="3"/>
        <v>0</v>
      </c>
      <c r="I44" s="995"/>
      <c r="J44" s="996"/>
      <c r="K44" s="997"/>
      <c r="L44" s="997"/>
      <c r="M44" s="853">
        <f t="shared" si="4"/>
        <v>0</v>
      </c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1"/>
      <c r="AQ44" s="571"/>
      <c r="AR44" s="571"/>
      <c r="AS44" s="571"/>
      <c r="AT44" s="571"/>
      <c r="AU44" s="571"/>
      <c r="AV44" s="571"/>
      <c r="AW44" s="571"/>
      <c r="AX44" s="571"/>
      <c r="AY44" s="571"/>
      <c r="AZ44" s="571"/>
      <c r="BA44" s="571"/>
      <c r="BB44" s="571"/>
      <c r="BC44" s="571"/>
      <c r="BD44" s="571"/>
      <c r="BE44" s="571"/>
      <c r="BF44" s="571"/>
      <c r="BG44" s="571"/>
      <c r="BH44" s="571"/>
      <c r="BI44" s="571"/>
      <c r="BJ44" s="571"/>
      <c r="BK44" s="571"/>
      <c r="BL44" s="571"/>
      <c r="BM44" s="571"/>
      <c r="BN44" s="571"/>
      <c r="BO44" s="571"/>
      <c r="BP44" s="571"/>
      <c r="BQ44" s="571"/>
      <c r="BR44" s="571"/>
      <c r="BS44" s="571"/>
      <c r="BT44" s="571"/>
      <c r="BU44" s="571"/>
      <c r="BV44" s="571"/>
      <c r="BW44" s="571"/>
      <c r="BX44" s="571"/>
      <c r="BY44" s="571"/>
      <c r="BZ44" s="571"/>
      <c r="CA44" s="571"/>
      <c r="CB44" s="571"/>
      <c r="CC44" s="571"/>
      <c r="CD44" s="571"/>
      <c r="CE44" s="571"/>
      <c r="CF44" s="571"/>
      <c r="CG44" s="571"/>
      <c r="CH44" s="571"/>
      <c r="CI44" s="571"/>
      <c r="CJ44" s="571"/>
      <c r="CK44" s="571"/>
      <c r="CL44" s="571"/>
      <c r="CM44" s="571"/>
      <c r="CN44" s="571"/>
      <c r="CO44" s="571"/>
      <c r="CP44" s="571"/>
      <c r="CQ44" s="571"/>
      <c r="CR44" s="571"/>
      <c r="CS44" s="571"/>
      <c r="CT44" s="571"/>
      <c r="CU44" s="571"/>
      <c r="CV44" s="571"/>
      <c r="CW44" s="571"/>
      <c r="CX44" s="571"/>
      <c r="CY44" s="571"/>
      <c r="CZ44" s="571"/>
      <c r="DA44" s="571"/>
      <c r="DB44" s="571"/>
      <c r="DC44" s="571"/>
      <c r="DD44" s="571"/>
      <c r="DE44" s="571"/>
      <c r="DF44" s="571"/>
      <c r="DG44" s="571"/>
      <c r="DH44" s="571"/>
      <c r="DI44" s="571"/>
      <c r="DJ44" s="571"/>
      <c r="DK44" s="571"/>
      <c r="DL44" s="571"/>
      <c r="DM44" s="571"/>
      <c r="DN44" s="571"/>
      <c r="DO44" s="571"/>
      <c r="DP44" s="571"/>
      <c r="DQ44" s="571"/>
      <c r="DR44" s="571"/>
      <c r="DS44" s="571"/>
      <c r="DT44" s="571"/>
      <c r="DU44" s="571"/>
      <c r="DV44" s="571"/>
      <c r="DW44" s="571"/>
      <c r="DX44" s="571"/>
      <c r="DY44" s="571"/>
      <c r="DZ44" s="571"/>
      <c r="EA44" s="571"/>
      <c r="EB44" s="571"/>
      <c r="EC44" s="571"/>
      <c r="ED44" s="571"/>
      <c r="EE44" s="571"/>
      <c r="EF44" s="571"/>
      <c r="EG44" s="571"/>
      <c r="EH44" s="571"/>
      <c r="EI44" s="571"/>
      <c r="EJ44" s="571"/>
      <c r="EK44" s="571"/>
      <c r="EL44" s="571"/>
      <c r="EM44" s="571"/>
      <c r="EN44" s="571"/>
      <c r="EO44" s="571"/>
      <c r="EP44" s="571"/>
      <c r="EQ44" s="571"/>
      <c r="ER44" s="571"/>
      <c r="ES44" s="571"/>
      <c r="ET44" s="571"/>
      <c r="EU44" s="571"/>
      <c r="EV44" s="571"/>
      <c r="EW44" s="571"/>
      <c r="EX44" s="557"/>
      <c r="EY44" s="557"/>
      <c r="EZ44" s="557"/>
      <c r="FA44" s="557"/>
      <c r="FB44" s="557"/>
      <c r="FC44" s="557"/>
      <c r="FD44" s="557"/>
      <c r="FE44" s="557"/>
      <c r="FF44" s="557"/>
      <c r="FG44" s="557"/>
      <c r="FH44" s="557"/>
      <c r="FI44" s="557"/>
      <c r="FJ44" s="557"/>
      <c r="FK44" s="557"/>
      <c r="FL44" s="557"/>
      <c r="FM44" s="557"/>
      <c r="FN44" s="557"/>
      <c r="FO44" s="557"/>
      <c r="FP44" s="557"/>
      <c r="FQ44" s="557"/>
      <c r="FR44" s="557"/>
      <c r="FS44" s="557"/>
      <c r="FT44" s="557"/>
      <c r="FU44" s="557"/>
      <c r="FV44" s="557"/>
      <c r="FW44" s="557"/>
      <c r="FX44" s="557"/>
      <c r="FY44" s="557"/>
      <c r="FZ44" s="557"/>
      <c r="GA44" s="557"/>
      <c r="GB44" s="557"/>
      <c r="GC44" s="557"/>
      <c r="GD44" s="557"/>
      <c r="GE44" s="557"/>
      <c r="GF44" s="557"/>
      <c r="GG44" s="557"/>
      <c r="GH44" s="557"/>
      <c r="GI44" s="557"/>
      <c r="GJ44" s="557"/>
      <c r="GK44" s="557"/>
      <c r="GL44" s="557"/>
      <c r="GM44" s="557"/>
      <c r="GN44" s="557"/>
      <c r="GO44" s="557"/>
      <c r="GP44" s="557"/>
      <c r="GQ44" s="557"/>
      <c r="GR44" s="557"/>
      <c r="GS44" s="557"/>
      <c r="GT44" s="557"/>
      <c r="GU44" s="557"/>
      <c r="GV44" s="557"/>
      <c r="GW44" s="557"/>
      <c r="GX44" s="557"/>
      <c r="GY44" s="557"/>
      <c r="GZ44" s="557"/>
      <c r="HA44" s="557"/>
      <c r="HB44" s="557"/>
      <c r="HC44" s="557"/>
      <c r="HD44" s="557"/>
      <c r="HE44" s="557"/>
      <c r="HF44" s="557"/>
      <c r="HG44" s="557"/>
      <c r="HH44" s="557"/>
      <c r="HI44" s="557"/>
      <c r="HJ44" s="557"/>
      <c r="HK44" s="557"/>
      <c r="HL44" s="557"/>
      <c r="HM44" s="557"/>
      <c r="HN44" s="557"/>
      <c r="HO44" s="557"/>
      <c r="HP44" s="557"/>
      <c r="HQ44" s="557"/>
      <c r="HR44" s="557"/>
      <c r="HS44" s="557"/>
      <c r="HT44" s="557"/>
      <c r="HU44" s="557"/>
      <c r="HV44" s="557"/>
      <c r="HW44" s="557"/>
      <c r="HX44" s="557"/>
      <c r="HY44" s="557"/>
      <c r="HZ44" s="557"/>
      <c r="IA44" s="557"/>
      <c r="IB44" s="557"/>
      <c r="IC44" s="557"/>
      <c r="ID44" s="557"/>
      <c r="IE44" s="557"/>
      <c r="IF44" s="557"/>
      <c r="IG44" s="557"/>
      <c r="IH44" s="557"/>
      <c r="II44" s="557"/>
      <c r="IJ44" s="557"/>
      <c r="IK44" s="557"/>
      <c r="IL44" s="557"/>
      <c r="IM44" s="557"/>
      <c r="IN44" s="557"/>
      <c r="IO44" s="557"/>
      <c r="IP44" s="557"/>
      <c r="IQ44" s="557"/>
      <c r="IR44" s="557"/>
    </row>
    <row r="45" spans="1:252" s="561" customFormat="1" ht="15">
      <c r="A45" s="95"/>
      <c r="B45" s="263"/>
      <c r="C45" s="569" t="s">
        <v>358</v>
      </c>
      <c r="D45" s="264" t="s">
        <v>7</v>
      </c>
      <c r="E45" s="262">
        <v>0.11</v>
      </c>
      <c r="F45" s="111">
        <f>E45*F35</f>
        <v>0.11</v>
      </c>
      <c r="G45" s="852"/>
      <c r="H45" s="1003"/>
      <c r="I45" s="853"/>
      <c r="J45" s="852"/>
      <c r="K45" s="853">
        <v>0</v>
      </c>
      <c r="L45" s="853">
        <f>K45*F45</f>
        <v>0</v>
      </c>
      <c r="M45" s="853">
        <f>L45</f>
        <v>0</v>
      </c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3"/>
      <c r="BX45" s="573"/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73"/>
      <c r="DX45" s="573"/>
      <c r="DY45" s="573"/>
      <c r="DZ45" s="573"/>
      <c r="EA45" s="573"/>
      <c r="EB45" s="573"/>
      <c r="EC45" s="573"/>
      <c r="ED45" s="573"/>
      <c r="EE45" s="573"/>
      <c r="EF45" s="573"/>
      <c r="EG45" s="573"/>
      <c r="EH45" s="573"/>
      <c r="EI45" s="573"/>
      <c r="EJ45" s="573"/>
      <c r="EK45" s="573"/>
      <c r="EL45" s="573"/>
      <c r="EM45" s="573"/>
      <c r="EN45" s="573"/>
      <c r="EO45" s="573"/>
      <c r="EP45" s="573"/>
      <c r="EQ45" s="573"/>
      <c r="ER45" s="573"/>
      <c r="ES45" s="573"/>
      <c r="ET45" s="573"/>
      <c r="EU45" s="573"/>
      <c r="EV45" s="573"/>
      <c r="EW45" s="573"/>
      <c r="EX45" s="573"/>
      <c r="EY45" s="573"/>
      <c r="EZ45" s="573"/>
      <c r="FA45" s="573"/>
      <c r="FB45" s="573"/>
      <c r="FC45" s="573"/>
      <c r="FD45" s="573"/>
      <c r="FE45" s="573"/>
      <c r="FF45" s="573"/>
      <c r="FG45" s="573"/>
      <c r="FH45" s="573"/>
      <c r="FI45" s="573"/>
      <c r="FJ45" s="573"/>
      <c r="FK45" s="573"/>
      <c r="FL45" s="573"/>
      <c r="FM45" s="573"/>
      <c r="FN45" s="573"/>
      <c r="FO45" s="573"/>
      <c r="FP45" s="573"/>
      <c r="FQ45" s="573"/>
      <c r="FR45" s="573"/>
      <c r="FS45" s="573"/>
      <c r="FT45" s="573"/>
      <c r="FU45" s="573"/>
      <c r="FV45" s="573"/>
      <c r="FW45" s="573"/>
      <c r="FX45" s="573"/>
      <c r="FY45" s="573"/>
      <c r="FZ45" s="573"/>
      <c r="GA45" s="573"/>
      <c r="GB45" s="573"/>
      <c r="GC45" s="573"/>
      <c r="GD45" s="573"/>
      <c r="GE45" s="573"/>
      <c r="GF45" s="573"/>
      <c r="GG45" s="573"/>
      <c r="GH45" s="573"/>
      <c r="GI45" s="573"/>
      <c r="GJ45" s="573"/>
      <c r="GK45" s="573"/>
      <c r="GL45" s="573"/>
      <c r="GM45" s="573"/>
      <c r="GN45" s="573"/>
      <c r="GO45" s="573"/>
      <c r="GP45" s="573"/>
      <c r="GQ45" s="573"/>
      <c r="GR45" s="573"/>
      <c r="GS45" s="573"/>
      <c r="GT45" s="573"/>
      <c r="GU45" s="573"/>
      <c r="GV45" s="573"/>
      <c r="GW45" s="573"/>
      <c r="GX45" s="573"/>
      <c r="GY45" s="573"/>
      <c r="GZ45" s="573"/>
      <c r="HA45" s="573"/>
      <c r="HB45" s="573"/>
      <c r="HC45" s="573"/>
      <c r="HD45" s="573"/>
      <c r="HE45" s="573"/>
      <c r="HF45" s="573"/>
      <c r="HG45" s="573"/>
      <c r="HH45" s="573"/>
      <c r="HI45" s="573"/>
      <c r="HJ45" s="573"/>
      <c r="HK45" s="573"/>
      <c r="HL45" s="573"/>
      <c r="HM45" s="573"/>
      <c r="HN45" s="573"/>
      <c r="HO45" s="573"/>
      <c r="HP45" s="573"/>
      <c r="HQ45" s="573"/>
      <c r="HR45" s="573"/>
      <c r="HS45" s="573"/>
      <c r="HT45" s="573"/>
      <c r="HU45" s="573"/>
      <c r="HV45" s="573"/>
      <c r="HW45" s="573"/>
      <c r="HX45" s="573"/>
      <c r="HY45" s="573"/>
      <c r="HZ45" s="573"/>
      <c r="IA45" s="573"/>
      <c r="IB45" s="573"/>
      <c r="IC45" s="573"/>
      <c r="ID45" s="573"/>
      <c r="IE45" s="573"/>
      <c r="IF45" s="573"/>
      <c r="IG45" s="568"/>
      <c r="IH45" s="568"/>
      <c r="II45" s="568"/>
      <c r="IJ45" s="568"/>
      <c r="IK45" s="568"/>
      <c r="IL45" s="568"/>
      <c r="IM45" s="568"/>
      <c r="IN45" s="568"/>
      <c r="IO45" s="568"/>
      <c r="IP45" s="568"/>
      <c r="IQ45" s="568"/>
      <c r="IR45" s="568"/>
    </row>
    <row r="46" spans="1:252" s="561" customFormat="1" ht="15">
      <c r="A46" s="95"/>
      <c r="B46" s="265"/>
      <c r="C46" s="569" t="s">
        <v>359</v>
      </c>
      <c r="D46" s="264" t="s">
        <v>7</v>
      </c>
      <c r="E46" s="262">
        <v>0.02</v>
      </c>
      <c r="F46" s="264">
        <f>E46*F35</f>
        <v>0.02</v>
      </c>
      <c r="G46" s="853">
        <v>0</v>
      </c>
      <c r="H46" s="1006">
        <f>G46*F46</f>
        <v>0</v>
      </c>
      <c r="I46" s="852"/>
      <c r="J46" s="852"/>
      <c r="K46" s="852"/>
      <c r="L46" s="1007"/>
      <c r="M46" s="1008">
        <f>H46</f>
        <v>0</v>
      </c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73"/>
      <c r="BQ46" s="573"/>
      <c r="BR46" s="573"/>
      <c r="BS46" s="573"/>
      <c r="BT46" s="573"/>
      <c r="BU46" s="573"/>
      <c r="BV46" s="573"/>
      <c r="BW46" s="573"/>
      <c r="BX46" s="573"/>
      <c r="BY46" s="573"/>
      <c r="BZ46" s="573"/>
      <c r="CA46" s="573"/>
      <c r="CB46" s="573"/>
      <c r="CC46" s="573"/>
      <c r="CD46" s="573"/>
      <c r="CE46" s="573"/>
      <c r="CF46" s="573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3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73"/>
      <c r="DX46" s="573"/>
      <c r="DY46" s="573"/>
      <c r="DZ46" s="573"/>
      <c r="EA46" s="573"/>
      <c r="EB46" s="573"/>
      <c r="EC46" s="573"/>
      <c r="ED46" s="573"/>
      <c r="EE46" s="573"/>
      <c r="EF46" s="573"/>
      <c r="EG46" s="573"/>
      <c r="EH46" s="573"/>
      <c r="EI46" s="573"/>
      <c r="EJ46" s="573"/>
      <c r="EK46" s="573"/>
      <c r="EL46" s="573"/>
      <c r="EM46" s="573"/>
      <c r="EN46" s="573"/>
      <c r="EO46" s="573"/>
      <c r="EP46" s="573"/>
      <c r="EQ46" s="573"/>
      <c r="ER46" s="573"/>
      <c r="ES46" s="573"/>
      <c r="ET46" s="573"/>
      <c r="EU46" s="573"/>
      <c r="EV46" s="573"/>
      <c r="EW46" s="573"/>
      <c r="EX46" s="573"/>
      <c r="EY46" s="573"/>
      <c r="EZ46" s="573"/>
      <c r="FA46" s="573"/>
      <c r="FB46" s="573"/>
      <c r="FC46" s="573"/>
      <c r="FD46" s="573"/>
      <c r="FE46" s="573"/>
      <c r="FF46" s="573"/>
      <c r="FG46" s="573"/>
      <c r="FH46" s="573"/>
      <c r="FI46" s="573"/>
      <c r="FJ46" s="573"/>
      <c r="FK46" s="573"/>
      <c r="FL46" s="573"/>
      <c r="FM46" s="573"/>
      <c r="FN46" s="573"/>
      <c r="FO46" s="573"/>
      <c r="FP46" s="573"/>
      <c r="FQ46" s="573"/>
      <c r="FR46" s="573"/>
      <c r="FS46" s="573"/>
      <c r="FT46" s="573"/>
      <c r="FU46" s="573"/>
      <c r="FV46" s="573"/>
      <c r="FW46" s="573"/>
      <c r="FX46" s="573"/>
      <c r="FY46" s="573"/>
      <c r="FZ46" s="573"/>
      <c r="GA46" s="573"/>
      <c r="GB46" s="573"/>
      <c r="GC46" s="573"/>
      <c r="GD46" s="573"/>
      <c r="GE46" s="573"/>
      <c r="GF46" s="573"/>
      <c r="GG46" s="573"/>
      <c r="GH46" s="573"/>
      <c r="GI46" s="573"/>
      <c r="GJ46" s="573"/>
      <c r="GK46" s="573"/>
      <c r="GL46" s="573"/>
      <c r="GM46" s="573"/>
      <c r="GN46" s="573"/>
      <c r="GO46" s="573"/>
      <c r="GP46" s="573"/>
      <c r="GQ46" s="573"/>
      <c r="GR46" s="573"/>
      <c r="GS46" s="573"/>
      <c r="GT46" s="573"/>
      <c r="GU46" s="573"/>
      <c r="GV46" s="573"/>
      <c r="GW46" s="573"/>
      <c r="GX46" s="573"/>
      <c r="GY46" s="573"/>
      <c r="GZ46" s="573"/>
      <c r="HA46" s="573"/>
      <c r="HB46" s="573"/>
      <c r="HC46" s="573"/>
      <c r="HD46" s="573"/>
      <c r="HE46" s="573"/>
      <c r="HF46" s="573"/>
      <c r="HG46" s="573"/>
      <c r="HH46" s="573"/>
      <c r="HI46" s="573"/>
      <c r="HJ46" s="573"/>
      <c r="HK46" s="573"/>
      <c r="HL46" s="573"/>
      <c r="HM46" s="573"/>
      <c r="HN46" s="573"/>
      <c r="HO46" s="573"/>
      <c r="HP46" s="573"/>
      <c r="HQ46" s="573"/>
      <c r="HR46" s="573"/>
      <c r="HS46" s="573"/>
      <c r="HT46" s="573"/>
      <c r="HU46" s="573"/>
      <c r="HV46" s="573"/>
      <c r="HW46" s="573"/>
      <c r="HX46" s="573"/>
      <c r="HY46" s="573"/>
      <c r="HZ46" s="573"/>
      <c r="IA46" s="573"/>
      <c r="IB46" s="573"/>
      <c r="IC46" s="573"/>
      <c r="ID46" s="573"/>
      <c r="IE46" s="573"/>
      <c r="IF46" s="573"/>
      <c r="IG46" s="568"/>
      <c r="IH46" s="568"/>
      <c r="II46" s="568"/>
      <c r="IJ46" s="568"/>
      <c r="IK46" s="568"/>
      <c r="IL46" s="568"/>
      <c r="IM46" s="568"/>
      <c r="IN46" s="568"/>
      <c r="IO46" s="568"/>
      <c r="IP46" s="568"/>
      <c r="IQ46" s="568"/>
      <c r="IR46" s="568"/>
    </row>
    <row r="47" spans="1:252" s="557" customFormat="1" ht="15">
      <c r="A47" s="259">
        <v>7</v>
      </c>
      <c r="B47" s="558" t="s">
        <v>360</v>
      </c>
      <c r="C47" s="220" t="s">
        <v>361</v>
      </c>
      <c r="D47" s="118" t="s">
        <v>81</v>
      </c>
      <c r="E47" s="118"/>
      <c r="F47" s="574">
        <f>F33</f>
        <v>202.5</v>
      </c>
      <c r="G47" s="990"/>
      <c r="H47" s="991"/>
      <c r="I47" s="990"/>
      <c r="J47" s="991"/>
      <c r="K47" s="990"/>
      <c r="L47" s="991"/>
      <c r="M47" s="991">
        <f>SUM(M48:M51)</f>
        <v>0</v>
      </c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1"/>
      <c r="BL47" s="571"/>
      <c r="BM47" s="571"/>
      <c r="BN47" s="571"/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1"/>
      <c r="CB47" s="571"/>
      <c r="CC47" s="571"/>
      <c r="CD47" s="571"/>
      <c r="CE47" s="571"/>
      <c r="CF47" s="571"/>
      <c r="CG47" s="571"/>
      <c r="CH47" s="571"/>
      <c r="CI47" s="571"/>
      <c r="CJ47" s="571"/>
      <c r="CK47" s="571"/>
      <c r="CL47" s="571"/>
      <c r="CM47" s="571"/>
      <c r="CN47" s="571"/>
      <c r="CO47" s="571"/>
      <c r="CP47" s="571"/>
      <c r="CQ47" s="571"/>
      <c r="CR47" s="571"/>
      <c r="CS47" s="571"/>
      <c r="CT47" s="571"/>
      <c r="CU47" s="571"/>
      <c r="CV47" s="571"/>
      <c r="CW47" s="571"/>
      <c r="CX47" s="571"/>
      <c r="CY47" s="571"/>
      <c r="CZ47" s="571"/>
      <c r="DA47" s="571"/>
      <c r="DB47" s="571"/>
      <c r="DC47" s="571"/>
      <c r="DD47" s="571"/>
      <c r="DE47" s="571"/>
      <c r="DF47" s="571"/>
      <c r="DG47" s="571"/>
      <c r="DH47" s="571"/>
      <c r="DI47" s="571"/>
      <c r="DJ47" s="571"/>
      <c r="DK47" s="571"/>
      <c r="DL47" s="571"/>
      <c r="DM47" s="571"/>
      <c r="DN47" s="571"/>
      <c r="DO47" s="571"/>
      <c r="DP47" s="571"/>
      <c r="DQ47" s="571"/>
      <c r="DR47" s="571"/>
      <c r="DS47" s="571"/>
      <c r="DT47" s="571"/>
      <c r="DU47" s="571"/>
      <c r="DV47" s="571"/>
      <c r="DW47" s="571"/>
      <c r="DX47" s="571"/>
      <c r="DY47" s="571"/>
      <c r="DZ47" s="571"/>
      <c r="EA47" s="571"/>
      <c r="EB47" s="571"/>
      <c r="EC47" s="571"/>
      <c r="ED47" s="571"/>
      <c r="EE47" s="571"/>
      <c r="EF47" s="571"/>
      <c r="EG47" s="571"/>
      <c r="EH47" s="571"/>
      <c r="EI47" s="571"/>
      <c r="EJ47" s="571"/>
      <c r="EK47" s="571"/>
      <c r="EL47" s="571"/>
      <c r="EM47" s="571"/>
      <c r="EN47" s="571"/>
      <c r="EO47" s="571"/>
      <c r="EP47" s="571"/>
      <c r="EQ47" s="571"/>
      <c r="ER47" s="571"/>
      <c r="ES47" s="571"/>
      <c r="ET47" s="571"/>
      <c r="EU47" s="571"/>
      <c r="EV47" s="571"/>
      <c r="EW47" s="571"/>
    </row>
    <row r="48" spans="1:252" s="557" customFormat="1" ht="15">
      <c r="A48" s="606"/>
      <c r="B48" s="95"/>
      <c r="C48" s="228" t="s">
        <v>58</v>
      </c>
      <c r="D48" s="96" t="s">
        <v>5</v>
      </c>
      <c r="E48" s="94">
        <f>68/100</f>
        <v>0.68</v>
      </c>
      <c r="F48" s="111">
        <f>F47*E48</f>
        <v>137.70000000000002</v>
      </c>
      <c r="G48" s="852"/>
      <c r="H48" s="853"/>
      <c r="I48" s="1009">
        <v>0</v>
      </c>
      <c r="J48" s="853">
        <f>F48*I48</f>
        <v>0</v>
      </c>
      <c r="K48" s="1010"/>
      <c r="L48" s="1011"/>
      <c r="M48" s="1011">
        <f>J48*1</f>
        <v>0</v>
      </c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  <c r="BE48" s="571"/>
      <c r="BF48" s="571"/>
      <c r="BG48" s="571"/>
      <c r="BH48" s="571"/>
      <c r="BI48" s="571"/>
      <c r="BJ48" s="571"/>
      <c r="BK48" s="571"/>
      <c r="BL48" s="571"/>
      <c r="BM48" s="571"/>
      <c r="BN48" s="571"/>
      <c r="BO48" s="571"/>
      <c r="BP48" s="571"/>
      <c r="BQ48" s="571"/>
      <c r="BR48" s="571"/>
      <c r="BS48" s="571"/>
      <c r="BT48" s="571"/>
      <c r="BU48" s="571"/>
      <c r="BV48" s="571"/>
      <c r="BW48" s="571"/>
      <c r="BX48" s="571"/>
      <c r="BY48" s="571"/>
      <c r="BZ48" s="571"/>
      <c r="CA48" s="571"/>
      <c r="CB48" s="571"/>
      <c r="CC48" s="571"/>
      <c r="CD48" s="571"/>
      <c r="CE48" s="571"/>
      <c r="CF48" s="571"/>
      <c r="CG48" s="571"/>
      <c r="CH48" s="571"/>
      <c r="CI48" s="571"/>
      <c r="CJ48" s="571"/>
      <c r="CK48" s="571"/>
      <c r="CL48" s="571"/>
      <c r="CM48" s="571"/>
      <c r="CN48" s="571"/>
      <c r="CO48" s="571"/>
      <c r="CP48" s="571"/>
      <c r="CQ48" s="571"/>
      <c r="CR48" s="571"/>
      <c r="CS48" s="571"/>
      <c r="CT48" s="571"/>
      <c r="CU48" s="571"/>
      <c r="CV48" s="571"/>
      <c r="CW48" s="571"/>
      <c r="CX48" s="571"/>
      <c r="CY48" s="571"/>
      <c r="CZ48" s="571"/>
      <c r="DA48" s="571"/>
      <c r="DB48" s="571"/>
      <c r="DC48" s="571"/>
      <c r="DD48" s="571"/>
      <c r="DE48" s="571"/>
      <c r="DF48" s="571"/>
      <c r="DG48" s="571"/>
      <c r="DH48" s="571"/>
      <c r="DI48" s="571"/>
      <c r="DJ48" s="571"/>
      <c r="DK48" s="571"/>
      <c r="DL48" s="571"/>
      <c r="DM48" s="571"/>
      <c r="DN48" s="571"/>
      <c r="DO48" s="571"/>
      <c r="DP48" s="571"/>
      <c r="DQ48" s="571"/>
      <c r="DR48" s="571"/>
      <c r="DS48" s="571"/>
      <c r="DT48" s="571"/>
      <c r="DU48" s="571"/>
      <c r="DV48" s="571"/>
      <c r="DW48" s="571"/>
      <c r="DX48" s="571"/>
      <c r="DY48" s="571"/>
      <c r="DZ48" s="571"/>
      <c r="EA48" s="571"/>
      <c r="EB48" s="571"/>
      <c r="EC48" s="571"/>
      <c r="ED48" s="571"/>
      <c r="EE48" s="571"/>
      <c r="EF48" s="571"/>
      <c r="EG48" s="571"/>
      <c r="EH48" s="571"/>
      <c r="EI48" s="571"/>
      <c r="EJ48" s="571"/>
      <c r="EK48" s="571"/>
      <c r="EL48" s="571"/>
      <c r="EM48" s="571"/>
      <c r="EN48" s="571"/>
      <c r="EO48" s="571"/>
      <c r="EP48" s="571"/>
      <c r="EQ48" s="571"/>
      <c r="ER48" s="571"/>
      <c r="ES48" s="571"/>
      <c r="ET48" s="571"/>
      <c r="EU48" s="571"/>
      <c r="EV48" s="571"/>
      <c r="EW48" s="571"/>
    </row>
    <row r="49" spans="1:252" s="557" customFormat="1" ht="15">
      <c r="A49" s="606"/>
      <c r="B49" s="98"/>
      <c r="C49" s="228" t="s">
        <v>64</v>
      </c>
      <c r="D49" s="94" t="s">
        <v>7</v>
      </c>
      <c r="E49" s="96">
        <f>0.03/100</f>
        <v>2.9999999999999997E-4</v>
      </c>
      <c r="F49" s="575">
        <f>F47*E49</f>
        <v>6.0749999999999992E-2</v>
      </c>
      <c r="G49" s="992"/>
      <c r="H49" s="993"/>
      <c r="I49" s="992"/>
      <c r="J49" s="993"/>
      <c r="K49" s="992">
        <v>0</v>
      </c>
      <c r="L49" s="1012">
        <f>F49*K49</f>
        <v>0</v>
      </c>
      <c r="M49" s="1012">
        <f>L49*1</f>
        <v>0</v>
      </c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1"/>
      <c r="BE49" s="571"/>
      <c r="BF49" s="571"/>
      <c r="BG49" s="571"/>
      <c r="BH49" s="571"/>
      <c r="BI49" s="571"/>
      <c r="BJ49" s="571"/>
      <c r="BK49" s="571"/>
      <c r="BL49" s="571"/>
      <c r="BM49" s="571"/>
      <c r="BN49" s="571"/>
      <c r="BO49" s="571"/>
      <c r="BP49" s="571"/>
      <c r="BQ49" s="571"/>
      <c r="BR49" s="571"/>
      <c r="BS49" s="571"/>
      <c r="BT49" s="571"/>
      <c r="BU49" s="571"/>
      <c r="BV49" s="571"/>
      <c r="BW49" s="571"/>
      <c r="BX49" s="571"/>
      <c r="BY49" s="571"/>
      <c r="BZ49" s="571"/>
      <c r="CA49" s="571"/>
      <c r="CB49" s="571"/>
      <c r="CC49" s="571"/>
      <c r="CD49" s="571"/>
      <c r="CE49" s="571"/>
      <c r="CF49" s="571"/>
      <c r="CG49" s="571"/>
      <c r="CH49" s="571"/>
      <c r="CI49" s="571"/>
      <c r="CJ49" s="571"/>
      <c r="CK49" s="571"/>
      <c r="CL49" s="571"/>
      <c r="CM49" s="571"/>
      <c r="CN49" s="571"/>
      <c r="CO49" s="571"/>
      <c r="CP49" s="571"/>
      <c r="CQ49" s="571"/>
      <c r="CR49" s="571"/>
      <c r="CS49" s="571"/>
      <c r="CT49" s="571"/>
      <c r="CU49" s="571"/>
      <c r="CV49" s="571"/>
      <c r="CW49" s="571"/>
      <c r="CX49" s="571"/>
      <c r="CY49" s="571"/>
      <c r="CZ49" s="571"/>
      <c r="DA49" s="571"/>
      <c r="DB49" s="571"/>
      <c r="DC49" s="571"/>
      <c r="DD49" s="571"/>
      <c r="DE49" s="571"/>
      <c r="DF49" s="571"/>
      <c r="DG49" s="571"/>
      <c r="DH49" s="571"/>
      <c r="DI49" s="571"/>
      <c r="DJ49" s="571"/>
      <c r="DK49" s="571"/>
      <c r="DL49" s="571"/>
      <c r="DM49" s="571"/>
      <c r="DN49" s="571"/>
      <c r="DO49" s="571"/>
      <c r="DP49" s="571"/>
      <c r="DQ49" s="571"/>
      <c r="DR49" s="571"/>
      <c r="DS49" s="571"/>
      <c r="DT49" s="571"/>
      <c r="DU49" s="571"/>
      <c r="DV49" s="571"/>
      <c r="DW49" s="571"/>
      <c r="DX49" s="571"/>
      <c r="DY49" s="571"/>
      <c r="DZ49" s="571"/>
      <c r="EA49" s="571"/>
      <c r="EB49" s="571"/>
      <c r="EC49" s="571"/>
      <c r="ED49" s="571"/>
      <c r="EE49" s="571"/>
      <c r="EF49" s="571"/>
      <c r="EG49" s="571"/>
      <c r="EH49" s="571"/>
      <c r="EI49" s="571"/>
      <c r="EJ49" s="571"/>
      <c r="EK49" s="571"/>
      <c r="EL49" s="571"/>
      <c r="EM49" s="571"/>
      <c r="EN49" s="571"/>
      <c r="EO49" s="571"/>
      <c r="EP49" s="571"/>
      <c r="EQ49" s="571"/>
      <c r="ER49" s="571"/>
      <c r="ES49" s="571"/>
      <c r="ET49" s="571"/>
      <c r="EU49" s="571"/>
      <c r="EV49" s="571"/>
      <c r="EW49" s="571"/>
    </row>
    <row r="50" spans="1:252" s="557" customFormat="1" ht="15">
      <c r="A50" s="606"/>
      <c r="B50" s="576" t="s">
        <v>734</v>
      </c>
      <c r="C50" s="266" t="s">
        <v>362</v>
      </c>
      <c r="D50" s="106" t="s">
        <v>70</v>
      </c>
      <c r="E50" s="106">
        <f>27.3/100</f>
        <v>0.27300000000000002</v>
      </c>
      <c r="F50" s="267">
        <f>E50*F47</f>
        <v>55.282500000000006</v>
      </c>
      <c r="G50" s="1013">
        <v>0</v>
      </c>
      <c r="H50" s="1011">
        <f>F50*G50</f>
        <v>0</v>
      </c>
      <c r="I50" s="992"/>
      <c r="J50" s="1010"/>
      <c r="K50" s="1010"/>
      <c r="L50" s="1011"/>
      <c r="M50" s="1011">
        <f>H50*1</f>
        <v>0</v>
      </c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571"/>
      <c r="AX50" s="571"/>
      <c r="AY50" s="571"/>
      <c r="AZ50" s="571"/>
      <c r="BA50" s="571"/>
      <c r="BB50" s="571"/>
      <c r="BC50" s="571"/>
      <c r="BD50" s="571"/>
      <c r="BE50" s="571"/>
      <c r="BF50" s="571"/>
      <c r="BG50" s="571"/>
      <c r="BH50" s="571"/>
      <c r="BI50" s="571"/>
      <c r="BJ50" s="571"/>
      <c r="BK50" s="571"/>
      <c r="BL50" s="571"/>
      <c r="BM50" s="571"/>
      <c r="BN50" s="571"/>
      <c r="BO50" s="571"/>
      <c r="BP50" s="571"/>
      <c r="BQ50" s="571"/>
      <c r="BR50" s="571"/>
      <c r="BS50" s="571"/>
      <c r="BT50" s="571"/>
      <c r="BU50" s="571"/>
      <c r="BV50" s="571"/>
      <c r="BW50" s="571"/>
      <c r="BX50" s="571"/>
      <c r="BY50" s="571"/>
      <c r="BZ50" s="571"/>
      <c r="CA50" s="571"/>
      <c r="CB50" s="571"/>
      <c r="CC50" s="571"/>
      <c r="CD50" s="571"/>
      <c r="CE50" s="571"/>
      <c r="CF50" s="571"/>
      <c r="CG50" s="571"/>
      <c r="CH50" s="571"/>
      <c r="CI50" s="571"/>
      <c r="CJ50" s="571"/>
      <c r="CK50" s="571"/>
      <c r="CL50" s="571"/>
      <c r="CM50" s="571"/>
      <c r="CN50" s="571"/>
      <c r="CO50" s="571"/>
      <c r="CP50" s="571"/>
      <c r="CQ50" s="571"/>
      <c r="CR50" s="571"/>
      <c r="CS50" s="571"/>
      <c r="CT50" s="571"/>
      <c r="CU50" s="571"/>
      <c r="CV50" s="571"/>
      <c r="CW50" s="571"/>
      <c r="CX50" s="571"/>
      <c r="CY50" s="571"/>
      <c r="CZ50" s="571"/>
      <c r="DA50" s="571"/>
      <c r="DB50" s="571"/>
      <c r="DC50" s="571"/>
      <c r="DD50" s="571"/>
      <c r="DE50" s="571"/>
      <c r="DF50" s="571"/>
      <c r="DG50" s="571"/>
      <c r="DH50" s="571"/>
      <c r="DI50" s="571"/>
      <c r="DJ50" s="571"/>
      <c r="DK50" s="571"/>
      <c r="DL50" s="571"/>
      <c r="DM50" s="571"/>
      <c r="DN50" s="571"/>
      <c r="DO50" s="571"/>
      <c r="DP50" s="571"/>
      <c r="DQ50" s="571"/>
      <c r="DR50" s="571"/>
      <c r="DS50" s="571"/>
      <c r="DT50" s="571"/>
      <c r="DU50" s="571"/>
      <c r="DV50" s="571"/>
      <c r="DW50" s="571"/>
      <c r="DX50" s="571"/>
      <c r="DY50" s="571"/>
      <c r="DZ50" s="571"/>
      <c r="EA50" s="571"/>
      <c r="EB50" s="571"/>
      <c r="EC50" s="571"/>
      <c r="ED50" s="571"/>
      <c r="EE50" s="571"/>
      <c r="EF50" s="571"/>
      <c r="EG50" s="571"/>
      <c r="EH50" s="571"/>
      <c r="EI50" s="571"/>
      <c r="EJ50" s="571"/>
      <c r="EK50" s="571"/>
      <c r="EL50" s="571"/>
      <c r="EM50" s="571"/>
      <c r="EN50" s="571"/>
      <c r="EO50" s="571"/>
      <c r="EP50" s="571"/>
      <c r="EQ50" s="571"/>
      <c r="ER50" s="571"/>
      <c r="ES50" s="571"/>
      <c r="ET50" s="571"/>
      <c r="EU50" s="571"/>
      <c r="EV50" s="571"/>
      <c r="EW50" s="571"/>
    </row>
    <row r="51" spans="1:252" s="557" customFormat="1" ht="15">
      <c r="A51" s="606"/>
      <c r="B51" s="268"/>
      <c r="C51" s="266" t="s">
        <v>68</v>
      </c>
      <c r="D51" s="106" t="s">
        <v>7</v>
      </c>
      <c r="E51" s="106">
        <f>0.19/100</f>
        <v>1.9E-3</v>
      </c>
      <c r="F51" s="267">
        <f>E51*F47</f>
        <v>0.38474999999999998</v>
      </c>
      <c r="G51" s="1010">
        <v>0</v>
      </c>
      <c r="H51" s="1011">
        <f>F51*G51</f>
        <v>0</v>
      </c>
      <c r="I51" s="992"/>
      <c r="J51" s="1010"/>
      <c r="K51" s="1010"/>
      <c r="L51" s="1011"/>
      <c r="M51" s="1011">
        <f>H51*1</f>
        <v>0</v>
      </c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1"/>
      <c r="BQ51" s="571"/>
      <c r="BR51" s="571"/>
      <c r="BS51" s="571"/>
      <c r="BT51" s="571"/>
      <c r="BU51" s="571"/>
      <c r="BV51" s="571"/>
      <c r="BW51" s="571"/>
      <c r="BX51" s="571"/>
      <c r="BY51" s="571"/>
      <c r="BZ51" s="571"/>
      <c r="CA51" s="571"/>
      <c r="CB51" s="571"/>
      <c r="CC51" s="571"/>
      <c r="CD51" s="571"/>
      <c r="CE51" s="571"/>
      <c r="CF51" s="571"/>
      <c r="CG51" s="571"/>
      <c r="CH51" s="571"/>
      <c r="CI51" s="571"/>
      <c r="CJ51" s="571"/>
      <c r="CK51" s="571"/>
      <c r="CL51" s="571"/>
      <c r="CM51" s="571"/>
      <c r="CN51" s="571"/>
      <c r="CO51" s="571"/>
      <c r="CP51" s="571"/>
      <c r="CQ51" s="571"/>
      <c r="CR51" s="571"/>
      <c r="CS51" s="571"/>
      <c r="CT51" s="571"/>
      <c r="CU51" s="571"/>
      <c r="CV51" s="571"/>
      <c r="CW51" s="571"/>
      <c r="CX51" s="571"/>
      <c r="CY51" s="571"/>
      <c r="CZ51" s="571"/>
      <c r="DA51" s="571"/>
      <c r="DB51" s="571"/>
      <c r="DC51" s="571"/>
      <c r="DD51" s="571"/>
      <c r="DE51" s="571"/>
      <c r="DF51" s="571"/>
      <c r="DG51" s="571"/>
      <c r="DH51" s="571"/>
      <c r="DI51" s="571"/>
      <c r="DJ51" s="571"/>
      <c r="DK51" s="571"/>
      <c r="DL51" s="571"/>
      <c r="DM51" s="571"/>
      <c r="DN51" s="571"/>
      <c r="DO51" s="571"/>
      <c r="DP51" s="571"/>
      <c r="DQ51" s="571"/>
      <c r="DR51" s="571"/>
      <c r="DS51" s="571"/>
      <c r="DT51" s="571"/>
      <c r="DU51" s="571"/>
      <c r="DV51" s="571"/>
      <c r="DW51" s="571"/>
      <c r="DX51" s="571"/>
      <c r="DY51" s="571"/>
      <c r="DZ51" s="571"/>
      <c r="EA51" s="571"/>
      <c r="EB51" s="571"/>
      <c r="EC51" s="571"/>
      <c r="ED51" s="571"/>
      <c r="EE51" s="571"/>
      <c r="EF51" s="571"/>
      <c r="EG51" s="571"/>
      <c r="EH51" s="571"/>
      <c r="EI51" s="571"/>
      <c r="EJ51" s="571"/>
      <c r="EK51" s="571"/>
      <c r="EL51" s="571"/>
      <c r="EM51" s="571"/>
      <c r="EN51" s="571"/>
      <c r="EO51" s="571"/>
      <c r="EP51" s="571"/>
      <c r="EQ51" s="571"/>
      <c r="ER51" s="571"/>
      <c r="ES51" s="571"/>
      <c r="ET51" s="571"/>
      <c r="EU51" s="571"/>
      <c r="EV51" s="571"/>
      <c r="EW51" s="571"/>
    </row>
    <row r="52" spans="1:252">
      <c r="A52" s="577"/>
      <c r="B52" s="578"/>
      <c r="C52" s="579" t="s">
        <v>2</v>
      </c>
      <c r="D52" s="1024"/>
      <c r="E52" s="1014"/>
      <c r="F52" s="1014"/>
      <c r="G52" s="1014"/>
      <c r="H52" s="1014">
        <f>SUM(H10:H51)</f>
        <v>0</v>
      </c>
      <c r="I52" s="1014"/>
      <c r="J52" s="1014">
        <f>SUM(J10:J51)</f>
        <v>0</v>
      </c>
      <c r="K52" s="1014"/>
      <c r="L52" s="1014">
        <f>SUM(L10:L51)</f>
        <v>0</v>
      </c>
      <c r="M52" s="1014">
        <f>SUM(M10:M51)/2</f>
        <v>0</v>
      </c>
    </row>
    <row r="53" spans="1:252" s="583" customFormat="1">
      <c r="A53" s="581"/>
      <c r="B53" s="579"/>
      <c r="C53" s="582" t="s">
        <v>658</v>
      </c>
      <c r="D53" s="1025">
        <v>0</v>
      </c>
      <c r="E53" s="1016"/>
      <c r="F53" s="1015"/>
      <c r="G53" s="1015"/>
      <c r="H53" s="1015"/>
      <c r="I53" s="1015"/>
      <c r="J53" s="1015"/>
      <c r="K53" s="1015"/>
      <c r="L53" s="1015"/>
      <c r="M53" s="1016">
        <f>H52*0.05</f>
        <v>0</v>
      </c>
    </row>
    <row r="54" spans="1:252" s="586" customFormat="1">
      <c r="A54" s="584"/>
      <c r="B54" s="584"/>
      <c r="C54" s="585" t="s">
        <v>2</v>
      </c>
      <c r="D54" s="1026"/>
      <c r="E54" s="1018"/>
      <c r="F54" s="1017"/>
      <c r="G54" s="1017"/>
      <c r="H54" s="1017"/>
      <c r="I54" s="1017"/>
      <c r="J54" s="1017"/>
      <c r="K54" s="1017"/>
      <c r="L54" s="1017"/>
      <c r="M54" s="1018">
        <f>M53+M52</f>
        <v>0</v>
      </c>
    </row>
    <row r="55" spans="1:252" s="589" customFormat="1">
      <c r="A55" s="581"/>
      <c r="B55" s="587"/>
      <c r="C55" s="588" t="s">
        <v>3</v>
      </c>
      <c r="D55" s="1025">
        <v>0</v>
      </c>
      <c r="E55" s="1016"/>
      <c r="F55" s="1015"/>
      <c r="G55" s="1015"/>
      <c r="H55" s="1015"/>
      <c r="I55" s="1015"/>
      <c r="J55" s="1015"/>
      <c r="K55" s="1015"/>
      <c r="L55" s="1015"/>
      <c r="M55" s="1016">
        <f>M54*10%</f>
        <v>0</v>
      </c>
    </row>
    <row r="56" spans="1:252" s="589" customFormat="1">
      <c r="A56" s="584"/>
      <c r="B56" s="590"/>
      <c r="C56" s="585" t="s">
        <v>2</v>
      </c>
      <c r="D56" s="1026"/>
      <c r="E56" s="1018"/>
      <c r="F56" s="1017"/>
      <c r="G56" s="1017"/>
      <c r="H56" s="1017"/>
      <c r="I56" s="1017"/>
      <c r="J56" s="1017"/>
      <c r="K56" s="1017"/>
      <c r="L56" s="1017"/>
      <c r="M56" s="1018">
        <f>SUM(M54:M55)</f>
        <v>0</v>
      </c>
    </row>
    <row r="57" spans="1:252" s="589" customFormat="1">
      <c r="A57" s="581"/>
      <c r="B57" s="587"/>
      <c r="C57" s="588" t="s">
        <v>659</v>
      </c>
      <c r="D57" s="1025">
        <v>0</v>
      </c>
      <c r="E57" s="1016"/>
      <c r="F57" s="1015"/>
      <c r="G57" s="1015"/>
      <c r="H57" s="1015"/>
      <c r="I57" s="1015"/>
      <c r="J57" s="1015"/>
      <c r="K57" s="1015"/>
      <c r="L57" s="1015"/>
      <c r="M57" s="1016">
        <f>M56*8%</f>
        <v>0</v>
      </c>
    </row>
    <row r="58" spans="1:252" s="589" customFormat="1">
      <c r="A58" s="584"/>
      <c r="B58" s="590"/>
      <c r="C58" s="585" t="s">
        <v>2</v>
      </c>
      <c r="D58" s="1026"/>
      <c r="E58" s="1018"/>
      <c r="F58" s="1017"/>
      <c r="G58" s="1017"/>
      <c r="H58" s="1017"/>
      <c r="I58" s="1017"/>
      <c r="J58" s="1017"/>
      <c r="K58" s="1017"/>
      <c r="L58" s="1017"/>
      <c r="M58" s="1018">
        <f>SUM(M56:M57)</f>
        <v>0</v>
      </c>
    </row>
    <row r="59" spans="1:252">
      <c r="B59" s="592"/>
      <c r="D59" s="1019"/>
      <c r="E59" s="1019"/>
      <c r="F59" s="1019"/>
      <c r="G59" s="1019"/>
      <c r="H59" s="1020"/>
      <c r="I59" s="1019"/>
      <c r="J59" s="1020"/>
      <c r="K59" s="1019"/>
      <c r="L59" s="1020"/>
      <c r="M59" s="1020"/>
    </row>
    <row r="60" spans="1:252">
      <c r="B60" s="592"/>
      <c r="D60" s="1019"/>
      <c r="E60" s="1019"/>
      <c r="F60" s="1019"/>
      <c r="G60" s="1019"/>
      <c r="H60" s="1020"/>
      <c r="I60" s="1019"/>
      <c r="J60" s="1020"/>
      <c r="K60" s="1019"/>
      <c r="L60" s="1020"/>
      <c r="M60" s="1020"/>
    </row>
    <row r="61" spans="1:252" ht="15">
      <c r="A61" s="595"/>
      <c r="B61" s="595"/>
      <c r="C61" s="596"/>
      <c r="D61" s="1027"/>
      <c r="E61" s="1028"/>
      <c r="F61" s="1027"/>
      <c r="G61" s="1021"/>
      <c r="H61" s="1021"/>
      <c r="I61" s="1021"/>
      <c r="J61" s="1022"/>
      <c r="K61" s="1022"/>
      <c r="L61" s="1022"/>
      <c r="M61" s="1022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5"/>
      <c r="AA61" s="595"/>
      <c r="AB61" s="595"/>
      <c r="AC61" s="595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595"/>
      <c r="BC61" s="595"/>
      <c r="BD61" s="595"/>
      <c r="BE61" s="595"/>
      <c r="BF61" s="595"/>
      <c r="BG61" s="595"/>
      <c r="BH61" s="595"/>
      <c r="BI61" s="595"/>
      <c r="BJ61" s="595"/>
      <c r="BK61" s="595"/>
      <c r="BL61" s="595"/>
      <c r="BM61" s="595"/>
      <c r="BN61" s="595"/>
      <c r="BO61" s="595"/>
      <c r="BP61" s="595"/>
      <c r="BQ61" s="595"/>
      <c r="BR61" s="595"/>
      <c r="BS61" s="595"/>
      <c r="BT61" s="595"/>
      <c r="BU61" s="595"/>
      <c r="BV61" s="595"/>
      <c r="BW61" s="595"/>
      <c r="BX61" s="595"/>
      <c r="BY61" s="595"/>
      <c r="BZ61" s="595"/>
      <c r="CA61" s="595"/>
      <c r="CB61" s="595"/>
      <c r="CC61" s="595"/>
      <c r="CD61" s="595"/>
      <c r="CE61" s="595"/>
      <c r="CF61" s="595"/>
      <c r="CG61" s="595"/>
      <c r="CH61" s="595"/>
      <c r="CI61" s="595"/>
      <c r="CJ61" s="595"/>
      <c r="CK61" s="595"/>
      <c r="CL61" s="595"/>
      <c r="CM61" s="595"/>
      <c r="CN61" s="595"/>
      <c r="CO61" s="595"/>
      <c r="CP61" s="595"/>
      <c r="CQ61" s="595"/>
      <c r="CR61" s="595"/>
      <c r="CS61" s="595"/>
      <c r="CT61" s="595"/>
      <c r="CU61" s="595"/>
      <c r="CV61" s="595"/>
      <c r="CW61" s="595"/>
      <c r="CX61" s="595"/>
      <c r="CY61" s="595"/>
      <c r="CZ61" s="595"/>
      <c r="DA61" s="595"/>
      <c r="DB61" s="595"/>
      <c r="DC61" s="595"/>
      <c r="DD61" s="595"/>
      <c r="DE61" s="595"/>
      <c r="DF61" s="595"/>
      <c r="DG61" s="595"/>
      <c r="DH61" s="595"/>
      <c r="DI61" s="595"/>
      <c r="DJ61" s="595"/>
      <c r="DK61" s="595"/>
      <c r="DL61" s="595"/>
      <c r="DM61" s="595"/>
      <c r="DN61" s="595"/>
      <c r="DO61" s="595"/>
      <c r="DP61" s="595"/>
      <c r="DQ61" s="595"/>
      <c r="DR61" s="595"/>
      <c r="DS61" s="595"/>
      <c r="DT61" s="595"/>
      <c r="DU61" s="595"/>
      <c r="DV61" s="595"/>
      <c r="DW61" s="595"/>
      <c r="DX61" s="595"/>
      <c r="DY61" s="595"/>
      <c r="DZ61" s="595"/>
      <c r="EA61" s="595"/>
      <c r="EB61" s="595"/>
      <c r="EC61" s="595"/>
      <c r="ED61" s="595"/>
      <c r="EE61" s="595"/>
      <c r="EF61" s="595"/>
      <c r="EG61" s="595"/>
      <c r="EH61" s="595"/>
      <c r="EI61" s="595"/>
      <c r="EJ61" s="595"/>
      <c r="EK61" s="595"/>
      <c r="EL61" s="595"/>
      <c r="EM61" s="595"/>
      <c r="EN61" s="595"/>
      <c r="EO61" s="595"/>
      <c r="EP61" s="595"/>
      <c r="EQ61" s="595"/>
      <c r="ER61" s="595"/>
      <c r="ES61" s="595"/>
      <c r="ET61" s="595"/>
      <c r="EU61" s="595"/>
      <c r="EV61" s="595"/>
      <c r="EW61" s="595"/>
      <c r="EX61" s="595"/>
      <c r="EY61" s="595"/>
      <c r="EZ61" s="595"/>
      <c r="FA61" s="595"/>
      <c r="FB61" s="595"/>
      <c r="FC61" s="595"/>
      <c r="FD61" s="595"/>
      <c r="FE61" s="595"/>
      <c r="FF61" s="595"/>
      <c r="FG61" s="595"/>
      <c r="FH61" s="595"/>
      <c r="FI61" s="595"/>
      <c r="FJ61" s="595"/>
      <c r="FK61" s="595"/>
      <c r="FL61" s="595"/>
      <c r="FM61" s="595"/>
      <c r="FN61" s="595"/>
      <c r="FO61" s="595"/>
      <c r="FP61" s="595"/>
      <c r="FQ61" s="595"/>
      <c r="FR61" s="595"/>
      <c r="FS61" s="595"/>
      <c r="FT61" s="595"/>
      <c r="FU61" s="595"/>
      <c r="FV61" s="595"/>
      <c r="FW61" s="595"/>
      <c r="FX61" s="595"/>
      <c r="FY61" s="595"/>
      <c r="FZ61" s="595"/>
      <c r="GA61" s="595"/>
      <c r="GB61" s="595"/>
      <c r="GC61" s="595"/>
      <c r="GD61" s="595"/>
      <c r="GE61" s="595"/>
      <c r="GF61" s="595"/>
      <c r="GG61" s="595"/>
      <c r="GH61" s="595"/>
      <c r="GI61" s="595"/>
      <c r="GJ61" s="595"/>
      <c r="GK61" s="595"/>
      <c r="GL61" s="595"/>
      <c r="GM61" s="595"/>
      <c r="GN61" s="595"/>
      <c r="GO61" s="595"/>
      <c r="GP61" s="595"/>
      <c r="GQ61" s="595"/>
      <c r="GR61" s="595"/>
      <c r="GS61" s="595"/>
      <c r="GT61" s="595"/>
      <c r="GU61" s="595"/>
      <c r="GV61" s="595"/>
      <c r="GW61" s="595"/>
      <c r="GX61" s="595"/>
      <c r="GY61" s="595"/>
      <c r="GZ61" s="595"/>
      <c r="HA61" s="595"/>
      <c r="HB61" s="595"/>
      <c r="HC61" s="595"/>
      <c r="HD61" s="595"/>
      <c r="HE61" s="595"/>
      <c r="HF61" s="595"/>
      <c r="HG61" s="595"/>
      <c r="HH61" s="595"/>
      <c r="HI61" s="595"/>
      <c r="HJ61" s="595"/>
      <c r="HK61" s="595"/>
      <c r="HL61" s="595"/>
      <c r="HM61" s="595"/>
      <c r="HN61" s="595"/>
      <c r="HO61" s="595"/>
      <c r="HP61" s="595"/>
      <c r="HQ61" s="595"/>
      <c r="HR61" s="595"/>
      <c r="HS61" s="595"/>
      <c r="HT61" s="595"/>
      <c r="HU61" s="595"/>
      <c r="HV61" s="595"/>
      <c r="HW61" s="595"/>
      <c r="HX61" s="595"/>
      <c r="HY61" s="595"/>
      <c r="HZ61" s="595"/>
      <c r="IA61" s="595"/>
      <c r="IB61" s="595"/>
      <c r="IC61" s="595"/>
      <c r="ID61" s="595"/>
      <c r="IE61" s="595"/>
      <c r="IF61" s="595"/>
      <c r="IG61" s="595"/>
      <c r="IH61" s="595"/>
      <c r="II61" s="595"/>
      <c r="IJ61" s="595"/>
      <c r="IK61" s="595"/>
      <c r="IL61" s="595"/>
      <c r="IM61" s="595"/>
      <c r="IN61" s="595"/>
      <c r="IO61" s="595"/>
      <c r="IP61" s="595"/>
      <c r="IQ61" s="595"/>
      <c r="IR61" s="595"/>
    </row>
    <row r="62" spans="1:252" ht="15">
      <c r="A62" s="595"/>
      <c r="B62" s="595"/>
      <c r="C62" s="596"/>
      <c r="D62" s="1027"/>
      <c r="E62" s="1028"/>
      <c r="F62" s="1023"/>
      <c r="G62" s="1023"/>
      <c r="H62" s="1023"/>
      <c r="I62" s="1023"/>
      <c r="J62" s="1022"/>
      <c r="K62" s="1022"/>
      <c r="L62" s="1022"/>
      <c r="M62" s="1022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95"/>
      <c r="AS62" s="595"/>
      <c r="AT62" s="595"/>
      <c r="AU62" s="595"/>
      <c r="AV62" s="595"/>
      <c r="AW62" s="595"/>
      <c r="AX62" s="595"/>
      <c r="AY62" s="595"/>
      <c r="AZ62" s="595"/>
      <c r="BA62" s="595"/>
      <c r="BB62" s="595"/>
      <c r="BC62" s="595"/>
      <c r="BD62" s="595"/>
      <c r="BE62" s="595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5"/>
      <c r="BS62" s="595"/>
      <c r="BT62" s="595"/>
      <c r="BU62" s="595"/>
      <c r="BV62" s="595"/>
      <c r="BW62" s="595"/>
      <c r="BX62" s="595"/>
      <c r="BY62" s="595"/>
      <c r="BZ62" s="595"/>
      <c r="CA62" s="595"/>
      <c r="CB62" s="595"/>
      <c r="CC62" s="595"/>
      <c r="CD62" s="595"/>
      <c r="CE62" s="595"/>
      <c r="CF62" s="595"/>
      <c r="CG62" s="595"/>
      <c r="CH62" s="595"/>
      <c r="CI62" s="595"/>
      <c r="CJ62" s="595"/>
      <c r="CK62" s="595"/>
      <c r="CL62" s="595"/>
      <c r="CM62" s="595"/>
      <c r="CN62" s="595"/>
      <c r="CO62" s="595"/>
      <c r="CP62" s="595"/>
      <c r="CQ62" s="595"/>
      <c r="CR62" s="595"/>
      <c r="CS62" s="595"/>
      <c r="CT62" s="595"/>
      <c r="CU62" s="595"/>
      <c r="CV62" s="595"/>
      <c r="CW62" s="595"/>
      <c r="CX62" s="595"/>
      <c r="CY62" s="595"/>
      <c r="CZ62" s="595"/>
      <c r="DA62" s="595"/>
      <c r="DB62" s="595"/>
      <c r="DC62" s="595"/>
      <c r="DD62" s="595"/>
      <c r="DE62" s="595"/>
      <c r="DF62" s="595"/>
      <c r="DG62" s="595"/>
      <c r="DH62" s="595"/>
      <c r="DI62" s="595"/>
      <c r="DJ62" s="595"/>
      <c r="DK62" s="595"/>
      <c r="DL62" s="595"/>
      <c r="DM62" s="595"/>
      <c r="DN62" s="595"/>
      <c r="DO62" s="595"/>
      <c r="DP62" s="595"/>
      <c r="DQ62" s="595"/>
      <c r="DR62" s="595"/>
      <c r="DS62" s="595"/>
      <c r="DT62" s="595"/>
      <c r="DU62" s="595"/>
      <c r="DV62" s="595"/>
      <c r="DW62" s="595"/>
      <c r="DX62" s="595"/>
      <c r="DY62" s="595"/>
      <c r="DZ62" s="595"/>
      <c r="EA62" s="595"/>
      <c r="EB62" s="595"/>
      <c r="EC62" s="595"/>
      <c r="ED62" s="595"/>
      <c r="EE62" s="595"/>
      <c r="EF62" s="595"/>
      <c r="EG62" s="595"/>
      <c r="EH62" s="595"/>
      <c r="EI62" s="595"/>
      <c r="EJ62" s="595"/>
      <c r="EK62" s="595"/>
      <c r="EL62" s="595"/>
      <c r="EM62" s="595"/>
      <c r="EN62" s="595"/>
      <c r="EO62" s="595"/>
      <c r="EP62" s="595"/>
      <c r="EQ62" s="595"/>
      <c r="ER62" s="595"/>
      <c r="ES62" s="595"/>
      <c r="ET62" s="595"/>
      <c r="EU62" s="595"/>
      <c r="EV62" s="595"/>
      <c r="EW62" s="595"/>
      <c r="EX62" s="595"/>
      <c r="EY62" s="595"/>
      <c r="EZ62" s="595"/>
      <c r="FA62" s="595"/>
      <c r="FB62" s="595"/>
      <c r="FC62" s="595"/>
      <c r="FD62" s="595"/>
      <c r="FE62" s="595"/>
      <c r="FF62" s="595"/>
      <c r="FG62" s="595"/>
      <c r="FH62" s="595"/>
      <c r="FI62" s="595"/>
      <c r="FJ62" s="595"/>
      <c r="FK62" s="595"/>
      <c r="FL62" s="595"/>
      <c r="FM62" s="595"/>
      <c r="FN62" s="595"/>
      <c r="FO62" s="595"/>
      <c r="FP62" s="595"/>
      <c r="FQ62" s="595"/>
      <c r="FR62" s="595"/>
      <c r="FS62" s="595"/>
      <c r="FT62" s="595"/>
      <c r="FU62" s="595"/>
      <c r="FV62" s="595"/>
      <c r="FW62" s="595"/>
      <c r="FX62" s="595"/>
      <c r="FY62" s="595"/>
      <c r="FZ62" s="595"/>
      <c r="GA62" s="595"/>
      <c r="GB62" s="595"/>
      <c r="GC62" s="595"/>
      <c r="GD62" s="595"/>
      <c r="GE62" s="595"/>
      <c r="GF62" s="595"/>
      <c r="GG62" s="595"/>
      <c r="GH62" s="595"/>
      <c r="GI62" s="595"/>
      <c r="GJ62" s="595"/>
      <c r="GK62" s="595"/>
      <c r="GL62" s="595"/>
      <c r="GM62" s="595"/>
      <c r="GN62" s="595"/>
      <c r="GO62" s="595"/>
      <c r="GP62" s="595"/>
      <c r="GQ62" s="595"/>
      <c r="GR62" s="595"/>
      <c r="GS62" s="595"/>
      <c r="GT62" s="595"/>
      <c r="GU62" s="595"/>
      <c r="GV62" s="595"/>
      <c r="GW62" s="595"/>
      <c r="GX62" s="595"/>
      <c r="GY62" s="595"/>
      <c r="GZ62" s="595"/>
      <c r="HA62" s="595"/>
      <c r="HB62" s="595"/>
      <c r="HC62" s="595"/>
      <c r="HD62" s="595"/>
      <c r="HE62" s="595"/>
      <c r="HF62" s="595"/>
      <c r="HG62" s="595"/>
      <c r="HH62" s="595"/>
      <c r="HI62" s="595"/>
      <c r="HJ62" s="595"/>
      <c r="HK62" s="595"/>
      <c r="HL62" s="595"/>
      <c r="HM62" s="595"/>
      <c r="HN62" s="595"/>
      <c r="HO62" s="595"/>
      <c r="HP62" s="595"/>
      <c r="HQ62" s="595"/>
      <c r="HR62" s="595"/>
      <c r="HS62" s="595"/>
      <c r="HT62" s="595"/>
      <c r="HU62" s="595"/>
      <c r="HV62" s="595"/>
      <c r="HW62" s="595"/>
      <c r="HX62" s="595"/>
      <c r="HY62" s="595"/>
      <c r="HZ62" s="595"/>
      <c r="IA62" s="595"/>
      <c r="IB62" s="595"/>
      <c r="IC62" s="595"/>
      <c r="ID62" s="595"/>
      <c r="IE62" s="595"/>
      <c r="IF62" s="595"/>
      <c r="IG62" s="595"/>
      <c r="IH62" s="595"/>
      <c r="II62" s="595"/>
      <c r="IJ62" s="595"/>
      <c r="IK62" s="595"/>
      <c r="IL62" s="595"/>
      <c r="IM62" s="595"/>
      <c r="IN62" s="595"/>
      <c r="IO62" s="595"/>
      <c r="IP62" s="595"/>
      <c r="IQ62" s="595"/>
      <c r="IR62" s="595"/>
    </row>
  </sheetData>
  <sheetProtection algorithmName="SHA-512" hashValue="OltnqVjwS1VUx1I2jZj8+i5C++IBMHDOvtqlJzfTv/at77bH1+/fgR3YY8B+C1WoqBswtG9PTeNcHkpXissCcw==" saltValue="PgKHsC7gV8RVi0gFALgIrg==" spinCount="100000" sheet="1" objects="1" scenarios="1"/>
  <mergeCells count="14">
    <mergeCell ref="F7:F8"/>
    <mergeCell ref="G7:H7"/>
    <mergeCell ref="I7:J7"/>
    <mergeCell ref="K7:L7"/>
    <mergeCell ref="A1:M1"/>
    <mergeCell ref="A2:F2"/>
    <mergeCell ref="A3:M3"/>
    <mergeCell ref="A4:M4"/>
    <mergeCell ref="B5:G5"/>
    <mergeCell ref="A7:A8"/>
    <mergeCell ref="B7:B8"/>
    <mergeCell ref="C7:C8"/>
    <mergeCell ref="D7:D8"/>
    <mergeCell ref="E7:E8"/>
  </mergeCells>
  <conditionalFormatting sqref="A11:M11 M14 H14 M19 H19 A13:M13 B15:M16 A15:A51 B20:M21 B18:M18 C17:F17 H17:M17 B25:M27 C22:F23 D24:F24 H22:M24 B51:M51 C50:F50 H50:M50 C30:F30 H30:M30 B29:M29 C28:J28 L28:M28 B31:M49">
    <cfRule type="cellIs" dxfId="12" priority="15" stopIfTrue="1" operator="equal">
      <formula>8223.307275</formula>
    </cfRule>
  </conditionalFormatting>
  <conditionalFormatting sqref="K28">
    <cfRule type="cellIs" dxfId="11" priority="13" stopIfTrue="1" operator="equal">
      <formula>8223.307275</formula>
    </cfRule>
  </conditionalFormatting>
  <conditionalFormatting sqref="B28">
    <cfRule type="cellIs" dxfId="10" priority="14" stopIfTrue="1" operator="equal">
      <formula>8223.307275</formula>
    </cfRule>
  </conditionalFormatting>
  <conditionalFormatting sqref="G17">
    <cfRule type="cellIs" dxfId="9" priority="12" stopIfTrue="1" operator="equal">
      <formula>8223.307275</formula>
    </cfRule>
  </conditionalFormatting>
  <conditionalFormatting sqref="B30">
    <cfRule type="cellIs" dxfId="8" priority="9" stopIfTrue="1" operator="equal">
      <formula>8223.307275</formula>
    </cfRule>
  </conditionalFormatting>
  <conditionalFormatting sqref="G30">
    <cfRule type="cellIs" dxfId="7" priority="8" stopIfTrue="1" operator="equal">
      <formula>8223.307275</formula>
    </cfRule>
  </conditionalFormatting>
  <conditionalFormatting sqref="G22">
    <cfRule type="cellIs" dxfId="6" priority="7" stopIfTrue="1" operator="equal">
      <formula>8223.307275</formula>
    </cfRule>
  </conditionalFormatting>
  <conditionalFormatting sqref="B23">
    <cfRule type="cellIs" dxfId="5" priority="6" stopIfTrue="1" operator="equal">
      <formula>8223.307275</formula>
    </cfRule>
  </conditionalFormatting>
  <conditionalFormatting sqref="G23">
    <cfRule type="cellIs" dxfId="4" priority="5" stopIfTrue="1" operator="equal">
      <formula>8223.307275</formula>
    </cfRule>
  </conditionalFormatting>
  <conditionalFormatting sqref="B24">
    <cfRule type="cellIs" dxfId="3" priority="4" stopIfTrue="1" operator="equal">
      <formula>8223.307275</formula>
    </cfRule>
  </conditionalFormatting>
  <conditionalFormatting sqref="B24">
    <cfRule type="cellIs" dxfId="2" priority="3" stopIfTrue="1" operator="equal">
      <formula>8223.307275</formula>
    </cfRule>
  </conditionalFormatting>
  <conditionalFormatting sqref="G24">
    <cfRule type="cellIs" dxfId="1" priority="2" stopIfTrue="1" operator="equal">
      <formula>8223.307275</formula>
    </cfRule>
  </conditionalFormatting>
  <conditionalFormatting sqref="G24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scale="74" orientation="landscape" r:id="rId1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4" zoomScale="90" zoomScaleNormal="85" zoomScaleSheetLayoutView="90" workbookViewId="0">
      <selection activeCell="C23" sqref="C23"/>
    </sheetView>
  </sheetViews>
  <sheetFormatPr defaultRowHeight="16.2"/>
  <cols>
    <col min="1" max="1" width="6.88671875" style="59" customWidth="1"/>
    <col min="2" max="2" width="11.33203125" style="59" customWidth="1"/>
    <col min="3" max="3" width="62.33203125" style="59" customWidth="1"/>
    <col min="4" max="4" width="6" style="59" customWidth="1"/>
    <col min="5" max="5" width="14.33203125" style="72" customWidth="1"/>
    <col min="6" max="6" width="12.44140625" style="72" customWidth="1"/>
    <col min="7" max="7" width="12.5546875" style="73" customWidth="1"/>
    <col min="8" max="8" width="13.44140625" style="69" customWidth="1"/>
    <col min="9" max="9" width="15.33203125" style="59" customWidth="1"/>
    <col min="10" max="10" width="11" style="59" customWidth="1"/>
    <col min="11" max="255" width="9.109375" style="59"/>
    <col min="256" max="256" width="3.44140625" style="59" customWidth="1"/>
    <col min="257" max="257" width="7.6640625" style="59" customWidth="1"/>
    <col min="258" max="258" width="52.33203125" style="59" customWidth="1"/>
    <col min="259" max="259" width="14.33203125" style="59" customWidth="1"/>
    <col min="260" max="260" width="12.44140625" style="59" customWidth="1"/>
    <col min="261" max="261" width="16.44140625" style="59" customWidth="1"/>
    <col min="262" max="262" width="13.44140625" style="59" customWidth="1"/>
    <col min="263" max="263" width="14.88671875" style="59" customWidth="1"/>
    <col min="264" max="264" width="11.109375" style="59" customWidth="1"/>
    <col min="265" max="265" width="13.44140625" style="59" bestFit="1" customWidth="1"/>
    <col min="266" max="266" width="10.33203125" style="59" bestFit="1" customWidth="1"/>
    <col min="267" max="511" width="9.109375" style="59"/>
    <col min="512" max="512" width="3.44140625" style="59" customWidth="1"/>
    <col min="513" max="513" width="7.6640625" style="59" customWidth="1"/>
    <col min="514" max="514" width="52.33203125" style="59" customWidth="1"/>
    <col min="515" max="515" width="14.33203125" style="59" customWidth="1"/>
    <col min="516" max="516" width="12.44140625" style="59" customWidth="1"/>
    <col min="517" max="517" width="16.44140625" style="59" customWidth="1"/>
    <col min="518" max="518" width="13.44140625" style="59" customWidth="1"/>
    <col min="519" max="519" width="14.88671875" style="59" customWidth="1"/>
    <col min="520" max="520" width="11.109375" style="59" customWidth="1"/>
    <col min="521" max="521" width="13.44140625" style="59" bestFit="1" customWidth="1"/>
    <col min="522" max="522" width="10.33203125" style="59" bestFit="1" customWidth="1"/>
    <col min="523" max="767" width="9.109375" style="59"/>
    <col min="768" max="768" width="3.44140625" style="59" customWidth="1"/>
    <col min="769" max="769" width="7.6640625" style="59" customWidth="1"/>
    <col min="770" max="770" width="52.33203125" style="59" customWidth="1"/>
    <col min="771" max="771" width="14.33203125" style="59" customWidth="1"/>
    <col min="772" max="772" width="12.44140625" style="59" customWidth="1"/>
    <col min="773" max="773" width="16.44140625" style="59" customWidth="1"/>
    <col min="774" max="774" width="13.44140625" style="59" customWidth="1"/>
    <col min="775" max="775" width="14.88671875" style="59" customWidth="1"/>
    <col min="776" max="776" width="11.109375" style="59" customWidth="1"/>
    <col min="777" max="777" width="13.44140625" style="59" bestFit="1" customWidth="1"/>
    <col min="778" max="778" width="10.33203125" style="59" bestFit="1" customWidth="1"/>
    <col min="779" max="1023" width="9.109375" style="59"/>
    <col min="1024" max="1024" width="3.44140625" style="59" customWidth="1"/>
    <col min="1025" max="1025" width="7.6640625" style="59" customWidth="1"/>
    <col min="1026" max="1026" width="52.33203125" style="59" customWidth="1"/>
    <col min="1027" max="1027" width="14.33203125" style="59" customWidth="1"/>
    <col min="1028" max="1028" width="12.44140625" style="59" customWidth="1"/>
    <col min="1029" max="1029" width="16.44140625" style="59" customWidth="1"/>
    <col min="1030" max="1030" width="13.44140625" style="59" customWidth="1"/>
    <col min="1031" max="1031" width="14.88671875" style="59" customWidth="1"/>
    <col min="1032" max="1032" width="11.109375" style="59" customWidth="1"/>
    <col min="1033" max="1033" width="13.44140625" style="59" bestFit="1" customWidth="1"/>
    <col min="1034" max="1034" width="10.33203125" style="59" bestFit="1" customWidth="1"/>
    <col min="1035" max="1279" width="9.109375" style="59"/>
    <col min="1280" max="1280" width="3.44140625" style="59" customWidth="1"/>
    <col min="1281" max="1281" width="7.6640625" style="59" customWidth="1"/>
    <col min="1282" max="1282" width="52.33203125" style="59" customWidth="1"/>
    <col min="1283" max="1283" width="14.33203125" style="59" customWidth="1"/>
    <col min="1284" max="1284" width="12.44140625" style="59" customWidth="1"/>
    <col min="1285" max="1285" width="16.44140625" style="59" customWidth="1"/>
    <col min="1286" max="1286" width="13.44140625" style="59" customWidth="1"/>
    <col min="1287" max="1287" width="14.88671875" style="59" customWidth="1"/>
    <col min="1288" max="1288" width="11.109375" style="59" customWidth="1"/>
    <col min="1289" max="1289" width="13.44140625" style="59" bestFit="1" customWidth="1"/>
    <col min="1290" max="1290" width="10.33203125" style="59" bestFit="1" customWidth="1"/>
    <col min="1291" max="1535" width="9.109375" style="59"/>
    <col min="1536" max="1536" width="3.44140625" style="59" customWidth="1"/>
    <col min="1537" max="1537" width="7.6640625" style="59" customWidth="1"/>
    <col min="1538" max="1538" width="52.33203125" style="59" customWidth="1"/>
    <col min="1539" max="1539" width="14.33203125" style="59" customWidth="1"/>
    <col min="1540" max="1540" width="12.44140625" style="59" customWidth="1"/>
    <col min="1541" max="1541" width="16.44140625" style="59" customWidth="1"/>
    <col min="1542" max="1542" width="13.44140625" style="59" customWidth="1"/>
    <col min="1543" max="1543" width="14.88671875" style="59" customWidth="1"/>
    <col min="1544" max="1544" width="11.109375" style="59" customWidth="1"/>
    <col min="1545" max="1545" width="13.44140625" style="59" bestFit="1" customWidth="1"/>
    <col min="1546" max="1546" width="10.33203125" style="59" bestFit="1" customWidth="1"/>
    <col min="1547" max="1791" width="9.109375" style="59"/>
    <col min="1792" max="1792" width="3.44140625" style="59" customWidth="1"/>
    <col min="1793" max="1793" width="7.6640625" style="59" customWidth="1"/>
    <col min="1794" max="1794" width="52.33203125" style="59" customWidth="1"/>
    <col min="1795" max="1795" width="14.33203125" style="59" customWidth="1"/>
    <col min="1796" max="1796" width="12.44140625" style="59" customWidth="1"/>
    <col min="1797" max="1797" width="16.44140625" style="59" customWidth="1"/>
    <col min="1798" max="1798" width="13.44140625" style="59" customWidth="1"/>
    <col min="1799" max="1799" width="14.88671875" style="59" customWidth="1"/>
    <col min="1800" max="1800" width="11.109375" style="59" customWidth="1"/>
    <col min="1801" max="1801" width="13.44140625" style="59" bestFit="1" customWidth="1"/>
    <col min="1802" max="1802" width="10.33203125" style="59" bestFit="1" customWidth="1"/>
    <col min="1803" max="2047" width="9.109375" style="59"/>
    <col min="2048" max="2048" width="3.44140625" style="59" customWidth="1"/>
    <col min="2049" max="2049" width="7.6640625" style="59" customWidth="1"/>
    <col min="2050" max="2050" width="52.33203125" style="59" customWidth="1"/>
    <col min="2051" max="2051" width="14.33203125" style="59" customWidth="1"/>
    <col min="2052" max="2052" width="12.44140625" style="59" customWidth="1"/>
    <col min="2053" max="2053" width="16.44140625" style="59" customWidth="1"/>
    <col min="2054" max="2054" width="13.44140625" style="59" customWidth="1"/>
    <col min="2055" max="2055" width="14.88671875" style="59" customWidth="1"/>
    <col min="2056" max="2056" width="11.109375" style="59" customWidth="1"/>
    <col min="2057" max="2057" width="13.44140625" style="59" bestFit="1" customWidth="1"/>
    <col min="2058" max="2058" width="10.33203125" style="59" bestFit="1" customWidth="1"/>
    <col min="2059" max="2303" width="9.109375" style="59"/>
    <col min="2304" max="2304" width="3.44140625" style="59" customWidth="1"/>
    <col min="2305" max="2305" width="7.6640625" style="59" customWidth="1"/>
    <col min="2306" max="2306" width="52.33203125" style="59" customWidth="1"/>
    <col min="2307" max="2307" width="14.33203125" style="59" customWidth="1"/>
    <col min="2308" max="2308" width="12.44140625" style="59" customWidth="1"/>
    <col min="2309" max="2309" width="16.44140625" style="59" customWidth="1"/>
    <col min="2310" max="2310" width="13.44140625" style="59" customWidth="1"/>
    <col min="2311" max="2311" width="14.88671875" style="59" customWidth="1"/>
    <col min="2312" max="2312" width="11.109375" style="59" customWidth="1"/>
    <col min="2313" max="2313" width="13.44140625" style="59" bestFit="1" customWidth="1"/>
    <col min="2314" max="2314" width="10.33203125" style="59" bestFit="1" customWidth="1"/>
    <col min="2315" max="2559" width="9.109375" style="59"/>
    <col min="2560" max="2560" width="3.44140625" style="59" customWidth="1"/>
    <col min="2561" max="2561" width="7.6640625" style="59" customWidth="1"/>
    <col min="2562" max="2562" width="52.33203125" style="59" customWidth="1"/>
    <col min="2563" max="2563" width="14.33203125" style="59" customWidth="1"/>
    <col min="2564" max="2564" width="12.44140625" style="59" customWidth="1"/>
    <col min="2565" max="2565" width="16.44140625" style="59" customWidth="1"/>
    <col min="2566" max="2566" width="13.44140625" style="59" customWidth="1"/>
    <col min="2567" max="2567" width="14.88671875" style="59" customWidth="1"/>
    <col min="2568" max="2568" width="11.109375" style="59" customWidth="1"/>
    <col min="2569" max="2569" width="13.44140625" style="59" bestFit="1" customWidth="1"/>
    <col min="2570" max="2570" width="10.33203125" style="59" bestFit="1" customWidth="1"/>
    <col min="2571" max="2815" width="9.109375" style="59"/>
    <col min="2816" max="2816" width="3.44140625" style="59" customWidth="1"/>
    <col min="2817" max="2817" width="7.6640625" style="59" customWidth="1"/>
    <col min="2818" max="2818" width="52.33203125" style="59" customWidth="1"/>
    <col min="2819" max="2819" width="14.33203125" style="59" customWidth="1"/>
    <col min="2820" max="2820" width="12.44140625" style="59" customWidth="1"/>
    <col min="2821" max="2821" width="16.44140625" style="59" customWidth="1"/>
    <col min="2822" max="2822" width="13.44140625" style="59" customWidth="1"/>
    <col min="2823" max="2823" width="14.88671875" style="59" customWidth="1"/>
    <col min="2824" max="2824" width="11.109375" style="59" customWidth="1"/>
    <col min="2825" max="2825" width="13.44140625" style="59" bestFit="1" customWidth="1"/>
    <col min="2826" max="2826" width="10.33203125" style="59" bestFit="1" customWidth="1"/>
    <col min="2827" max="3071" width="9.109375" style="59"/>
    <col min="3072" max="3072" width="3.44140625" style="59" customWidth="1"/>
    <col min="3073" max="3073" width="7.6640625" style="59" customWidth="1"/>
    <col min="3074" max="3074" width="52.33203125" style="59" customWidth="1"/>
    <col min="3075" max="3075" width="14.33203125" style="59" customWidth="1"/>
    <col min="3076" max="3076" width="12.44140625" style="59" customWidth="1"/>
    <col min="3077" max="3077" width="16.44140625" style="59" customWidth="1"/>
    <col min="3078" max="3078" width="13.44140625" style="59" customWidth="1"/>
    <col min="3079" max="3079" width="14.88671875" style="59" customWidth="1"/>
    <col min="3080" max="3080" width="11.109375" style="59" customWidth="1"/>
    <col min="3081" max="3081" width="13.44140625" style="59" bestFit="1" customWidth="1"/>
    <col min="3082" max="3082" width="10.33203125" style="59" bestFit="1" customWidth="1"/>
    <col min="3083" max="3327" width="9.109375" style="59"/>
    <col min="3328" max="3328" width="3.44140625" style="59" customWidth="1"/>
    <col min="3329" max="3329" width="7.6640625" style="59" customWidth="1"/>
    <col min="3330" max="3330" width="52.33203125" style="59" customWidth="1"/>
    <col min="3331" max="3331" width="14.33203125" style="59" customWidth="1"/>
    <col min="3332" max="3332" width="12.44140625" style="59" customWidth="1"/>
    <col min="3333" max="3333" width="16.44140625" style="59" customWidth="1"/>
    <col min="3334" max="3334" width="13.44140625" style="59" customWidth="1"/>
    <col min="3335" max="3335" width="14.88671875" style="59" customWidth="1"/>
    <col min="3336" max="3336" width="11.109375" style="59" customWidth="1"/>
    <col min="3337" max="3337" width="13.44140625" style="59" bestFit="1" customWidth="1"/>
    <col min="3338" max="3338" width="10.33203125" style="59" bestFit="1" customWidth="1"/>
    <col min="3339" max="3583" width="9.109375" style="59"/>
    <col min="3584" max="3584" width="3.44140625" style="59" customWidth="1"/>
    <col min="3585" max="3585" width="7.6640625" style="59" customWidth="1"/>
    <col min="3586" max="3586" width="52.33203125" style="59" customWidth="1"/>
    <col min="3587" max="3587" width="14.33203125" style="59" customWidth="1"/>
    <col min="3588" max="3588" width="12.44140625" style="59" customWidth="1"/>
    <col min="3589" max="3589" width="16.44140625" style="59" customWidth="1"/>
    <col min="3590" max="3590" width="13.44140625" style="59" customWidth="1"/>
    <col min="3591" max="3591" width="14.88671875" style="59" customWidth="1"/>
    <col min="3592" max="3592" width="11.109375" style="59" customWidth="1"/>
    <col min="3593" max="3593" width="13.44140625" style="59" bestFit="1" customWidth="1"/>
    <col min="3594" max="3594" width="10.33203125" style="59" bestFit="1" customWidth="1"/>
    <col min="3595" max="3839" width="9.109375" style="59"/>
    <col min="3840" max="3840" width="3.44140625" style="59" customWidth="1"/>
    <col min="3841" max="3841" width="7.6640625" style="59" customWidth="1"/>
    <col min="3842" max="3842" width="52.33203125" style="59" customWidth="1"/>
    <col min="3843" max="3843" width="14.33203125" style="59" customWidth="1"/>
    <col min="3844" max="3844" width="12.44140625" style="59" customWidth="1"/>
    <col min="3845" max="3845" width="16.44140625" style="59" customWidth="1"/>
    <col min="3846" max="3846" width="13.44140625" style="59" customWidth="1"/>
    <col min="3847" max="3847" width="14.88671875" style="59" customWidth="1"/>
    <col min="3848" max="3848" width="11.109375" style="59" customWidth="1"/>
    <col min="3849" max="3849" width="13.44140625" style="59" bestFit="1" customWidth="1"/>
    <col min="3850" max="3850" width="10.33203125" style="59" bestFit="1" customWidth="1"/>
    <col min="3851" max="4095" width="9.109375" style="59"/>
    <col min="4096" max="4096" width="3.44140625" style="59" customWidth="1"/>
    <col min="4097" max="4097" width="7.6640625" style="59" customWidth="1"/>
    <col min="4098" max="4098" width="52.33203125" style="59" customWidth="1"/>
    <col min="4099" max="4099" width="14.33203125" style="59" customWidth="1"/>
    <col min="4100" max="4100" width="12.44140625" style="59" customWidth="1"/>
    <col min="4101" max="4101" width="16.44140625" style="59" customWidth="1"/>
    <col min="4102" max="4102" width="13.44140625" style="59" customWidth="1"/>
    <col min="4103" max="4103" width="14.88671875" style="59" customWidth="1"/>
    <col min="4104" max="4104" width="11.109375" style="59" customWidth="1"/>
    <col min="4105" max="4105" width="13.44140625" style="59" bestFit="1" customWidth="1"/>
    <col min="4106" max="4106" width="10.33203125" style="59" bestFit="1" customWidth="1"/>
    <col min="4107" max="4351" width="9.109375" style="59"/>
    <col min="4352" max="4352" width="3.44140625" style="59" customWidth="1"/>
    <col min="4353" max="4353" width="7.6640625" style="59" customWidth="1"/>
    <col min="4354" max="4354" width="52.33203125" style="59" customWidth="1"/>
    <col min="4355" max="4355" width="14.33203125" style="59" customWidth="1"/>
    <col min="4356" max="4356" width="12.44140625" style="59" customWidth="1"/>
    <col min="4357" max="4357" width="16.44140625" style="59" customWidth="1"/>
    <col min="4358" max="4358" width="13.44140625" style="59" customWidth="1"/>
    <col min="4359" max="4359" width="14.88671875" style="59" customWidth="1"/>
    <col min="4360" max="4360" width="11.109375" style="59" customWidth="1"/>
    <col min="4361" max="4361" width="13.44140625" style="59" bestFit="1" customWidth="1"/>
    <col min="4362" max="4362" width="10.33203125" style="59" bestFit="1" customWidth="1"/>
    <col min="4363" max="4607" width="9.109375" style="59"/>
    <col min="4608" max="4608" width="3.44140625" style="59" customWidth="1"/>
    <col min="4609" max="4609" width="7.6640625" style="59" customWidth="1"/>
    <col min="4610" max="4610" width="52.33203125" style="59" customWidth="1"/>
    <col min="4611" max="4611" width="14.33203125" style="59" customWidth="1"/>
    <col min="4612" max="4612" width="12.44140625" style="59" customWidth="1"/>
    <col min="4613" max="4613" width="16.44140625" style="59" customWidth="1"/>
    <col min="4614" max="4614" width="13.44140625" style="59" customWidth="1"/>
    <col min="4615" max="4615" width="14.88671875" style="59" customWidth="1"/>
    <col min="4616" max="4616" width="11.109375" style="59" customWidth="1"/>
    <col min="4617" max="4617" width="13.44140625" style="59" bestFit="1" customWidth="1"/>
    <col min="4618" max="4618" width="10.33203125" style="59" bestFit="1" customWidth="1"/>
    <col min="4619" max="4863" width="9.109375" style="59"/>
    <col min="4864" max="4864" width="3.44140625" style="59" customWidth="1"/>
    <col min="4865" max="4865" width="7.6640625" style="59" customWidth="1"/>
    <col min="4866" max="4866" width="52.33203125" style="59" customWidth="1"/>
    <col min="4867" max="4867" width="14.33203125" style="59" customWidth="1"/>
    <col min="4868" max="4868" width="12.44140625" style="59" customWidth="1"/>
    <col min="4869" max="4869" width="16.44140625" style="59" customWidth="1"/>
    <col min="4870" max="4870" width="13.44140625" style="59" customWidth="1"/>
    <col min="4871" max="4871" width="14.88671875" style="59" customWidth="1"/>
    <col min="4872" max="4872" width="11.109375" style="59" customWidth="1"/>
    <col min="4873" max="4873" width="13.44140625" style="59" bestFit="1" customWidth="1"/>
    <col min="4874" max="4874" width="10.33203125" style="59" bestFit="1" customWidth="1"/>
    <col min="4875" max="5119" width="9.109375" style="59"/>
    <col min="5120" max="5120" width="3.44140625" style="59" customWidth="1"/>
    <col min="5121" max="5121" width="7.6640625" style="59" customWidth="1"/>
    <col min="5122" max="5122" width="52.33203125" style="59" customWidth="1"/>
    <col min="5123" max="5123" width="14.33203125" style="59" customWidth="1"/>
    <col min="5124" max="5124" width="12.44140625" style="59" customWidth="1"/>
    <col min="5125" max="5125" width="16.44140625" style="59" customWidth="1"/>
    <col min="5126" max="5126" width="13.44140625" style="59" customWidth="1"/>
    <col min="5127" max="5127" width="14.88671875" style="59" customWidth="1"/>
    <col min="5128" max="5128" width="11.109375" style="59" customWidth="1"/>
    <col min="5129" max="5129" width="13.44140625" style="59" bestFit="1" customWidth="1"/>
    <col min="5130" max="5130" width="10.33203125" style="59" bestFit="1" customWidth="1"/>
    <col min="5131" max="5375" width="9.109375" style="59"/>
    <col min="5376" max="5376" width="3.44140625" style="59" customWidth="1"/>
    <col min="5377" max="5377" width="7.6640625" style="59" customWidth="1"/>
    <col min="5378" max="5378" width="52.33203125" style="59" customWidth="1"/>
    <col min="5379" max="5379" width="14.33203125" style="59" customWidth="1"/>
    <col min="5380" max="5380" width="12.44140625" style="59" customWidth="1"/>
    <col min="5381" max="5381" width="16.44140625" style="59" customWidth="1"/>
    <col min="5382" max="5382" width="13.44140625" style="59" customWidth="1"/>
    <col min="5383" max="5383" width="14.88671875" style="59" customWidth="1"/>
    <col min="5384" max="5384" width="11.109375" style="59" customWidth="1"/>
    <col min="5385" max="5385" width="13.44140625" style="59" bestFit="1" customWidth="1"/>
    <col min="5386" max="5386" width="10.33203125" style="59" bestFit="1" customWidth="1"/>
    <col min="5387" max="5631" width="9.109375" style="59"/>
    <col min="5632" max="5632" width="3.44140625" style="59" customWidth="1"/>
    <col min="5633" max="5633" width="7.6640625" style="59" customWidth="1"/>
    <col min="5634" max="5634" width="52.33203125" style="59" customWidth="1"/>
    <col min="5635" max="5635" width="14.33203125" style="59" customWidth="1"/>
    <col min="5636" max="5636" width="12.44140625" style="59" customWidth="1"/>
    <col min="5637" max="5637" width="16.44140625" style="59" customWidth="1"/>
    <col min="5638" max="5638" width="13.44140625" style="59" customWidth="1"/>
    <col min="5639" max="5639" width="14.88671875" style="59" customWidth="1"/>
    <col min="5640" max="5640" width="11.109375" style="59" customWidth="1"/>
    <col min="5641" max="5641" width="13.44140625" style="59" bestFit="1" customWidth="1"/>
    <col min="5642" max="5642" width="10.33203125" style="59" bestFit="1" customWidth="1"/>
    <col min="5643" max="5887" width="9.109375" style="59"/>
    <col min="5888" max="5888" width="3.44140625" style="59" customWidth="1"/>
    <col min="5889" max="5889" width="7.6640625" style="59" customWidth="1"/>
    <col min="5890" max="5890" width="52.33203125" style="59" customWidth="1"/>
    <col min="5891" max="5891" width="14.33203125" style="59" customWidth="1"/>
    <col min="5892" max="5892" width="12.44140625" style="59" customWidth="1"/>
    <col min="5893" max="5893" width="16.44140625" style="59" customWidth="1"/>
    <col min="5894" max="5894" width="13.44140625" style="59" customWidth="1"/>
    <col min="5895" max="5895" width="14.88671875" style="59" customWidth="1"/>
    <col min="5896" max="5896" width="11.109375" style="59" customWidth="1"/>
    <col min="5897" max="5897" width="13.44140625" style="59" bestFit="1" customWidth="1"/>
    <col min="5898" max="5898" width="10.33203125" style="59" bestFit="1" customWidth="1"/>
    <col min="5899" max="6143" width="9.109375" style="59"/>
    <col min="6144" max="6144" width="3.44140625" style="59" customWidth="1"/>
    <col min="6145" max="6145" width="7.6640625" style="59" customWidth="1"/>
    <col min="6146" max="6146" width="52.33203125" style="59" customWidth="1"/>
    <col min="6147" max="6147" width="14.33203125" style="59" customWidth="1"/>
    <col min="6148" max="6148" width="12.44140625" style="59" customWidth="1"/>
    <col min="6149" max="6149" width="16.44140625" style="59" customWidth="1"/>
    <col min="6150" max="6150" width="13.44140625" style="59" customWidth="1"/>
    <col min="6151" max="6151" width="14.88671875" style="59" customWidth="1"/>
    <col min="6152" max="6152" width="11.109375" style="59" customWidth="1"/>
    <col min="6153" max="6153" width="13.44140625" style="59" bestFit="1" customWidth="1"/>
    <col min="6154" max="6154" width="10.33203125" style="59" bestFit="1" customWidth="1"/>
    <col min="6155" max="6399" width="9.109375" style="59"/>
    <col min="6400" max="6400" width="3.44140625" style="59" customWidth="1"/>
    <col min="6401" max="6401" width="7.6640625" style="59" customWidth="1"/>
    <col min="6402" max="6402" width="52.33203125" style="59" customWidth="1"/>
    <col min="6403" max="6403" width="14.33203125" style="59" customWidth="1"/>
    <col min="6404" max="6404" width="12.44140625" style="59" customWidth="1"/>
    <col min="6405" max="6405" width="16.44140625" style="59" customWidth="1"/>
    <col min="6406" max="6406" width="13.44140625" style="59" customWidth="1"/>
    <col min="6407" max="6407" width="14.88671875" style="59" customWidth="1"/>
    <col min="6408" max="6408" width="11.109375" style="59" customWidth="1"/>
    <col min="6409" max="6409" width="13.44140625" style="59" bestFit="1" customWidth="1"/>
    <col min="6410" max="6410" width="10.33203125" style="59" bestFit="1" customWidth="1"/>
    <col min="6411" max="6655" width="9.109375" style="59"/>
    <col min="6656" max="6656" width="3.44140625" style="59" customWidth="1"/>
    <col min="6657" max="6657" width="7.6640625" style="59" customWidth="1"/>
    <col min="6658" max="6658" width="52.33203125" style="59" customWidth="1"/>
    <col min="6659" max="6659" width="14.33203125" style="59" customWidth="1"/>
    <col min="6660" max="6660" width="12.44140625" style="59" customWidth="1"/>
    <col min="6661" max="6661" width="16.44140625" style="59" customWidth="1"/>
    <col min="6662" max="6662" width="13.44140625" style="59" customWidth="1"/>
    <col min="6663" max="6663" width="14.88671875" style="59" customWidth="1"/>
    <col min="6664" max="6664" width="11.109375" style="59" customWidth="1"/>
    <col min="6665" max="6665" width="13.44140625" style="59" bestFit="1" customWidth="1"/>
    <col min="6666" max="6666" width="10.33203125" style="59" bestFit="1" customWidth="1"/>
    <col min="6667" max="6911" width="9.109375" style="59"/>
    <col min="6912" max="6912" width="3.44140625" style="59" customWidth="1"/>
    <col min="6913" max="6913" width="7.6640625" style="59" customWidth="1"/>
    <col min="6914" max="6914" width="52.33203125" style="59" customWidth="1"/>
    <col min="6915" max="6915" width="14.33203125" style="59" customWidth="1"/>
    <col min="6916" max="6916" width="12.44140625" style="59" customWidth="1"/>
    <col min="6917" max="6917" width="16.44140625" style="59" customWidth="1"/>
    <col min="6918" max="6918" width="13.44140625" style="59" customWidth="1"/>
    <col min="6919" max="6919" width="14.88671875" style="59" customWidth="1"/>
    <col min="6920" max="6920" width="11.109375" style="59" customWidth="1"/>
    <col min="6921" max="6921" width="13.44140625" style="59" bestFit="1" customWidth="1"/>
    <col min="6922" max="6922" width="10.33203125" style="59" bestFit="1" customWidth="1"/>
    <col min="6923" max="7167" width="9.109375" style="59"/>
    <col min="7168" max="7168" width="3.44140625" style="59" customWidth="1"/>
    <col min="7169" max="7169" width="7.6640625" style="59" customWidth="1"/>
    <col min="7170" max="7170" width="52.33203125" style="59" customWidth="1"/>
    <col min="7171" max="7171" width="14.33203125" style="59" customWidth="1"/>
    <col min="7172" max="7172" width="12.44140625" style="59" customWidth="1"/>
    <col min="7173" max="7173" width="16.44140625" style="59" customWidth="1"/>
    <col min="7174" max="7174" width="13.44140625" style="59" customWidth="1"/>
    <col min="7175" max="7175" width="14.88671875" style="59" customWidth="1"/>
    <col min="7176" max="7176" width="11.109375" style="59" customWidth="1"/>
    <col min="7177" max="7177" width="13.44140625" style="59" bestFit="1" customWidth="1"/>
    <col min="7178" max="7178" width="10.33203125" style="59" bestFit="1" customWidth="1"/>
    <col min="7179" max="7423" width="9.109375" style="59"/>
    <col min="7424" max="7424" width="3.44140625" style="59" customWidth="1"/>
    <col min="7425" max="7425" width="7.6640625" style="59" customWidth="1"/>
    <col min="7426" max="7426" width="52.33203125" style="59" customWidth="1"/>
    <col min="7427" max="7427" width="14.33203125" style="59" customWidth="1"/>
    <col min="7428" max="7428" width="12.44140625" style="59" customWidth="1"/>
    <col min="7429" max="7429" width="16.44140625" style="59" customWidth="1"/>
    <col min="7430" max="7430" width="13.44140625" style="59" customWidth="1"/>
    <col min="7431" max="7431" width="14.88671875" style="59" customWidth="1"/>
    <col min="7432" max="7432" width="11.109375" style="59" customWidth="1"/>
    <col min="7433" max="7433" width="13.44140625" style="59" bestFit="1" customWidth="1"/>
    <col min="7434" max="7434" width="10.33203125" style="59" bestFit="1" customWidth="1"/>
    <col min="7435" max="7679" width="9.109375" style="59"/>
    <col min="7680" max="7680" width="3.44140625" style="59" customWidth="1"/>
    <col min="7681" max="7681" width="7.6640625" style="59" customWidth="1"/>
    <col min="7682" max="7682" width="52.33203125" style="59" customWidth="1"/>
    <col min="7683" max="7683" width="14.33203125" style="59" customWidth="1"/>
    <col min="7684" max="7684" width="12.44140625" style="59" customWidth="1"/>
    <col min="7685" max="7685" width="16.44140625" style="59" customWidth="1"/>
    <col min="7686" max="7686" width="13.44140625" style="59" customWidth="1"/>
    <col min="7687" max="7687" width="14.88671875" style="59" customWidth="1"/>
    <col min="7688" max="7688" width="11.109375" style="59" customWidth="1"/>
    <col min="7689" max="7689" width="13.44140625" style="59" bestFit="1" customWidth="1"/>
    <col min="7690" max="7690" width="10.33203125" style="59" bestFit="1" customWidth="1"/>
    <col min="7691" max="7935" width="9.109375" style="59"/>
    <col min="7936" max="7936" width="3.44140625" style="59" customWidth="1"/>
    <col min="7937" max="7937" width="7.6640625" style="59" customWidth="1"/>
    <col min="7938" max="7938" width="52.33203125" style="59" customWidth="1"/>
    <col min="7939" max="7939" width="14.33203125" style="59" customWidth="1"/>
    <col min="7940" max="7940" width="12.44140625" style="59" customWidth="1"/>
    <col min="7941" max="7941" width="16.44140625" style="59" customWidth="1"/>
    <col min="7942" max="7942" width="13.44140625" style="59" customWidth="1"/>
    <col min="7943" max="7943" width="14.88671875" style="59" customWidth="1"/>
    <col min="7944" max="7944" width="11.109375" style="59" customWidth="1"/>
    <col min="7945" max="7945" width="13.44140625" style="59" bestFit="1" customWidth="1"/>
    <col min="7946" max="7946" width="10.33203125" style="59" bestFit="1" customWidth="1"/>
    <col min="7947" max="8191" width="9.109375" style="59"/>
    <col min="8192" max="8192" width="3.44140625" style="59" customWidth="1"/>
    <col min="8193" max="8193" width="7.6640625" style="59" customWidth="1"/>
    <col min="8194" max="8194" width="52.33203125" style="59" customWidth="1"/>
    <col min="8195" max="8195" width="14.33203125" style="59" customWidth="1"/>
    <col min="8196" max="8196" width="12.44140625" style="59" customWidth="1"/>
    <col min="8197" max="8197" width="16.44140625" style="59" customWidth="1"/>
    <col min="8198" max="8198" width="13.44140625" style="59" customWidth="1"/>
    <col min="8199" max="8199" width="14.88671875" style="59" customWidth="1"/>
    <col min="8200" max="8200" width="11.109375" style="59" customWidth="1"/>
    <col min="8201" max="8201" width="13.44140625" style="59" bestFit="1" customWidth="1"/>
    <col min="8202" max="8202" width="10.33203125" style="59" bestFit="1" customWidth="1"/>
    <col min="8203" max="8447" width="9.109375" style="59"/>
    <col min="8448" max="8448" width="3.44140625" style="59" customWidth="1"/>
    <col min="8449" max="8449" width="7.6640625" style="59" customWidth="1"/>
    <col min="8450" max="8450" width="52.33203125" style="59" customWidth="1"/>
    <col min="8451" max="8451" width="14.33203125" style="59" customWidth="1"/>
    <col min="8452" max="8452" width="12.44140625" style="59" customWidth="1"/>
    <col min="8453" max="8453" width="16.44140625" style="59" customWidth="1"/>
    <col min="8454" max="8454" width="13.44140625" style="59" customWidth="1"/>
    <col min="8455" max="8455" width="14.88671875" style="59" customWidth="1"/>
    <col min="8456" max="8456" width="11.109375" style="59" customWidth="1"/>
    <col min="8457" max="8457" width="13.44140625" style="59" bestFit="1" customWidth="1"/>
    <col min="8458" max="8458" width="10.33203125" style="59" bestFit="1" customWidth="1"/>
    <col min="8459" max="8703" width="9.109375" style="59"/>
    <col min="8704" max="8704" width="3.44140625" style="59" customWidth="1"/>
    <col min="8705" max="8705" width="7.6640625" style="59" customWidth="1"/>
    <col min="8706" max="8706" width="52.33203125" style="59" customWidth="1"/>
    <col min="8707" max="8707" width="14.33203125" style="59" customWidth="1"/>
    <col min="8708" max="8708" width="12.44140625" style="59" customWidth="1"/>
    <col min="8709" max="8709" width="16.44140625" style="59" customWidth="1"/>
    <col min="8710" max="8710" width="13.44140625" style="59" customWidth="1"/>
    <col min="8711" max="8711" width="14.88671875" style="59" customWidth="1"/>
    <col min="8712" max="8712" width="11.109375" style="59" customWidth="1"/>
    <col min="8713" max="8713" width="13.44140625" style="59" bestFit="1" customWidth="1"/>
    <col min="8714" max="8714" width="10.33203125" style="59" bestFit="1" customWidth="1"/>
    <col min="8715" max="8959" width="9.109375" style="59"/>
    <col min="8960" max="8960" width="3.44140625" style="59" customWidth="1"/>
    <col min="8961" max="8961" width="7.6640625" style="59" customWidth="1"/>
    <col min="8962" max="8962" width="52.33203125" style="59" customWidth="1"/>
    <col min="8963" max="8963" width="14.33203125" style="59" customWidth="1"/>
    <col min="8964" max="8964" width="12.44140625" style="59" customWidth="1"/>
    <col min="8965" max="8965" width="16.44140625" style="59" customWidth="1"/>
    <col min="8966" max="8966" width="13.44140625" style="59" customWidth="1"/>
    <col min="8967" max="8967" width="14.88671875" style="59" customWidth="1"/>
    <col min="8968" max="8968" width="11.109375" style="59" customWidth="1"/>
    <col min="8969" max="8969" width="13.44140625" style="59" bestFit="1" customWidth="1"/>
    <col min="8970" max="8970" width="10.33203125" style="59" bestFit="1" customWidth="1"/>
    <col min="8971" max="9215" width="9.109375" style="59"/>
    <col min="9216" max="9216" width="3.44140625" style="59" customWidth="1"/>
    <col min="9217" max="9217" width="7.6640625" style="59" customWidth="1"/>
    <col min="9218" max="9218" width="52.33203125" style="59" customWidth="1"/>
    <col min="9219" max="9219" width="14.33203125" style="59" customWidth="1"/>
    <col min="9220" max="9220" width="12.44140625" style="59" customWidth="1"/>
    <col min="9221" max="9221" width="16.44140625" style="59" customWidth="1"/>
    <col min="9222" max="9222" width="13.44140625" style="59" customWidth="1"/>
    <col min="9223" max="9223" width="14.88671875" style="59" customWidth="1"/>
    <col min="9224" max="9224" width="11.109375" style="59" customWidth="1"/>
    <col min="9225" max="9225" width="13.44140625" style="59" bestFit="1" customWidth="1"/>
    <col min="9226" max="9226" width="10.33203125" style="59" bestFit="1" customWidth="1"/>
    <col min="9227" max="9471" width="9.109375" style="59"/>
    <col min="9472" max="9472" width="3.44140625" style="59" customWidth="1"/>
    <col min="9473" max="9473" width="7.6640625" style="59" customWidth="1"/>
    <col min="9474" max="9474" width="52.33203125" style="59" customWidth="1"/>
    <col min="9475" max="9475" width="14.33203125" style="59" customWidth="1"/>
    <col min="9476" max="9476" width="12.44140625" style="59" customWidth="1"/>
    <col min="9477" max="9477" width="16.44140625" style="59" customWidth="1"/>
    <col min="9478" max="9478" width="13.44140625" style="59" customWidth="1"/>
    <col min="9479" max="9479" width="14.88671875" style="59" customWidth="1"/>
    <col min="9480" max="9480" width="11.109375" style="59" customWidth="1"/>
    <col min="9481" max="9481" width="13.44140625" style="59" bestFit="1" customWidth="1"/>
    <col min="9482" max="9482" width="10.33203125" style="59" bestFit="1" customWidth="1"/>
    <col min="9483" max="9727" width="9.109375" style="59"/>
    <col min="9728" max="9728" width="3.44140625" style="59" customWidth="1"/>
    <col min="9729" max="9729" width="7.6640625" style="59" customWidth="1"/>
    <col min="9730" max="9730" width="52.33203125" style="59" customWidth="1"/>
    <col min="9731" max="9731" width="14.33203125" style="59" customWidth="1"/>
    <col min="9732" max="9732" width="12.44140625" style="59" customWidth="1"/>
    <col min="9733" max="9733" width="16.44140625" style="59" customWidth="1"/>
    <col min="9734" max="9734" width="13.44140625" style="59" customWidth="1"/>
    <col min="9735" max="9735" width="14.88671875" style="59" customWidth="1"/>
    <col min="9736" max="9736" width="11.109375" style="59" customWidth="1"/>
    <col min="9737" max="9737" width="13.44140625" style="59" bestFit="1" customWidth="1"/>
    <col min="9738" max="9738" width="10.33203125" style="59" bestFit="1" customWidth="1"/>
    <col min="9739" max="9983" width="9.109375" style="59"/>
    <col min="9984" max="9984" width="3.44140625" style="59" customWidth="1"/>
    <col min="9985" max="9985" width="7.6640625" style="59" customWidth="1"/>
    <col min="9986" max="9986" width="52.33203125" style="59" customWidth="1"/>
    <col min="9987" max="9987" width="14.33203125" style="59" customWidth="1"/>
    <col min="9988" max="9988" width="12.44140625" style="59" customWidth="1"/>
    <col min="9989" max="9989" width="16.44140625" style="59" customWidth="1"/>
    <col min="9990" max="9990" width="13.44140625" style="59" customWidth="1"/>
    <col min="9991" max="9991" width="14.88671875" style="59" customWidth="1"/>
    <col min="9992" max="9992" width="11.109375" style="59" customWidth="1"/>
    <col min="9993" max="9993" width="13.44140625" style="59" bestFit="1" customWidth="1"/>
    <col min="9994" max="9994" width="10.33203125" style="59" bestFit="1" customWidth="1"/>
    <col min="9995" max="10239" width="9.109375" style="59"/>
    <col min="10240" max="10240" width="3.44140625" style="59" customWidth="1"/>
    <col min="10241" max="10241" width="7.6640625" style="59" customWidth="1"/>
    <col min="10242" max="10242" width="52.33203125" style="59" customWidth="1"/>
    <col min="10243" max="10243" width="14.33203125" style="59" customWidth="1"/>
    <col min="10244" max="10244" width="12.44140625" style="59" customWidth="1"/>
    <col min="10245" max="10245" width="16.44140625" style="59" customWidth="1"/>
    <col min="10246" max="10246" width="13.44140625" style="59" customWidth="1"/>
    <col min="10247" max="10247" width="14.88671875" style="59" customWidth="1"/>
    <col min="10248" max="10248" width="11.109375" style="59" customWidth="1"/>
    <col min="10249" max="10249" width="13.44140625" style="59" bestFit="1" customWidth="1"/>
    <col min="10250" max="10250" width="10.33203125" style="59" bestFit="1" customWidth="1"/>
    <col min="10251" max="10495" width="9.109375" style="59"/>
    <col min="10496" max="10496" width="3.44140625" style="59" customWidth="1"/>
    <col min="10497" max="10497" width="7.6640625" style="59" customWidth="1"/>
    <col min="10498" max="10498" width="52.33203125" style="59" customWidth="1"/>
    <col min="10499" max="10499" width="14.33203125" style="59" customWidth="1"/>
    <col min="10500" max="10500" width="12.44140625" style="59" customWidth="1"/>
    <col min="10501" max="10501" width="16.44140625" style="59" customWidth="1"/>
    <col min="10502" max="10502" width="13.44140625" style="59" customWidth="1"/>
    <col min="10503" max="10503" width="14.88671875" style="59" customWidth="1"/>
    <col min="10504" max="10504" width="11.109375" style="59" customWidth="1"/>
    <col min="10505" max="10505" width="13.44140625" style="59" bestFit="1" customWidth="1"/>
    <col min="10506" max="10506" width="10.33203125" style="59" bestFit="1" customWidth="1"/>
    <col min="10507" max="10751" width="9.109375" style="59"/>
    <col min="10752" max="10752" width="3.44140625" style="59" customWidth="1"/>
    <col min="10753" max="10753" width="7.6640625" style="59" customWidth="1"/>
    <col min="10754" max="10754" width="52.33203125" style="59" customWidth="1"/>
    <col min="10755" max="10755" width="14.33203125" style="59" customWidth="1"/>
    <col min="10756" max="10756" width="12.44140625" style="59" customWidth="1"/>
    <col min="10757" max="10757" width="16.44140625" style="59" customWidth="1"/>
    <col min="10758" max="10758" width="13.44140625" style="59" customWidth="1"/>
    <col min="10759" max="10759" width="14.88671875" style="59" customWidth="1"/>
    <col min="10760" max="10760" width="11.109375" style="59" customWidth="1"/>
    <col min="10761" max="10761" width="13.44140625" style="59" bestFit="1" customWidth="1"/>
    <col min="10762" max="10762" width="10.33203125" style="59" bestFit="1" customWidth="1"/>
    <col min="10763" max="11007" width="9.109375" style="59"/>
    <col min="11008" max="11008" width="3.44140625" style="59" customWidth="1"/>
    <col min="11009" max="11009" width="7.6640625" style="59" customWidth="1"/>
    <col min="11010" max="11010" width="52.33203125" style="59" customWidth="1"/>
    <col min="11011" max="11011" width="14.33203125" style="59" customWidth="1"/>
    <col min="11012" max="11012" width="12.44140625" style="59" customWidth="1"/>
    <col min="11013" max="11013" width="16.44140625" style="59" customWidth="1"/>
    <col min="11014" max="11014" width="13.44140625" style="59" customWidth="1"/>
    <col min="11015" max="11015" width="14.88671875" style="59" customWidth="1"/>
    <col min="11016" max="11016" width="11.109375" style="59" customWidth="1"/>
    <col min="11017" max="11017" width="13.44140625" style="59" bestFit="1" customWidth="1"/>
    <col min="11018" max="11018" width="10.33203125" style="59" bestFit="1" customWidth="1"/>
    <col min="11019" max="11263" width="9.109375" style="59"/>
    <col min="11264" max="11264" width="3.44140625" style="59" customWidth="1"/>
    <col min="11265" max="11265" width="7.6640625" style="59" customWidth="1"/>
    <col min="11266" max="11266" width="52.33203125" style="59" customWidth="1"/>
    <col min="11267" max="11267" width="14.33203125" style="59" customWidth="1"/>
    <col min="11268" max="11268" width="12.44140625" style="59" customWidth="1"/>
    <col min="11269" max="11269" width="16.44140625" style="59" customWidth="1"/>
    <col min="11270" max="11270" width="13.44140625" style="59" customWidth="1"/>
    <col min="11271" max="11271" width="14.88671875" style="59" customWidth="1"/>
    <col min="11272" max="11272" width="11.109375" style="59" customWidth="1"/>
    <col min="11273" max="11273" width="13.44140625" style="59" bestFit="1" customWidth="1"/>
    <col min="11274" max="11274" width="10.33203125" style="59" bestFit="1" customWidth="1"/>
    <col min="11275" max="11519" width="9.109375" style="59"/>
    <col min="11520" max="11520" width="3.44140625" style="59" customWidth="1"/>
    <col min="11521" max="11521" width="7.6640625" style="59" customWidth="1"/>
    <col min="11522" max="11522" width="52.33203125" style="59" customWidth="1"/>
    <col min="11523" max="11523" width="14.33203125" style="59" customWidth="1"/>
    <col min="11524" max="11524" width="12.44140625" style="59" customWidth="1"/>
    <col min="11525" max="11525" width="16.44140625" style="59" customWidth="1"/>
    <col min="11526" max="11526" width="13.44140625" style="59" customWidth="1"/>
    <col min="11527" max="11527" width="14.88671875" style="59" customWidth="1"/>
    <col min="11528" max="11528" width="11.109375" style="59" customWidth="1"/>
    <col min="11529" max="11529" width="13.44140625" style="59" bestFit="1" customWidth="1"/>
    <col min="11530" max="11530" width="10.33203125" style="59" bestFit="1" customWidth="1"/>
    <col min="11531" max="11775" width="9.109375" style="59"/>
    <col min="11776" max="11776" width="3.44140625" style="59" customWidth="1"/>
    <col min="11777" max="11777" width="7.6640625" style="59" customWidth="1"/>
    <col min="11778" max="11778" width="52.33203125" style="59" customWidth="1"/>
    <col min="11779" max="11779" width="14.33203125" style="59" customWidth="1"/>
    <col min="11780" max="11780" width="12.44140625" style="59" customWidth="1"/>
    <col min="11781" max="11781" width="16.44140625" style="59" customWidth="1"/>
    <col min="11782" max="11782" width="13.44140625" style="59" customWidth="1"/>
    <col min="11783" max="11783" width="14.88671875" style="59" customWidth="1"/>
    <col min="11784" max="11784" width="11.109375" style="59" customWidth="1"/>
    <col min="11785" max="11785" width="13.44140625" style="59" bestFit="1" customWidth="1"/>
    <col min="11786" max="11786" width="10.33203125" style="59" bestFit="1" customWidth="1"/>
    <col min="11787" max="12031" width="9.109375" style="59"/>
    <col min="12032" max="12032" width="3.44140625" style="59" customWidth="1"/>
    <col min="12033" max="12033" width="7.6640625" style="59" customWidth="1"/>
    <col min="12034" max="12034" width="52.33203125" style="59" customWidth="1"/>
    <col min="12035" max="12035" width="14.33203125" style="59" customWidth="1"/>
    <col min="12036" max="12036" width="12.44140625" style="59" customWidth="1"/>
    <col min="12037" max="12037" width="16.44140625" style="59" customWidth="1"/>
    <col min="12038" max="12038" width="13.44140625" style="59" customWidth="1"/>
    <col min="12039" max="12039" width="14.88671875" style="59" customWidth="1"/>
    <col min="12040" max="12040" width="11.109375" style="59" customWidth="1"/>
    <col min="12041" max="12041" width="13.44140625" style="59" bestFit="1" customWidth="1"/>
    <col min="12042" max="12042" width="10.33203125" style="59" bestFit="1" customWidth="1"/>
    <col min="12043" max="12287" width="9.109375" style="59"/>
    <col min="12288" max="12288" width="3.44140625" style="59" customWidth="1"/>
    <col min="12289" max="12289" width="7.6640625" style="59" customWidth="1"/>
    <col min="12290" max="12290" width="52.33203125" style="59" customWidth="1"/>
    <col min="12291" max="12291" width="14.33203125" style="59" customWidth="1"/>
    <col min="12292" max="12292" width="12.44140625" style="59" customWidth="1"/>
    <col min="12293" max="12293" width="16.44140625" style="59" customWidth="1"/>
    <col min="12294" max="12294" width="13.44140625" style="59" customWidth="1"/>
    <col min="12295" max="12295" width="14.88671875" style="59" customWidth="1"/>
    <col min="12296" max="12296" width="11.109375" style="59" customWidth="1"/>
    <col min="12297" max="12297" width="13.44140625" style="59" bestFit="1" customWidth="1"/>
    <col min="12298" max="12298" width="10.33203125" style="59" bestFit="1" customWidth="1"/>
    <col min="12299" max="12543" width="9.109375" style="59"/>
    <col min="12544" max="12544" width="3.44140625" style="59" customWidth="1"/>
    <col min="12545" max="12545" width="7.6640625" style="59" customWidth="1"/>
    <col min="12546" max="12546" width="52.33203125" style="59" customWidth="1"/>
    <col min="12547" max="12547" width="14.33203125" style="59" customWidth="1"/>
    <col min="12548" max="12548" width="12.44140625" style="59" customWidth="1"/>
    <col min="12549" max="12549" width="16.44140625" style="59" customWidth="1"/>
    <col min="12550" max="12550" width="13.44140625" style="59" customWidth="1"/>
    <col min="12551" max="12551" width="14.88671875" style="59" customWidth="1"/>
    <col min="12552" max="12552" width="11.109375" style="59" customWidth="1"/>
    <col min="12553" max="12553" width="13.44140625" style="59" bestFit="1" customWidth="1"/>
    <col min="12554" max="12554" width="10.33203125" style="59" bestFit="1" customWidth="1"/>
    <col min="12555" max="12799" width="9.109375" style="59"/>
    <col min="12800" max="12800" width="3.44140625" style="59" customWidth="1"/>
    <col min="12801" max="12801" width="7.6640625" style="59" customWidth="1"/>
    <col min="12802" max="12802" width="52.33203125" style="59" customWidth="1"/>
    <col min="12803" max="12803" width="14.33203125" style="59" customWidth="1"/>
    <col min="12804" max="12804" width="12.44140625" style="59" customWidth="1"/>
    <col min="12805" max="12805" width="16.44140625" style="59" customWidth="1"/>
    <col min="12806" max="12806" width="13.44140625" style="59" customWidth="1"/>
    <col min="12807" max="12807" width="14.88671875" style="59" customWidth="1"/>
    <col min="12808" max="12808" width="11.109375" style="59" customWidth="1"/>
    <col min="12809" max="12809" width="13.44140625" style="59" bestFit="1" customWidth="1"/>
    <col min="12810" max="12810" width="10.33203125" style="59" bestFit="1" customWidth="1"/>
    <col min="12811" max="13055" width="9.109375" style="59"/>
    <col min="13056" max="13056" width="3.44140625" style="59" customWidth="1"/>
    <col min="13057" max="13057" width="7.6640625" style="59" customWidth="1"/>
    <col min="13058" max="13058" width="52.33203125" style="59" customWidth="1"/>
    <col min="13059" max="13059" width="14.33203125" style="59" customWidth="1"/>
    <col min="13060" max="13060" width="12.44140625" style="59" customWidth="1"/>
    <col min="13061" max="13061" width="16.44140625" style="59" customWidth="1"/>
    <col min="13062" max="13062" width="13.44140625" style="59" customWidth="1"/>
    <col min="13063" max="13063" width="14.88671875" style="59" customWidth="1"/>
    <col min="13064" max="13064" width="11.109375" style="59" customWidth="1"/>
    <col min="13065" max="13065" width="13.44140625" style="59" bestFit="1" customWidth="1"/>
    <col min="13066" max="13066" width="10.33203125" style="59" bestFit="1" customWidth="1"/>
    <col min="13067" max="13311" width="9.109375" style="59"/>
    <col min="13312" max="13312" width="3.44140625" style="59" customWidth="1"/>
    <col min="13313" max="13313" width="7.6640625" style="59" customWidth="1"/>
    <col min="13314" max="13314" width="52.33203125" style="59" customWidth="1"/>
    <col min="13315" max="13315" width="14.33203125" style="59" customWidth="1"/>
    <col min="13316" max="13316" width="12.44140625" style="59" customWidth="1"/>
    <col min="13317" max="13317" width="16.44140625" style="59" customWidth="1"/>
    <col min="13318" max="13318" width="13.44140625" style="59" customWidth="1"/>
    <col min="13319" max="13319" width="14.88671875" style="59" customWidth="1"/>
    <col min="13320" max="13320" width="11.109375" style="59" customWidth="1"/>
    <col min="13321" max="13321" width="13.44140625" style="59" bestFit="1" customWidth="1"/>
    <col min="13322" max="13322" width="10.33203125" style="59" bestFit="1" customWidth="1"/>
    <col min="13323" max="13567" width="9.109375" style="59"/>
    <col min="13568" max="13568" width="3.44140625" style="59" customWidth="1"/>
    <col min="13569" max="13569" width="7.6640625" style="59" customWidth="1"/>
    <col min="13570" max="13570" width="52.33203125" style="59" customWidth="1"/>
    <col min="13571" max="13571" width="14.33203125" style="59" customWidth="1"/>
    <col min="13572" max="13572" width="12.44140625" style="59" customWidth="1"/>
    <col min="13573" max="13573" width="16.44140625" style="59" customWidth="1"/>
    <col min="13574" max="13574" width="13.44140625" style="59" customWidth="1"/>
    <col min="13575" max="13575" width="14.88671875" style="59" customWidth="1"/>
    <col min="13576" max="13576" width="11.109375" style="59" customWidth="1"/>
    <col min="13577" max="13577" width="13.44140625" style="59" bestFit="1" customWidth="1"/>
    <col min="13578" max="13578" width="10.33203125" style="59" bestFit="1" customWidth="1"/>
    <col min="13579" max="13823" width="9.109375" style="59"/>
    <col min="13824" max="13824" width="3.44140625" style="59" customWidth="1"/>
    <col min="13825" max="13825" width="7.6640625" style="59" customWidth="1"/>
    <col min="13826" max="13826" width="52.33203125" style="59" customWidth="1"/>
    <col min="13827" max="13827" width="14.33203125" style="59" customWidth="1"/>
    <col min="13828" max="13828" width="12.44140625" style="59" customWidth="1"/>
    <col min="13829" max="13829" width="16.44140625" style="59" customWidth="1"/>
    <col min="13830" max="13830" width="13.44140625" style="59" customWidth="1"/>
    <col min="13831" max="13831" width="14.88671875" style="59" customWidth="1"/>
    <col min="13832" max="13832" width="11.109375" style="59" customWidth="1"/>
    <col min="13833" max="13833" width="13.44140625" style="59" bestFit="1" customWidth="1"/>
    <col min="13834" max="13834" width="10.33203125" style="59" bestFit="1" customWidth="1"/>
    <col min="13835" max="14079" width="9.109375" style="59"/>
    <col min="14080" max="14080" width="3.44140625" style="59" customWidth="1"/>
    <col min="14081" max="14081" width="7.6640625" style="59" customWidth="1"/>
    <col min="14082" max="14082" width="52.33203125" style="59" customWidth="1"/>
    <col min="14083" max="14083" width="14.33203125" style="59" customWidth="1"/>
    <col min="14084" max="14084" width="12.44140625" style="59" customWidth="1"/>
    <col min="14085" max="14085" width="16.44140625" style="59" customWidth="1"/>
    <col min="14086" max="14086" width="13.44140625" style="59" customWidth="1"/>
    <col min="14087" max="14087" width="14.88671875" style="59" customWidth="1"/>
    <col min="14088" max="14088" width="11.109375" style="59" customWidth="1"/>
    <col min="14089" max="14089" width="13.44140625" style="59" bestFit="1" customWidth="1"/>
    <col min="14090" max="14090" width="10.33203125" style="59" bestFit="1" customWidth="1"/>
    <col min="14091" max="14335" width="9.109375" style="59"/>
    <col min="14336" max="14336" width="3.44140625" style="59" customWidth="1"/>
    <col min="14337" max="14337" width="7.6640625" style="59" customWidth="1"/>
    <col min="14338" max="14338" width="52.33203125" style="59" customWidth="1"/>
    <col min="14339" max="14339" width="14.33203125" style="59" customWidth="1"/>
    <col min="14340" max="14340" width="12.44140625" style="59" customWidth="1"/>
    <col min="14341" max="14341" width="16.44140625" style="59" customWidth="1"/>
    <col min="14342" max="14342" width="13.44140625" style="59" customWidth="1"/>
    <col min="14343" max="14343" width="14.88671875" style="59" customWidth="1"/>
    <col min="14344" max="14344" width="11.109375" style="59" customWidth="1"/>
    <col min="14345" max="14345" width="13.44140625" style="59" bestFit="1" customWidth="1"/>
    <col min="14346" max="14346" width="10.33203125" style="59" bestFit="1" customWidth="1"/>
    <col min="14347" max="14591" width="9.109375" style="59"/>
    <col min="14592" max="14592" width="3.44140625" style="59" customWidth="1"/>
    <col min="14593" max="14593" width="7.6640625" style="59" customWidth="1"/>
    <col min="14594" max="14594" width="52.33203125" style="59" customWidth="1"/>
    <col min="14595" max="14595" width="14.33203125" style="59" customWidth="1"/>
    <col min="14596" max="14596" width="12.44140625" style="59" customWidth="1"/>
    <col min="14597" max="14597" width="16.44140625" style="59" customWidth="1"/>
    <col min="14598" max="14598" width="13.44140625" style="59" customWidth="1"/>
    <col min="14599" max="14599" width="14.88671875" style="59" customWidth="1"/>
    <col min="14600" max="14600" width="11.109375" style="59" customWidth="1"/>
    <col min="14601" max="14601" width="13.44140625" style="59" bestFit="1" customWidth="1"/>
    <col min="14602" max="14602" width="10.33203125" style="59" bestFit="1" customWidth="1"/>
    <col min="14603" max="14847" width="9.109375" style="59"/>
    <col min="14848" max="14848" width="3.44140625" style="59" customWidth="1"/>
    <col min="14849" max="14849" width="7.6640625" style="59" customWidth="1"/>
    <col min="14850" max="14850" width="52.33203125" style="59" customWidth="1"/>
    <col min="14851" max="14851" width="14.33203125" style="59" customWidth="1"/>
    <col min="14852" max="14852" width="12.44140625" style="59" customWidth="1"/>
    <col min="14853" max="14853" width="16.44140625" style="59" customWidth="1"/>
    <col min="14854" max="14854" width="13.44140625" style="59" customWidth="1"/>
    <col min="14855" max="14855" width="14.88671875" style="59" customWidth="1"/>
    <col min="14856" max="14856" width="11.109375" style="59" customWidth="1"/>
    <col min="14857" max="14857" width="13.44140625" style="59" bestFit="1" customWidth="1"/>
    <col min="14858" max="14858" width="10.33203125" style="59" bestFit="1" customWidth="1"/>
    <col min="14859" max="15103" width="9.109375" style="59"/>
    <col min="15104" max="15104" width="3.44140625" style="59" customWidth="1"/>
    <col min="15105" max="15105" width="7.6640625" style="59" customWidth="1"/>
    <col min="15106" max="15106" width="52.33203125" style="59" customWidth="1"/>
    <col min="15107" max="15107" width="14.33203125" style="59" customWidth="1"/>
    <col min="15108" max="15108" width="12.44140625" style="59" customWidth="1"/>
    <col min="15109" max="15109" width="16.44140625" style="59" customWidth="1"/>
    <col min="15110" max="15110" width="13.44140625" style="59" customWidth="1"/>
    <col min="15111" max="15111" width="14.88671875" style="59" customWidth="1"/>
    <col min="15112" max="15112" width="11.109375" style="59" customWidth="1"/>
    <col min="15113" max="15113" width="13.44140625" style="59" bestFit="1" customWidth="1"/>
    <col min="15114" max="15114" width="10.33203125" style="59" bestFit="1" customWidth="1"/>
    <col min="15115" max="15359" width="9.109375" style="59"/>
    <col min="15360" max="15360" width="3.44140625" style="59" customWidth="1"/>
    <col min="15361" max="15361" width="7.6640625" style="59" customWidth="1"/>
    <col min="15362" max="15362" width="52.33203125" style="59" customWidth="1"/>
    <col min="15363" max="15363" width="14.33203125" style="59" customWidth="1"/>
    <col min="15364" max="15364" width="12.44140625" style="59" customWidth="1"/>
    <col min="15365" max="15365" width="16.44140625" style="59" customWidth="1"/>
    <col min="15366" max="15366" width="13.44140625" style="59" customWidth="1"/>
    <col min="15367" max="15367" width="14.88671875" style="59" customWidth="1"/>
    <col min="15368" max="15368" width="11.109375" style="59" customWidth="1"/>
    <col min="15369" max="15369" width="13.44140625" style="59" bestFit="1" customWidth="1"/>
    <col min="15370" max="15370" width="10.33203125" style="59" bestFit="1" customWidth="1"/>
    <col min="15371" max="15615" width="9.109375" style="59"/>
    <col min="15616" max="15616" width="3.44140625" style="59" customWidth="1"/>
    <col min="15617" max="15617" width="7.6640625" style="59" customWidth="1"/>
    <col min="15618" max="15618" width="52.33203125" style="59" customWidth="1"/>
    <col min="15619" max="15619" width="14.33203125" style="59" customWidth="1"/>
    <col min="15620" max="15620" width="12.44140625" style="59" customWidth="1"/>
    <col min="15621" max="15621" width="16.44140625" style="59" customWidth="1"/>
    <col min="15622" max="15622" width="13.44140625" style="59" customWidth="1"/>
    <col min="15623" max="15623" width="14.88671875" style="59" customWidth="1"/>
    <col min="15624" max="15624" width="11.109375" style="59" customWidth="1"/>
    <col min="15625" max="15625" width="13.44140625" style="59" bestFit="1" customWidth="1"/>
    <col min="15626" max="15626" width="10.33203125" style="59" bestFit="1" customWidth="1"/>
    <col min="15627" max="15871" width="9.109375" style="59"/>
    <col min="15872" max="15872" width="3.44140625" style="59" customWidth="1"/>
    <col min="15873" max="15873" width="7.6640625" style="59" customWidth="1"/>
    <col min="15874" max="15874" width="52.33203125" style="59" customWidth="1"/>
    <col min="15875" max="15875" width="14.33203125" style="59" customWidth="1"/>
    <col min="15876" max="15876" width="12.44140625" style="59" customWidth="1"/>
    <col min="15877" max="15877" width="16.44140625" style="59" customWidth="1"/>
    <col min="15878" max="15878" width="13.44140625" style="59" customWidth="1"/>
    <col min="15879" max="15879" width="14.88671875" style="59" customWidth="1"/>
    <col min="15880" max="15880" width="11.109375" style="59" customWidth="1"/>
    <col min="15881" max="15881" width="13.44140625" style="59" bestFit="1" customWidth="1"/>
    <col min="15882" max="15882" width="10.33203125" style="59" bestFit="1" customWidth="1"/>
    <col min="15883" max="16127" width="9.109375" style="59"/>
    <col min="16128" max="16128" width="3.44140625" style="59" customWidth="1"/>
    <col min="16129" max="16129" width="7.6640625" style="59" customWidth="1"/>
    <col min="16130" max="16130" width="52.33203125" style="59" customWidth="1"/>
    <col min="16131" max="16131" width="14.33203125" style="59" customWidth="1"/>
    <col min="16132" max="16132" width="12.44140625" style="59" customWidth="1"/>
    <col min="16133" max="16133" width="16.44140625" style="59" customWidth="1"/>
    <col min="16134" max="16134" width="13.44140625" style="59" customWidth="1"/>
    <col min="16135" max="16135" width="14.88671875" style="59" customWidth="1"/>
    <col min="16136" max="16136" width="11.109375" style="59" customWidth="1"/>
    <col min="16137" max="16137" width="13.44140625" style="59" bestFit="1" customWidth="1"/>
    <col min="16138" max="16138" width="10.33203125" style="59" bestFit="1" customWidth="1"/>
    <col min="16139" max="16384" width="9.109375" style="59"/>
  </cols>
  <sheetData>
    <row r="1" spans="1:10">
      <c r="A1" s="656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>
      <c r="A2" s="58"/>
      <c r="B2" s="657" t="s">
        <v>31</v>
      </c>
      <c r="C2" s="657"/>
      <c r="D2" s="30" t="s">
        <v>84</v>
      </c>
      <c r="E2" s="30"/>
      <c r="F2" s="30"/>
      <c r="G2" s="30"/>
      <c r="H2" s="30"/>
      <c r="I2" s="30"/>
      <c r="J2" s="30"/>
    </row>
    <row r="3" spans="1:10">
      <c r="A3" s="658" t="s">
        <v>148</v>
      </c>
      <c r="B3" s="658"/>
      <c r="C3" s="658"/>
      <c r="D3" s="658"/>
      <c r="E3" s="658"/>
      <c r="F3" s="658"/>
      <c r="G3" s="658"/>
      <c r="H3" s="658"/>
      <c r="I3" s="658"/>
      <c r="J3" s="658"/>
    </row>
    <row r="4" spans="1:10" ht="15.75" customHeight="1">
      <c r="A4" s="58"/>
      <c r="B4" s="31"/>
      <c r="C4" s="31"/>
      <c r="D4" s="31"/>
      <c r="E4" s="31"/>
      <c r="F4" s="31"/>
      <c r="G4" s="31"/>
      <c r="H4" s="31"/>
      <c r="I4" s="31"/>
      <c r="J4" s="32"/>
    </row>
    <row r="5" spans="1:10" ht="34.5" customHeight="1">
      <c r="A5" s="58"/>
      <c r="B5" s="659">
        <f>gan.barat!B34</f>
        <v>0</v>
      </c>
      <c r="C5" s="659"/>
      <c r="D5" s="659"/>
      <c r="E5" s="659"/>
      <c r="F5" s="659"/>
      <c r="G5" s="659"/>
      <c r="H5" s="33"/>
      <c r="I5" s="33"/>
      <c r="J5" s="33"/>
    </row>
    <row r="6" spans="1:10" ht="15.75" customHeight="1">
      <c r="A6" s="60"/>
      <c r="B6" s="60"/>
      <c r="C6" s="60"/>
      <c r="D6" s="60"/>
      <c r="E6" s="60"/>
      <c r="F6" s="60"/>
      <c r="G6" s="60"/>
      <c r="H6" s="60"/>
      <c r="I6" s="660"/>
      <c r="J6" s="660"/>
    </row>
    <row r="7" spans="1:10">
      <c r="A7" s="650" t="s">
        <v>82</v>
      </c>
      <c r="B7" s="651"/>
      <c r="C7" s="650" t="s">
        <v>73</v>
      </c>
      <c r="D7" s="651"/>
      <c r="E7" s="661" t="s">
        <v>74</v>
      </c>
      <c r="F7" s="661"/>
      <c r="G7" s="661"/>
      <c r="H7" s="661"/>
      <c r="I7" s="661"/>
      <c r="J7" s="662" t="s">
        <v>75</v>
      </c>
    </row>
    <row r="8" spans="1:10">
      <c r="A8" s="652"/>
      <c r="B8" s="653"/>
      <c r="C8" s="652"/>
      <c r="D8" s="653"/>
      <c r="E8" s="662" t="s">
        <v>76</v>
      </c>
      <c r="F8" s="662" t="s">
        <v>77</v>
      </c>
      <c r="G8" s="662" t="s">
        <v>78</v>
      </c>
      <c r="H8" s="662" t="s">
        <v>79</v>
      </c>
      <c r="I8" s="661" t="s">
        <v>80</v>
      </c>
      <c r="J8" s="662"/>
    </row>
    <row r="9" spans="1:10">
      <c r="A9" s="654"/>
      <c r="B9" s="655"/>
      <c r="C9" s="654"/>
      <c r="D9" s="655"/>
      <c r="E9" s="662"/>
      <c r="F9" s="662"/>
      <c r="G9" s="662"/>
      <c r="H9" s="662"/>
      <c r="I9" s="661"/>
      <c r="J9" s="662"/>
    </row>
    <row r="10" spans="1:10">
      <c r="A10" s="648">
        <v>1</v>
      </c>
      <c r="B10" s="649"/>
      <c r="C10" s="648">
        <v>2</v>
      </c>
      <c r="D10" s="649"/>
      <c r="E10" s="119">
        <v>3</v>
      </c>
      <c r="F10" s="120">
        <v>4</v>
      </c>
      <c r="G10" s="119">
        <v>5</v>
      </c>
      <c r="H10" s="120">
        <v>6</v>
      </c>
      <c r="I10" s="119">
        <v>7</v>
      </c>
      <c r="J10" s="120">
        <v>8</v>
      </c>
    </row>
    <row r="11" spans="1:10" s="62" customFormat="1">
      <c r="A11" s="61">
        <v>1</v>
      </c>
      <c r="B11" s="34" t="s">
        <v>4</v>
      </c>
      <c r="C11" s="667" t="s">
        <v>111</v>
      </c>
      <c r="D11" s="668"/>
      <c r="E11" s="740">
        <f>'B-1'!M41</f>
        <v>0</v>
      </c>
      <c r="F11" s="741"/>
      <c r="G11" s="741"/>
      <c r="H11" s="742"/>
      <c r="I11" s="741">
        <f t="shared" ref="I11:I14" si="0">E11</f>
        <v>0</v>
      </c>
      <c r="J11" s="743"/>
    </row>
    <row r="12" spans="1:10" s="62" customFormat="1">
      <c r="A12" s="61">
        <v>2</v>
      </c>
      <c r="B12" s="34" t="s">
        <v>85</v>
      </c>
      <c r="C12" s="669" t="s">
        <v>126</v>
      </c>
      <c r="D12" s="670"/>
      <c r="E12" s="740">
        <f>'B-2'!M27</f>
        <v>0</v>
      </c>
      <c r="F12" s="741"/>
      <c r="G12" s="741"/>
      <c r="H12" s="742"/>
      <c r="I12" s="741">
        <f t="shared" si="0"/>
        <v>0</v>
      </c>
      <c r="J12" s="743"/>
    </row>
    <row r="13" spans="1:10" s="62" customFormat="1">
      <c r="A13" s="61">
        <v>3</v>
      </c>
      <c r="B13" s="34" t="s">
        <v>86</v>
      </c>
      <c r="C13" s="669" t="s">
        <v>127</v>
      </c>
      <c r="D13" s="670"/>
      <c r="E13" s="740">
        <f>'B-3'!M122</f>
        <v>0</v>
      </c>
      <c r="F13" s="741"/>
      <c r="G13" s="741"/>
      <c r="H13" s="742"/>
      <c r="I13" s="741">
        <f t="shared" si="0"/>
        <v>0</v>
      </c>
      <c r="J13" s="743"/>
    </row>
    <row r="14" spans="1:10" s="62" customFormat="1">
      <c r="A14" s="61">
        <v>4</v>
      </c>
      <c r="B14" s="184" t="s">
        <v>87</v>
      </c>
      <c r="C14" s="669" t="s">
        <v>128</v>
      </c>
      <c r="D14" s="670"/>
      <c r="E14" s="740">
        <f>'B-4'!M72</f>
        <v>0</v>
      </c>
      <c r="F14" s="741"/>
      <c r="G14" s="741"/>
      <c r="H14" s="742"/>
      <c r="I14" s="741">
        <f t="shared" si="0"/>
        <v>0</v>
      </c>
      <c r="J14" s="743"/>
    </row>
    <row r="15" spans="1:10" s="62" customFormat="1">
      <c r="A15" s="61">
        <v>5</v>
      </c>
      <c r="B15" s="184" t="s">
        <v>205</v>
      </c>
      <c r="C15" s="669" t="s">
        <v>363</v>
      </c>
      <c r="D15" s="670"/>
      <c r="E15" s="740">
        <f>'B-5'!I12</f>
        <v>0</v>
      </c>
      <c r="F15" s="741"/>
      <c r="G15" s="741"/>
      <c r="H15" s="742"/>
      <c r="I15" s="741">
        <f t="shared" ref="I15:I17" si="1">E15</f>
        <v>0</v>
      </c>
      <c r="J15" s="743"/>
    </row>
    <row r="16" spans="1:10" s="62" customFormat="1">
      <c r="A16" s="61">
        <v>6</v>
      </c>
      <c r="B16" s="184" t="s">
        <v>206</v>
      </c>
      <c r="C16" s="669" t="s">
        <v>709</v>
      </c>
      <c r="D16" s="670"/>
      <c r="E16" s="740">
        <f>'B-6'!H13</f>
        <v>0</v>
      </c>
      <c r="F16" s="741"/>
      <c r="G16" s="741"/>
      <c r="H16" s="742"/>
      <c r="I16" s="741">
        <f t="shared" si="1"/>
        <v>0</v>
      </c>
      <c r="J16" s="743"/>
    </row>
    <row r="17" spans="1:12" s="62" customFormat="1">
      <c r="A17" s="61">
        <v>7</v>
      </c>
      <c r="B17" s="184" t="s">
        <v>207</v>
      </c>
      <c r="C17" s="669" t="s">
        <v>217</v>
      </c>
      <c r="D17" s="670"/>
      <c r="E17" s="740">
        <f>'B-7'!M58</f>
        <v>0</v>
      </c>
      <c r="F17" s="741"/>
      <c r="G17" s="741"/>
      <c r="H17" s="742"/>
      <c r="I17" s="741">
        <f t="shared" si="1"/>
        <v>0</v>
      </c>
      <c r="J17" s="743"/>
    </row>
    <row r="18" spans="1:12">
      <c r="A18" s="671"/>
      <c r="B18" s="672"/>
      <c r="C18" s="673" t="s">
        <v>2</v>
      </c>
      <c r="D18" s="674"/>
      <c r="E18" s="744"/>
      <c r="F18" s="744"/>
      <c r="G18" s="744"/>
      <c r="H18" s="744"/>
      <c r="I18" s="745">
        <f>SUM(I11:I17)</f>
        <v>0</v>
      </c>
      <c r="J18" s="744"/>
    </row>
    <row r="19" spans="1:12">
      <c r="A19" s="663"/>
      <c r="B19" s="664"/>
      <c r="C19" s="175">
        <f>gan.barat!B48</f>
        <v>0</v>
      </c>
      <c r="D19" s="29">
        <v>0.03</v>
      </c>
      <c r="E19" s="746"/>
      <c r="F19" s="747"/>
      <c r="G19" s="747"/>
      <c r="H19" s="747"/>
      <c r="I19" s="748">
        <f>I18*D19</f>
        <v>0</v>
      </c>
      <c r="J19" s="747"/>
    </row>
    <row r="20" spans="1:12">
      <c r="A20" s="675"/>
      <c r="B20" s="676"/>
      <c r="C20" s="677" t="s">
        <v>2</v>
      </c>
      <c r="D20" s="678"/>
      <c r="E20" s="744"/>
      <c r="F20" s="744"/>
      <c r="G20" s="744"/>
      <c r="H20" s="744"/>
      <c r="I20" s="745">
        <f>I18+I19</f>
        <v>0</v>
      </c>
      <c r="J20" s="744"/>
    </row>
    <row r="21" spans="1:12">
      <c r="A21" s="663"/>
      <c r="B21" s="664"/>
      <c r="C21" s="175">
        <f>gan.barat!B49</f>
        <v>0</v>
      </c>
      <c r="D21" s="29">
        <v>0.18</v>
      </c>
      <c r="E21" s="746"/>
      <c r="F21" s="747"/>
      <c r="G21" s="747"/>
      <c r="H21" s="747"/>
      <c r="I21" s="748">
        <f>I20*D21</f>
        <v>0</v>
      </c>
      <c r="J21" s="747"/>
    </row>
    <row r="22" spans="1:12">
      <c r="A22" s="665"/>
      <c r="B22" s="665"/>
      <c r="C22" s="666" t="s">
        <v>2</v>
      </c>
      <c r="D22" s="666"/>
      <c r="E22" s="744"/>
      <c r="F22" s="744"/>
      <c r="G22" s="744"/>
      <c r="H22" s="749"/>
      <c r="I22" s="745">
        <f>SUM(I20:I21)</f>
        <v>0</v>
      </c>
      <c r="J22" s="744"/>
    </row>
    <row r="23" spans="1:12">
      <c r="A23" s="180"/>
      <c r="B23" s="180"/>
      <c r="C23" s="554" t="s">
        <v>713</v>
      </c>
      <c r="D23" s="181"/>
      <c r="E23" s="27"/>
      <c r="F23" s="27"/>
      <c r="G23" s="27"/>
      <c r="H23" s="28"/>
      <c r="I23" s="17">
        <v>2000</v>
      </c>
      <c r="J23" s="27"/>
    </row>
    <row r="24" spans="1:12">
      <c r="A24" s="180"/>
      <c r="B24" s="180"/>
      <c r="C24" s="181" t="s">
        <v>2</v>
      </c>
      <c r="D24" s="181"/>
      <c r="E24" s="744"/>
      <c r="F24" s="744"/>
      <c r="G24" s="744"/>
      <c r="H24" s="749"/>
      <c r="I24" s="745">
        <f>I22+I23</f>
        <v>2000</v>
      </c>
      <c r="J24" s="744"/>
    </row>
    <row r="25" spans="1:12">
      <c r="A25" s="750"/>
      <c r="B25" s="750"/>
      <c r="C25" s="751"/>
      <c r="D25" s="751"/>
      <c r="E25" s="752"/>
      <c r="F25" s="752"/>
      <c r="G25" s="753"/>
      <c r="H25" s="754"/>
      <c r="I25" s="755"/>
      <c r="J25" s="756"/>
    </row>
    <row r="26" spans="1:12" s="64" customFormat="1" ht="15">
      <c r="A26" s="757"/>
      <c r="B26" s="758"/>
      <c r="C26" s="757"/>
      <c r="D26" s="757"/>
      <c r="E26" s="757"/>
      <c r="F26" s="757"/>
      <c r="G26" s="757"/>
      <c r="H26" s="757"/>
      <c r="I26" s="757"/>
      <c r="J26" s="757"/>
      <c r="K26" s="65"/>
      <c r="L26" s="66"/>
    </row>
    <row r="27" spans="1:12" s="64" customFormat="1" ht="15">
      <c r="A27" s="757"/>
      <c r="B27" s="757"/>
      <c r="C27" s="759"/>
      <c r="D27" s="759"/>
      <c r="E27" s="757"/>
      <c r="F27" s="757"/>
      <c r="G27" s="757"/>
      <c r="H27" s="757"/>
      <c r="I27" s="757"/>
      <c r="J27" s="757"/>
    </row>
    <row r="28" spans="1:12" s="64" customFormat="1" ht="15">
      <c r="A28" s="757"/>
      <c r="B28" s="757"/>
      <c r="C28" s="759"/>
      <c r="D28" s="759"/>
      <c r="E28" s="757"/>
      <c r="F28" s="757"/>
      <c r="G28" s="757"/>
      <c r="H28" s="757"/>
      <c r="I28" s="757"/>
      <c r="J28" s="757"/>
    </row>
    <row r="29" spans="1:12" s="65" customFormat="1" ht="15">
      <c r="C29" s="67"/>
      <c r="D29" s="67"/>
      <c r="J29" s="68"/>
    </row>
    <row r="30" spans="1:12">
      <c r="E30" s="69"/>
      <c r="F30" s="59"/>
      <c r="G30" s="59"/>
      <c r="H30" s="59"/>
    </row>
    <row r="31" spans="1:12">
      <c r="E31" s="69"/>
      <c r="F31" s="59"/>
      <c r="G31" s="59"/>
      <c r="H31" s="59"/>
    </row>
    <row r="44" spans="2:9">
      <c r="E44" s="18"/>
      <c r="F44" s="19"/>
      <c r="G44" s="20"/>
      <c r="H44" s="21"/>
      <c r="I44" s="22"/>
    </row>
    <row r="45" spans="2:9">
      <c r="E45" s="23"/>
      <c r="F45" s="19"/>
      <c r="G45" s="24"/>
      <c r="H45" s="25"/>
      <c r="I45" s="26"/>
    </row>
    <row r="46" spans="2:9">
      <c r="B46" s="70"/>
      <c r="E46" s="23"/>
      <c r="F46" s="19"/>
      <c r="G46" s="24"/>
      <c r="H46" s="25"/>
      <c r="I46" s="26"/>
    </row>
    <row r="47" spans="2:9">
      <c r="E47" s="23"/>
      <c r="F47" s="19"/>
      <c r="G47" s="24"/>
      <c r="H47" s="25"/>
      <c r="I47" s="26"/>
    </row>
    <row r="48" spans="2:9">
      <c r="B48" s="70"/>
      <c r="E48" s="23"/>
      <c r="F48" s="19"/>
      <c r="G48" s="24"/>
      <c r="H48" s="25"/>
      <c r="I48" s="26"/>
    </row>
    <row r="49" spans="2:9">
      <c r="E49" s="23"/>
      <c r="F49" s="19"/>
      <c r="G49" s="24"/>
      <c r="H49" s="25"/>
      <c r="I49" s="26"/>
    </row>
    <row r="50" spans="2:9">
      <c r="E50" s="23"/>
      <c r="F50" s="19"/>
      <c r="G50" s="24"/>
      <c r="H50" s="25"/>
      <c r="I50" s="26"/>
    </row>
    <row r="51" spans="2:9">
      <c r="E51" s="23"/>
      <c r="F51" s="19"/>
      <c r="G51" s="24"/>
      <c r="H51" s="25"/>
      <c r="I51" s="26"/>
    </row>
    <row r="52" spans="2:9">
      <c r="E52" s="23"/>
      <c r="F52" s="19"/>
      <c r="G52" s="24"/>
      <c r="H52" s="25"/>
      <c r="I52" s="26"/>
    </row>
    <row r="53" spans="2:9">
      <c r="B53" s="70"/>
      <c r="E53" s="23"/>
      <c r="F53" s="19"/>
      <c r="G53" s="24"/>
      <c r="H53" s="25"/>
      <c r="I53" s="26"/>
    </row>
    <row r="54" spans="2:9">
      <c r="B54" s="70"/>
      <c r="E54" s="23"/>
      <c r="F54" s="19"/>
      <c r="G54" s="24"/>
      <c r="H54" s="25"/>
      <c r="I54" s="26"/>
    </row>
    <row r="55" spans="2:9">
      <c r="B55" s="70"/>
      <c r="E55" s="23"/>
      <c r="F55" s="19"/>
      <c r="G55" s="24"/>
      <c r="H55" s="25"/>
      <c r="I55" s="26"/>
    </row>
    <row r="56" spans="2:9">
      <c r="E56" s="23"/>
      <c r="F56" s="19"/>
      <c r="G56" s="24"/>
      <c r="H56" s="25"/>
      <c r="I56" s="26"/>
    </row>
    <row r="57" spans="2:9">
      <c r="E57" s="23"/>
      <c r="F57" s="19"/>
      <c r="G57" s="24"/>
      <c r="H57" s="25"/>
      <c r="I57" s="26"/>
    </row>
    <row r="58" spans="2:9">
      <c r="E58" s="23"/>
      <c r="F58" s="19"/>
      <c r="G58" s="24"/>
      <c r="H58" s="25"/>
      <c r="I58" s="26"/>
    </row>
    <row r="59" spans="2:9">
      <c r="B59" s="70"/>
      <c r="E59" s="23"/>
      <c r="F59" s="19"/>
      <c r="G59" s="24"/>
      <c r="H59" s="25"/>
      <c r="I59" s="26"/>
    </row>
    <row r="60" spans="2:9">
      <c r="E60" s="23"/>
      <c r="F60" s="19"/>
      <c r="G60" s="24"/>
      <c r="H60" s="25"/>
      <c r="I60" s="26"/>
    </row>
    <row r="61" spans="2:9">
      <c r="E61" s="23"/>
      <c r="F61" s="19"/>
      <c r="G61" s="24"/>
      <c r="H61" s="25"/>
      <c r="I61" s="26"/>
    </row>
    <row r="62" spans="2:9">
      <c r="E62" s="23"/>
      <c r="F62" s="19"/>
      <c r="G62" s="24"/>
      <c r="H62" s="25"/>
      <c r="I62" s="26"/>
    </row>
    <row r="63" spans="2:9">
      <c r="E63" s="23"/>
      <c r="F63" s="19"/>
      <c r="G63" s="24"/>
      <c r="H63" s="25"/>
      <c r="I63" s="26"/>
    </row>
    <row r="64" spans="2:9">
      <c r="E64" s="23"/>
      <c r="F64" s="19"/>
      <c r="G64" s="24"/>
      <c r="H64" s="25"/>
      <c r="I64" s="26"/>
    </row>
    <row r="65" spans="2:9">
      <c r="E65" s="23"/>
      <c r="F65" s="19"/>
      <c r="G65" s="24"/>
      <c r="H65" s="25"/>
      <c r="I65" s="26"/>
    </row>
    <row r="66" spans="2:9">
      <c r="B66" s="71"/>
      <c r="E66" s="23"/>
      <c r="F66" s="19"/>
      <c r="G66" s="24"/>
      <c r="H66" s="25"/>
      <c r="I66" s="26"/>
    </row>
    <row r="67" spans="2:9">
      <c r="E67" s="23"/>
      <c r="F67" s="19"/>
      <c r="G67" s="24"/>
      <c r="H67" s="25"/>
      <c r="I67" s="26"/>
    </row>
    <row r="68" spans="2:9">
      <c r="E68" s="23"/>
      <c r="F68" s="19"/>
      <c r="G68" s="24"/>
      <c r="H68" s="25"/>
      <c r="I68" s="26"/>
    </row>
    <row r="69" spans="2:9">
      <c r="E69" s="23"/>
      <c r="F69" s="19"/>
      <c r="G69" s="24"/>
      <c r="H69" s="25"/>
      <c r="I69" s="26"/>
    </row>
    <row r="70" spans="2:9">
      <c r="E70" s="23"/>
      <c r="F70" s="19"/>
      <c r="G70" s="24"/>
      <c r="H70" s="25"/>
      <c r="I70" s="26"/>
    </row>
    <row r="71" spans="2:9">
      <c r="E71" s="23"/>
      <c r="F71" s="19"/>
      <c r="G71" s="24"/>
      <c r="H71" s="25"/>
      <c r="I71" s="26"/>
    </row>
    <row r="72" spans="2:9">
      <c r="E72" s="23"/>
      <c r="F72" s="19"/>
      <c r="G72" s="24"/>
      <c r="H72" s="25"/>
      <c r="I72" s="26"/>
    </row>
  </sheetData>
  <sheetProtection algorithmName="SHA-512" hashValue="7C7N41LJ0Hzlg+iWYXeaRXLC5jVu9dwhEjn8VZdhoLvLmfbhR3LFbV6eqMCrK08Rswp8/5xVHVBKYU3Dpf3+Hw==" saltValue="cO/s3y6H+wNsgJtJGNVvGA==" spinCount="100000" sheet="1" objects="1" scenarios="1"/>
  <mergeCells count="31">
    <mergeCell ref="A21:B21"/>
    <mergeCell ref="A22:B22"/>
    <mergeCell ref="C22:D22"/>
    <mergeCell ref="C11:D11"/>
    <mergeCell ref="C10:D10"/>
    <mergeCell ref="C12:D12"/>
    <mergeCell ref="C13:D13"/>
    <mergeCell ref="C15:D15"/>
    <mergeCell ref="C14:D14"/>
    <mergeCell ref="A18:B18"/>
    <mergeCell ref="C18:D18"/>
    <mergeCell ref="A19:B19"/>
    <mergeCell ref="A20:B20"/>
    <mergeCell ref="C20:D20"/>
    <mergeCell ref="C16:D16"/>
    <mergeCell ref="C17:D17"/>
    <mergeCell ref="A10:B10"/>
    <mergeCell ref="A7:B9"/>
    <mergeCell ref="A1:J1"/>
    <mergeCell ref="B2:C2"/>
    <mergeCell ref="A3:J3"/>
    <mergeCell ref="B5:G5"/>
    <mergeCell ref="I6:J6"/>
    <mergeCell ref="E7:I7"/>
    <mergeCell ref="J7:J9"/>
    <mergeCell ref="E8:E9"/>
    <mergeCell ref="F8:F9"/>
    <mergeCell ref="G8:G9"/>
    <mergeCell ref="H8:H9"/>
    <mergeCell ref="I8:I9"/>
    <mergeCell ref="C7:D9"/>
  </mergeCells>
  <phoneticPr fontId="45" type="noConversion"/>
  <printOptions horizontalCentered="1"/>
  <pageMargins left="0.19685039370078741" right="0.19685039370078741" top="0.59055118110236227" bottom="0.19685039370078741" header="0.31496062992125984" footer="0.31496062992125984"/>
  <pageSetup paperSize="9" scale="77" fitToHeight="0" orientation="landscape" horizontalDpi="1200" verticalDpi="12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view="pageBreakPreview" topLeftCell="A30" zoomScale="90" zoomScaleNormal="100" zoomScaleSheetLayoutView="90" workbookViewId="0">
      <selection activeCell="D43" sqref="D43"/>
    </sheetView>
  </sheetViews>
  <sheetFormatPr defaultColWidth="9.109375" defaultRowHeight="14.4"/>
  <cols>
    <col min="1" max="1" width="6.6640625" style="112" customWidth="1"/>
    <col min="2" max="2" width="12.5546875" style="113" customWidth="1"/>
    <col min="3" max="3" width="64.88671875" style="112" customWidth="1"/>
    <col min="4" max="11" width="10.6640625" style="112" customWidth="1"/>
    <col min="12" max="12" width="12.33203125" style="112" customWidth="1"/>
    <col min="13" max="13" width="12.5546875" style="112" customWidth="1"/>
    <col min="14" max="16384" width="9.109375" style="112"/>
  </cols>
  <sheetData>
    <row r="1" spans="1:13" ht="16.2">
      <c r="A1" s="684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ht="16.2">
      <c r="A2" s="685" t="s">
        <v>1</v>
      </c>
      <c r="B2" s="685"/>
      <c r="C2" s="685"/>
      <c r="D2" s="685"/>
      <c r="E2" s="685"/>
      <c r="F2" s="685"/>
      <c r="G2" s="102" t="str">
        <f>B!B11</f>
        <v>B-1</v>
      </c>
      <c r="H2" s="102"/>
      <c r="I2" s="102"/>
      <c r="J2" s="102"/>
      <c r="K2" s="102"/>
      <c r="L2" s="102"/>
      <c r="M2" s="102"/>
    </row>
    <row r="3" spans="1:13">
      <c r="A3" s="686" t="str">
        <f>B!C11</f>
        <v>მიწის სამუშაოები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3" ht="32.25" customHeight="1">
      <c r="A5" s="604"/>
      <c r="B5" s="688">
        <f>gan.barat!B34</f>
        <v>0</v>
      </c>
      <c r="C5" s="688"/>
      <c r="D5" s="688"/>
      <c r="E5" s="688"/>
      <c r="F5" s="688"/>
      <c r="G5" s="688"/>
      <c r="H5" s="604"/>
      <c r="I5" s="604"/>
      <c r="J5" s="604"/>
      <c r="K5" s="604"/>
      <c r="L5" s="604"/>
      <c r="M5" s="604"/>
    </row>
    <row r="6" spans="1:13">
      <c r="A6" s="35"/>
      <c r="B6" s="114"/>
      <c r="C6" s="683"/>
      <c r="D6" s="683"/>
      <c r="E6" s="683"/>
      <c r="F6" s="683"/>
      <c r="G6" s="683"/>
      <c r="H6" s="683"/>
      <c r="I6" s="683"/>
      <c r="J6" s="683"/>
      <c r="K6" s="683"/>
      <c r="L6" s="115"/>
      <c r="M6" s="115"/>
    </row>
    <row r="7" spans="1:13">
      <c r="A7" s="680" t="s">
        <v>9</v>
      </c>
      <c r="B7" s="682" t="s">
        <v>10</v>
      </c>
      <c r="C7" s="680" t="s">
        <v>11</v>
      </c>
      <c r="D7" s="680" t="s">
        <v>12</v>
      </c>
      <c r="E7" s="680" t="s">
        <v>13</v>
      </c>
      <c r="F7" s="680" t="s">
        <v>14</v>
      </c>
      <c r="G7" s="679" t="s">
        <v>15</v>
      </c>
      <c r="H7" s="679"/>
      <c r="I7" s="679" t="s">
        <v>16</v>
      </c>
      <c r="J7" s="679"/>
      <c r="K7" s="680" t="s">
        <v>17</v>
      </c>
      <c r="L7" s="681"/>
      <c r="M7" s="36" t="s">
        <v>0</v>
      </c>
    </row>
    <row r="8" spans="1:13">
      <c r="A8" s="680"/>
      <c r="B8" s="682"/>
      <c r="C8" s="680"/>
      <c r="D8" s="680"/>
      <c r="E8" s="680"/>
      <c r="F8" s="680"/>
      <c r="G8" s="602" t="s">
        <v>18</v>
      </c>
      <c r="H8" s="37" t="s">
        <v>2</v>
      </c>
      <c r="I8" s="602" t="s">
        <v>18</v>
      </c>
      <c r="J8" s="37" t="s">
        <v>2</v>
      </c>
      <c r="K8" s="602" t="s">
        <v>18</v>
      </c>
      <c r="L8" s="38" t="s">
        <v>2</v>
      </c>
      <c r="M8" s="39" t="s">
        <v>19</v>
      </c>
    </row>
    <row r="9" spans="1:13">
      <c r="A9" s="603">
        <v>1</v>
      </c>
      <c r="B9" s="40">
        <v>2</v>
      </c>
      <c r="C9" s="603">
        <v>3</v>
      </c>
      <c r="D9" s="603">
        <v>4</v>
      </c>
      <c r="E9" s="603">
        <v>5</v>
      </c>
      <c r="F9" s="603">
        <v>6</v>
      </c>
      <c r="G9" s="603">
        <v>7</v>
      </c>
      <c r="H9" s="603">
        <v>8</v>
      </c>
      <c r="I9" s="603">
        <v>9</v>
      </c>
      <c r="J9" s="603">
        <v>10</v>
      </c>
      <c r="K9" s="603">
        <v>11</v>
      </c>
      <c r="L9" s="603">
        <v>12</v>
      </c>
      <c r="M9" s="603">
        <v>13</v>
      </c>
    </row>
    <row r="10" spans="1:13" ht="27.6">
      <c r="A10" s="122" t="s">
        <v>44</v>
      </c>
      <c r="B10" s="123" t="s">
        <v>112</v>
      </c>
      <c r="C10" s="124" t="s">
        <v>118</v>
      </c>
      <c r="D10" s="125" t="s">
        <v>25</v>
      </c>
      <c r="E10" s="125"/>
      <c r="F10" s="126">
        <f>((0.94*'B-2'!F10)*0.3)</f>
        <v>1252.0799999999997</v>
      </c>
      <c r="G10" s="776"/>
      <c r="H10" s="777"/>
      <c r="I10" s="776"/>
      <c r="J10" s="778"/>
      <c r="K10" s="776"/>
      <c r="L10" s="777"/>
      <c r="M10" s="779">
        <f>SUM(M11:M12)</f>
        <v>0</v>
      </c>
    </row>
    <row r="11" spans="1:13" ht="15">
      <c r="A11" s="130"/>
      <c r="B11" s="131"/>
      <c r="C11" s="132" t="s">
        <v>24</v>
      </c>
      <c r="D11" s="127" t="s">
        <v>40</v>
      </c>
      <c r="E11" s="133">
        <f>16.5/1000</f>
        <v>1.6500000000000001E-2</v>
      </c>
      <c r="F11" s="129">
        <f>F10*E11</f>
        <v>20.659319999999997</v>
      </c>
      <c r="G11" s="780"/>
      <c r="H11" s="778"/>
      <c r="I11" s="781">
        <v>0</v>
      </c>
      <c r="J11" s="778">
        <f>F11*I11</f>
        <v>0</v>
      </c>
      <c r="K11" s="780"/>
      <c r="L11" s="778"/>
      <c r="M11" s="778">
        <f>L11+J11+H11</f>
        <v>0</v>
      </c>
    </row>
    <row r="12" spans="1:13" ht="15">
      <c r="A12" s="130"/>
      <c r="B12" s="149" t="s">
        <v>136</v>
      </c>
      <c r="C12" s="132" t="s">
        <v>33</v>
      </c>
      <c r="D12" s="127" t="s">
        <v>41</v>
      </c>
      <c r="E12" s="133">
        <f>37/1000</f>
        <v>3.6999999999999998E-2</v>
      </c>
      <c r="F12" s="128">
        <f>F10*E12</f>
        <v>46.326959999999985</v>
      </c>
      <c r="G12" s="782"/>
      <c r="H12" s="782"/>
      <c r="I12" s="782"/>
      <c r="J12" s="782"/>
      <c r="K12" s="783">
        <v>0</v>
      </c>
      <c r="L12" s="784">
        <f>K12*F12</f>
        <v>0</v>
      </c>
      <c r="M12" s="778">
        <f>L12+J12+H12</f>
        <v>0</v>
      </c>
    </row>
    <row r="13" spans="1:13" ht="15">
      <c r="A13" s="122" t="s">
        <v>45</v>
      </c>
      <c r="B13" s="123" t="s">
        <v>23</v>
      </c>
      <c r="C13" s="124" t="s">
        <v>119</v>
      </c>
      <c r="D13" s="125" t="s">
        <v>25</v>
      </c>
      <c r="E13" s="125"/>
      <c r="F13" s="126">
        <f>F10*3%</f>
        <v>37.56239999999999</v>
      </c>
      <c r="G13" s="776"/>
      <c r="H13" s="777"/>
      <c r="I13" s="776"/>
      <c r="J13" s="778"/>
      <c r="K13" s="776"/>
      <c r="L13" s="777"/>
      <c r="M13" s="779">
        <f>SUM(M14)</f>
        <v>0</v>
      </c>
    </row>
    <row r="14" spans="1:13" ht="15">
      <c r="A14" s="122"/>
      <c r="B14" s="123"/>
      <c r="C14" s="132" t="s">
        <v>24</v>
      </c>
      <c r="D14" s="127" t="s">
        <v>40</v>
      </c>
      <c r="E14" s="127">
        <f>206/100</f>
        <v>2.06</v>
      </c>
      <c r="F14" s="134">
        <f>F13*E14</f>
        <v>77.378543999999977</v>
      </c>
      <c r="G14" s="776"/>
      <c r="H14" s="777"/>
      <c r="I14" s="781">
        <v>0</v>
      </c>
      <c r="J14" s="778">
        <f>I14*F14</f>
        <v>0</v>
      </c>
      <c r="K14" s="776"/>
      <c r="L14" s="777"/>
      <c r="M14" s="785">
        <f>L14+J14+H14</f>
        <v>0</v>
      </c>
    </row>
    <row r="15" spans="1:13" ht="27.6">
      <c r="A15" s="122" t="s">
        <v>46</v>
      </c>
      <c r="B15" s="123" t="s">
        <v>52</v>
      </c>
      <c r="C15" s="124" t="s">
        <v>32</v>
      </c>
      <c r="D15" s="125" t="s">
        <v>25</v>
      </c>
      <c r="E15" s="125"/>
      <c r="F15" s="126">
        <f>((0.94*'B-2'!F10))*0.7</f>
        <v>2921.5199999999995</v>
      </c>
      <c r="G15" s="776"/>
      <c r="H15" s="777"/>
      <c r="I15" s="776"/>
      <c r="J15" s="778"/>
      <c r="K15" s="776"/>
      <c r="L15" s="777"/>
      <c r="M15" s="779">
        <f>SUM(M16:M17)</f>
        <v>0</v>
      </c>
    </row>
    <row r="16" spans="1:13" ht="15">
      <c r="A16" s="122"/>
      <c r="B16" s="123"/>
      <c r="C16" s="132" t="s">
        <v>24</v>
      </c>
      <c r="D16" s="127" t="s">
        <v>40</v>
      </c>
      <c r="E16" s="127">
        <f>21.5/1000</f>
        <v>2.1499999999999998E-2</v>
      </c>
      <c r="F16" s="134">
        <f>F15*E16</f>
        <v>62.812679999999986</v>
      </c>
      <c r="G16" s="780"/>
      <c r="H16" s="778"/>
      <c r="I16" s="781">
        <v>0</v>
      </c>
      <c r="J16" s="778">
        <f>F16*I16</f>
        <v>0</v>
      </c>
      <c r="K16" s="780"/>
      <c r="L16" s="778"/>
      <c r="M16" s="778">
        <f>L16+J16+H16</f>
        <v>0</v>
      </c>
    </row>
    <row r="17" spans="1:13" ht="15">
      <c r="A17" s="122"/>
      <c r="B17" s="149" t="s">
        <v>136</v>
      </c>
      <c r="C17" s="132" t="s">
        <v>33</v>
      </c>
      <c r="D17" s="127" t="s">
        <v>41</v>
      </c>
      <c r="E17" s="127">
        <f>48.2/1000</f>
        <v>4.82E-2</v>
      </c>
      <c r="F17" s="134">
        <f>F15*E17</f>
        <v>140.81726399999997</v>
      </c>
      <c r="G17" s="782"/>
      <c r="H17" s="782"/>
      <c r="I17" s="782"/>
      <c r="J17" s="782"/>
      <c r="K17" s="783">
        <v>0</v>
      </c>
      <c r="L17" s="784">
        <f>K17*F17</f>
        <v>0</v>
      </c>
      <c r="M17" s="778">
        <f>L17+J17+H17</f>
        <v>0</v>
      </c>
    </row>
    <row r="18" spans="1:13" ht="27.6">
      <c r="A18" s="122" t="s">
        <v>47</v>
      </c>
      <c r="B18" s="123" t="s">
        <v>50</v>
      </c>
      <c r="C18" s="124" t="s">
        <v>115</v>
      </c>
      <c r="D18" s="125" t="s">
        <v>25</v>
      </c>
      <c r="E18" s="125"/>
      <c r="F18" s="126">
        <f>F15*3%</f>
        <v>87.645599999999988</v>
      </c>
      <c r="G18" s="776"/>
      <c r="H18" s="777"/>
      <c r="I18" s="776"/>
      <c r="J18" s="778"/>
      <c r="K18" s="776"/>
      <c r="L18" s="777"/>
      <c r="M18" s="779">
        <f>SUM(M19)</f>
        <v>0</v>
      </c>
    </row>
    <row r="19" spans="1:13" ht="15">
      <c r="A19" s="122"/>
      <c r="B19" s="123"/>
      <c r="C19" s="132" t="s">
        <v>24</v>
      </c>
      <c r="D19" s="127" t="s">
        <v>40</v>
      </c>
      <c r="E19" s="127">
        <f>299/100</f>
        <v>2.99</v>
      </c>
      <c r="F19" s="134">
        <f>E19*F18</f>
        <v>262.06034399999999</v>
      </c>
      <c r="G19" s="776"/>
      <c r="H19" s="777"/>
      <c r="I19" s="781">
        <v>0</v>
      </c>
      <c r="J19" s="778">
        <f>I19*F19</f>
        <v>0</v>
      </c>
      <c r="K19" s="776"/>
      <c r="L19" s="777"/>
      <c r="M19" s="785">
        <f>L19+J19+H19</f>
        <v>0</v>
      </c>
    </row>
    <row r="20" spans="1:13" ht="15">
      <c r="A20" s="135" t="s">
        <v>90</v>
      </c>
      <c r="B20" s="136" t="s">
        <v>53</v>
      </c>
      <c r="C20" s="137" t="s">
        <v>35</v>
      </c>
      <c r="D20" s="125" t="s">
        <v>25</v>
      </c>
      <c r="E20" s="125"/>
      <c r="F20" s="126">
        <f>F10+F13+F15+F18-F28-F25</f>
        <v>125.2079999999994</v>
      </c>
      <c r="G20" s="786"/>
      <c r="H20" s="787"/>
      <c r="I20" s="786"/>
      <c r="J20" s="788"/>
      <c r="K20" s="786"/>
      <c r="L20" s="787"/>
      <c r="M20" s="779">
        <f>SUM(M21:M24)</f>
        <v>0</v>
      </c>
    </row>
    <row r="21" spans="1:13" ht="15">
      <c r="A21" s="135"/>
      <c r="B21" s="136"/>
      <c r="C21" s="138" t="s">
        <v>20</v>
      </c>
      <c r="D21" s="127" t="s">
        <v>40</v>
      </c>
      <c r="E21" s="127">
        <f>27/1000</f>
        <v>2.7E-2</v>
      </c>
      <c r="F21" s="134">
        <f>F20*E21</f>
        <v>3.3806159999999839</v>
      </c>
      <c r="G21" s="776"/>
      <c r="H21" s="777"/>
      <c r="I21" s="781">
        <v>0</v>
      </c>
      <c r="J21" s="778">
        <f>F21*I21</f>
        <v>0</v>
      </c>
      <c r="K21" s="776"/>
      <c r="L21" s="777"/>
      <c r="M21" s="778">
        <f t="shared" ref="M21:M29" si="0">L21+J21+H21</f>
        <v>0</v>
      </c>
    </row>
    <row r="22" spans="1:13" ht="15">
      <c r="A22" s="135"/>
      <c r="B22" s="149" t="s">
        <v>136</v>
      </c>
      <c r="C22" s="138" t="s">
        <v>36</v>
      </c>
      <c r="D22" s="127" t="s">
        <v>42</v>
      </c>
      <c r="E22" s="127">
        <f>60.5/1000</f>
        <v>6.0499999999999998E-2</v>
      </c>
      <c r="F22" s="134">
        <f>F20*E22</f>
        <v>7.575083999999964</v>
      </c>
      <c r="G22" s="776"/>
      <c r="H22" s="777"/>
      <c r="I22" s="776"/>
      <c r="J22" s="778"/>
      <c r="K22" s="783">
        <v>0</v>
      </c>
      <c r="L22" s="789">
        <f>K22*F22</f>
        <v>0</v>
      </c>
      <c r="M22" s="778">
        <f t="shared" si="0"/>
        <v>0</v>
      </c>
    </row>
    <row r="23" spans="1:13" ht="15">
      <c r="A23" s="135"/>
      <c r="B23" s="136"/>
      <c r="C23" s="138" t="s">
        <v>21</v>
      </c>
      <c r="D23" s="127" t="s">
        <v>7</v>
      </c>
      <c r="E23" s="127">
        <f>2.21/1000</f>
        <v>2.2100000000000002E-3</v>
      </c>
      <c r="F23" s="134">
        <f>F20*E23</f>
        <v>0.27670967999999868</v>
      </c>
      <c r="G23" s="776"/>
      <c r="H23" s="777"/>
      <c r="I23" s="776"/>
      <c r="J23" s="778"/>
      <c r="K23" s="776">
        <v>0</v>
      </c>
      <c r="L23" s="784">
        <f>K23*F23</f>
        <v>0</v>
      </c>
      <c r="M23" s="778">
        <f t="shared" si="0"/>
        <v>0</v>
      </c>
    </row>
    <row r="24" spans="1:13" ht="15">
      <c r="A24" s="135"/>
      <c r="B24" s="27" t="s">
        <v>131</v>
      </c>
      <c r="C24" s="138" t="s">
        <v>22</v>
      </c>
      <c r="D24" s="127" t="s">
        <v>25</v>
      </c>
      <c r="E24" s="127">
        <f>0.06/1000</f>
        <v>5.9999999999999995E-5</v>
      </c>
      <c r="F24" s="134">
        <f>F20*E24</f>
        <v>7.5124799999999638E-3</v>
      </c>
      <c r="G24" s="790">
        <v>0</v>
      </c>
      <c r="H24" s="777">
        <f>G24*F24</f>
        <v>0</v>
      </c>
      <c r="I24" s="776"/>
      <c r="J24" s="778"/>
      <c r="K24" s="776"/>
      <c r="L24" s="777"/>
      <c r="M24" s="778">
        <f t="shared" si="0"/>
        <v>0</v>
      </c>
    </row>
    <row r="25" spans="1:13" ht="24">
      <c r="A25" s="140" t="s">
        <v>91</v>
      </c>
      <c r="B25" s="49" t="s">
        <v>54</v>
      </c>
      <c r="C25" s="141" t="s">
        <v>157</v>
      </c>
      <c r="D25" s="142" t="s">
        <v>25</v>
      </c>
      <c r="E25" s="142"/>
      <c r="F25" s="143">
        <f>0.37*'B-2'!F10</f>
        <v>1642.8</v>
      </c>
      <c r="G25" s="791"/>
      <c r="H25" s="792"/>
      <c r="I25" s="791"/>
      <c r="J25" s="793"/>
      <c r="K25" s="791"/>
      <c r="L25" s="792"/>
      <c r="M25" s="794">
        <f>M26+M27</f>
        <v>0</v>
      </c>
    </row>
    <row r="26" spans="1:13">
      <c r="A26" s="140"/>
      <c r="B26" s="49"/>
      <c r="C26" s="144" t="s">
        <v>24</v>
      </c>
      <c r="D26" s="145" t="s">
        <v>40</v>
      </c>
      <c r="E26" s="145">
        <f>18/10</f>
        <v>1.8</v>
      </c>
      <c r="F26" s="146">
        <f>F25*E26</f>
        <v>2957.04</v>
      </c>
      <c r="G26" s="795"/>
      <c r="H26" s="783"/>
      <c r="I26" s="796">
        <v>0</v>
      </c>
      <c r="J26" s="796">
        <f>F26*I26</f>
        <v>0</v>
      </c>
      <c r="K26" s="795"/>
      <c r="L26" s="783"/>
      <c r="M26" s="796">
        <f>L26+J26+H26</f>
        <v>0</v>
      </c>
    </row>
    <row r="27" spans="1:13" ht="15">
      <c r="A27" s="140"/>
      <c r="B27" s="86" t="s">
        <v>158</v>
      </c>
      <c r="C27" s="144" t="s">
        <v>159</v>
      </c>
      <c r="D27" s="145" t="s">
        <v>25</v>
      </c>
      <c r="E27" s="145">
        <f>11/10</f>
        <v>1.1000000000000001</v>
      </c>
      <c r="F27" s="146">
        <f>F25*E27</f>
        <v>1807.0800000000002</v>
      </c>
      <c r="G27" s="797">
        <v>0</v>
      </c>
      <c r="H27" s="783">
        <f>G27*F27</f>
        <v>0</v>
      </c>
      <c r="I27" s="795"/>
      <c r="J27" s="796"/>
      <c r="K27" s="795"/>
      <c r="L27" s="783"/>
      <c r="M27" s="796">
        <f>L27+J27+H27</f>
        <v>0</v>
      </c>
    </row>
    <row r="28" spans="1:13" ht="27.6">
      <c r="A28" s="135" t="s">
        <v>55</v>
      </c>
      <c r="B28" s="136" t="s">
        <v>8</v>
      </c>
      <c r="C28" s="137" t="s">
        <v>37</v>
      </c>
      <c r="D28" s="125" t="s">
        <v>25</v>
      </c>
      <c r="E28" s="125"/>
      <c r="F28" s="126">
        <f>((0.57*'B-2'!F10))</f>
        <v>2530.7999999999997</v>
      </c>
      <c r="G28" s="786"/>
      <c r="H28" s="787"/>
      <c r="I28" s="786"/>
      <c r="J28" s="788"/>
      <c r="K28" s="786"/>
      <c r="L28" s="787"/>
      <c r="M28" s="779">
        <f>SUM(M29)</f>
        <v>0</v>
      </c>
    </row>
    <row r="29" spans="1:13" ht="15">
      <c r="A29" s="135"/>
      <c r="B29" s="176" t="s">
        <v>89</v>
      </c>
      <c r="C29" s="138" t="s">
        <v>38</v>
      </c>
      <c r="D29" s="127" t="s">
        <v>42</v>
      </c>
      <c r="E29" s="127">
        <f>9.21/1000</f>
        <v>9.2100000000000012E-3</v>
      </c>
      <c r="F29" s="134">
        <f>F28*E29</f>
        <v>23.308668000000001</v>
      </c>
      <c r="G29" s="776"/>
      <c r="H29" s="777"/>
      <c r="I29" s="776"/>
      <c r="J29" s="778"/>
      <c r="K29" s="795">
        <v>0</v>
      </c>
      <c r="L29" s="784">
        <f>K29*F29</f>
        <v>0</v>
      </c>
      <c r="M29" s="778">
        <f t="shared" si="0"/>
        <v>0</v>
      </c>
    </row>
    <row r="30" spans="1:13" ht="15">
      <c r="A30" s="135" t="s">
        <v>48</v>
      </c>
      <c r="B30" s="136" t="s">
        <v>57</v>
      </c>
      <c r="C30" s="137" t="s">
        <v>39</v>
      </c>
      <c r="D30" s="125" t="s">
        <v>25</v>
      </c>
      <c r="E30" s="125"/>
      <c r="F30" s="126">
        <f>F28</f>
        <v>2530.7999999999997</v>
      </c>
      <c r="G30" s="786"/>
      <c r="H30" s="787"/>
      <c r="I30" s="786"/>
      <c r="J30" s="788"/>
      <c r="K30" s="786"/>
      <c r="L30" s="787"/>
      <c r="M30" s="779">
        <f>SUM(M31:M32)</f>
        <v>0</v>
      </c>
    </row>
    <row r="31" spans="1:13" ht="15">
      <c r="A31" s="135"/>
      <c r="B31" s="103"/>
      <c r="C31" s="101" t="s">
        <v>24</v>
      </c>
      <c r="D31" s="80" t="s">
        <v>40</v>
      </c>
      <c r="E31" s="80">
        <v>0.13400000000000001</v>
      </c>
      <c r="F31" s="81">
        <f>F30*E31</f>
        <v>339.12719999999996</v>
      </c>
      <c r="G31" s="797"/>
      <c r="H31" s="798"/>
      <c r="I31" s="781">
        <v>0</v>
      </c>
      <c r="J31" s="799">
        <f>I31*F31</f>
        <v>0</v>
      </c>
      <c r="K31" s="797"/>
      <c r="L31" s="798"/>
      <c r="M31" s="799">
        <f t="shared" ref="M31:M32" si="1">L31+J31+H31</f>
        <v>0</v>
      </c>
    </row>
    <row r="32" spans="1:13" ht="27.6">
      <c r="A32" s="135"/>
      <c r="B32" s="103" t="s">
        <v>137</v>
      </c>
      <c r="C32" s="101" t="s">
        <v>99</v>
      </c>
      <c r="D32" s="80" t="s">
        <v>43</v>
      </c>
      <c r="E32" s="80">
        <v>0.13</v>
      </c>
      <c r="F32" s="81">
        <f>F30*E32</f>
        <v>329.00399999999996</v>
      </c>
      <c r="G32" s="797"/>
      <c r="H32" s="798"/>
      <c r="I32" s="797"/>
      <c r="J32" s="799"/>
      <c r="K32" s="797">
        <v>0</v>
      </c>
      <c r="L32" s="800">
        <f>K32*F32</f>
        <v>0</v>
      </c>
      <c r="M32" s="799">
        <f t="shared" si="1"/>
        <v>0</v>
      </c>
    </row>
    <row r="33" spans="1:13" ht="15">
      <c r="A33" s="135" t="s">
        <v>49</v>
      </c>
      <c r="B33" s="136"/>
      <c r="C33" s="137" t="s">
        <v>56</v>
      </c>
      <c r="D33" s="125" t="s">
        <v>26</v>
      </c>
      <c r="E33" s="125"/>
      <c r="F33" s="126">
        <f>F20*1.9</f>
        <v>237.89519999999885</v>
      </c>
      <c r="G33" s="786"/>
      <c r="H33" s="787"/>
      <c r="I33" s="786"/>
      <c r="J33" s="788"/>
      <c r="K33" s="786"/>
      <c r="L33" s="787"/>
      <c r="M33" s="788">
        <f>SUM(M34)</f>
        <v>0</v>
      </c>
    </row>
    <row r="34" spans="1:13" ht="15">
      <c r="A34" s="139"/>
      <c r="B34" s="176" t="s">
        <v>83</v>
      </c>
      <c r="C34" s="138" t="s">
        <v>56</v>
      </c>
      <c r="D34" s="127" t="s">
        <v>26</v>
      </c>
      <c r="E34" s="127">
        <v>1</v>
      </c>
      <c r="F34" s="134">
        <f>F33*E34</f>
        <v>237.89519999999885</v>
      </c>
      <c r="G34" s="776"/>
      <c r="H34" s="777"/>
      <c r="I34" s="776"/>
      <c r="J34" s="778"/>
      <c r="K34" s="795">
        <v>0</v>
      </c>
      <c r="L34" s="777">
        <f>K34*F34</f>
        <v>0</v>
      </c>
      <c r="M34" s="778">
        <f>L34+J34+H34</f>
        <v>0</v>
      </c>
    </row>
    <row r="35" spans="1:13">
      <c r="A35" s="43"/>
      <c r="B35" s="44"/>
      <c r="C35" s="45" t="s">
        <v>2</v>
      </c>
      <c r="D35" s="760"/>
      <c r="E35" s="761"/>
      <c r="F35" s="762"/>
      <c r="G35" s="762"/>
      <c r="H35" s="763">
        <f>SUM(H10:H34)</f>
        <v>0</v>
      </c>
      <c r="I35" s="763"/>
      <c r="J35" s="763">
        <f>SUM(J10:J34)</f>
        <v>0</v>
      </c>
      <c r="K35" s="763"/>
      <c r="L35" s="763">
        <f>SUM(L10:L34)</f>
        <v>0</v>
      </c>
      <c r="M35" s="763">
        <f>SUM(M10:M34)/2</f>
        <v>0</v>
      </c>
    </row>
    <row r="36" spans="1:13">
      <c r="A36" s="107"/>
      <c r="B36" s="47"/>
      <c r="C36" s="108" t="s">
        <v>27</v>
      </c>
      <c r="D36" s="764">
        <v>0</v>
      </c>
      <c r="E36" s="765"/>
      <c r="F36" s="766"/>
      <c r="G36" s="766"/>
      <c r="H36" s="767"/>
      <c r="I36" s="766"/>
      <c r="J36" s="767"/>
      <c r="K36" s="766"/>
      <c r="L36" s="767"/>
      <c r="M36" s="767">
        <f>H35*D36</f>
        <v>0</v>
      </c>
    </row>
    <row r="37" spans="1:13">
      <c r="A37" s="107"/>
      <c r="B37" s="42"/>
      <c r="C37" s="48" t="s">
        <v>2</v>
      </c>
      <c r="D37" s="768"/>
      <c r="E37" s="769"/>
      <c r="F37" s="770"/>
      <c r="G37" s="770"/>
      <c r="H37" s="771"/>
      <c r="I37" s="772"/>
      <c r="J37" s="771"/>
      <c r="K37" s="772"/>
      <c r="L37" s="771"/>
      <c r="M37" s="771">
        <f>M35+M36</f>
        <v>0</v>
      </c>
    </row>
    <row r="38" spans="1:13">
      <c r="A38" s="107"/>
      <c r="B38" s="42"/>
      <c r="C38" s="109" t="s">
        <v>28</v>
      </c>
      <c r="D38" s="773">
        <v>0</v>
      </c>
      <c r="E38" s="765"/>
      <c r="F38" s="766"/>
      <c r="G38" s="766"/>
      <c r="H38" s="774"/>
      <c r="I38" s="774"/>
      <c r="J38" s="774"/>
      <c r="K38" s="774"/>
      <c r="L38" s="774"/>
      <c r="M38" s="767">
        <f>M37*D38</f>
        <v>0</v>
      </c>
    </row>
    <row r="39" spans="1:13">
      <c r="A39" s="107"/>
      <c r="B39" s="42"/>
      <c r="C39" s="48" t="s">
        <v>2</v>
      </c>
      <c r="D39" s="768"/>
      <c r="E39" s="769"/>
      <c r="F39" s="770"/>
      <c r="G39" s="770"/>
      <c r="H39" s="772"/>
      <c r="I39" s="772"/>
      <c r="J39" s="772"/>
      <c r="K39" s="772"/>
      <c r="L39" s="772"/>
      <c r="M39" s="771">
        <f>M37+M38</f>
        <v>0</v>
      </c>
    </row>
    <row r="40" spans="1:13">
      <c r="A40" s="107"/>
      <c r="B40" s="42"/>
      <c r="C40" s="109" t="s">
        <v>29</v>
      </c>
      <c r="D40" s="764">
        <v>0</v>
      </c>
      <c r="E40" s="765"/>
      <c r="F40" s="766"/>
      <c r="G40" s="766"/>
      <c r="H40" s="774"/>
      <c r="I40" s="774"/>
      <c r="J40" s="774"/>
      <c r="K40" s="774"/>
      <c r="L40" s="774"/>
      <c r="M40" s="767">
        <f>M39*D40</f>
        <v>0</v>
      </c>
    </row>
    <row r="41" spans="1:13">
      <c r="A41" s="107"/>
      <c r="B41" s="42"/>
      <c r="C41" s="48" t="s">
        <v>30</v>
      </c>
      <c r="D41" s="770"/>
      <c r="E41" s="769"/>
      <c r="F41" s="770"/>
      <c r="G41" s="770"/>
      <c r="H41" s="772"/>
      <c r="I41" s="772"/>
      <c r="J41" s="772"/>
      <c r="K41" s="772"/>
      <c r="L41" s="772"/>
      <c r="M41" s="771">
        <f>M39+M40</f>
        <v>0</v>
      </c>
    </row>
    <row r="42" spans="1:13">
      <c r="A42" s="113"/>
      <c r="B42" s="112"/>
      <c r="D42" s="775"/>
      <c r="E42" s="775"/>
      <c r="F42" s="775"/>
      <c r="G42" s="775"/>
      <c r="H42" s="775"/>
      <c r="I42" s="775"/>
      <c r="J42" s="775"/>
      <c r="K42" s="775"/>
      <c r="L42" s="775"/>
      <c r="M42" s="775"/>
    </row>
    <row r="43" spans="1:13">
      <c r="A43" s="113"/>
      <c r="B43" s="112"/>
      <c r="D43" s="775"/>
      <c r="E43" s="775"/>
      <c r="F43" s="775"/>
      <c r="G43" s="775"/>
      <c r="H43" s="775"/>
      <c r="I43" s="775"/>
      <c r="J43" s="775"/>
      <c r="K43" s="775"/>
      <c r="L43" s="775"/>
      <c r="M43" s="775"/>
    </row>
    <row r="44" spans="1:13">
      <c r="A44" s="113"/>
      <c r="B44" s="112"/>
      <c r="D44" s="775"/>
      <c r="E44" s="775"/>
      <c r="F44" s="775"/>
      <c r="G44" s="775"/>
      <c r="H44" s="775"/>
      <c r="I44" s="775"/>
      <c r="J44" s="775"/>
      <c r="K44" s="775"/>
      <c r="L44" s="775"/>
      <c r="M44" s="775"/>
    </row>
    <row r="45" spans="1:13">
      <c r="A45" s="113"/>
      <c r="B45" s="112"/>
      <c r="D45" s="775"/>
      <c r="E45" s="775"/>
      <c r="F45" s="775"/>
      <c r="G45" s="775"/>
      <c r="H45" s="775"/>
      <c r="I45" s="775"/>
      <c r="J45" s="775"/>
      <c r="K45" s="775"/>
      <c r="L45" s="775"/>
      <c r="M45" s="775"/>
    </row>
  </sheetData>
  <sheetProtection algorithmName="SHA-512" hashValue="rJ6soo/yq56f7ICdile4nrNAMDvJwX1qHFBZqrxJR6fes76O2sQVnUdSA0YRkT2P+ywlLcfpO9LkqVnp5xz4fA==" saltValue="2RLRfKDmLdmKzulq43U/4A==" spinCount="100000" sheet="1" objects="1" scenarios="1"/>
  <mergeCells count="15">
    <mergeCell ref="C6:K6"/>
    <mergeCell ref="A1:M1"/>
    <mergeCell ref="A2:F2"/>
    <mergeCell ref="A3:M3"/>
    <mergeCell ref="A4:M4"/>
    <mergeCell ref="B5:G5"/>
    <mergeCell ref="G7:H7"/>
    <mergeCell ref="I7:J7"/>
    <mergeCell ref="K7:L7"/>
    <mergeCell ref="A7:A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6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view="pageBreakPreview" topLeftCell="A8" zoomScale="90" zoomScaleNormal="100" zoomScaleSheetLayoutView="90" workbookViewId="0">
      <selection activeCell="D28" sqref="D28"/>
    </sheetView>
  </sheetViews>
  <sheetFormatPr defaultColWidth="9.109375" defaultRowHeight="14.4"/>
  <cols>
    <col min="1" max="1" width="6.6640625" style="112" customWidth="1"/>
    <col min="2" max="2" width="12.5546875" style="113" customWidth="1"/>
    <col min="3" max="3" width="64.88671875" style="112" customWidth="1"/>
    <col min="4" max="7" width="10.6640625" style="112" customWidth="1"/>
    <col min="8" max="8" width="12.109375" style="112" customWidth="1"/>
    <col min="9" max="12" width="10.6640625" style="112" customWidth="1"/>
    <col min="13" max="13" width="12.5546875" style="112" customWidth="1"/>
    <col min="14" max="16384" width="9.109375" style="112"/>
  </cols>
  <sheetData>
    <row r="1" spans="1:13" ht="16.2">
      <c r="A1" s="684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ht="16.2">
      <c r="A2" s="685" t="s">
        <v>1</v>
      </c>
      <c r="B2" s="685"/>
      <c r="C2" s="685"/>
      <c r="D2" s="685"/>
      <c r="E2" s="685"/>
      <c r="F2" s="685"/>
      <c r="G2" s="102" t="str">
        <f>B!B12</f>
        <v>B-2</v>
      </c>
      <c r="H2" s="102"/>
      <c r="I2" s="102"/>
      <c r="J2" s="102"/>
      <c r="K2" s="102"/>
      <c r="L2" s="102"/>
      <c r="M2" s="102"/>
    </row>
    <row r="3" spans="1:13">
      <c r="A3" s="686" t="str">
        <f>B!C12</f>
        <v>მაგისტრალური მილსადენი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3" ht="32.25" customHeight="1">
      <c r="A5" s="172"/>
      <c r="B5" s="688">
        <f>gan.barat!B34</f>
        <v>0</v>
      </c>
      <c r="C5" s="688"/>
      <c r="D5" s="688"/>
      <c r="E5" s="688"/>
      <c r="F5" s="688"/>
      <c r="G5" s="688"/>
      <c r="H5" s="172"/>
      <c r="I5" s="172"/>
      <c r="J5" s="172"/>
      <c r="K5" s="172"/>
      <c r="L5" s="172"/>
      <c r="M5" s="172"/>
    </row>
    <row r="6" spans="1:13">
      <c r="A6" s="35"/>
      <c r="B6" s="114"/>
      <c r="C6" s="683"/>
      <c r="D6" s="683"/>
      <c r="E6" s="683"/>
      <c r="F6" s="683"/>
      <c r="G6" s="683"/>
      <c r="H6" s="683"/>
      <c r="I6" s="683"/>
      <c r="J6" s="683"/>
      <c r="K6" s="683"/>
      <c r="L6" s="115"/>
      <c r="M6" s="115"/>
    </row>
    <row r="7" spans="1:13">
      <c r="A7" s="680" t="s">
        <v>9</v>
      </c>
      <c r="B7" s="682" t="s">
        <v>10</v>
      </c>
      <c r="C7" s="680" t="s">
        <v>11</v>
      </c>
      <c r="D7" s="680" t="s">
        <v>12</v>
      </c>
      <c r="E7" s="680" t="s">
        <v>13</v>
      </c>
      <c r="F7" s="680" t="s">
        <v>14</v>
      </c>
      <c r="G7" s="679" t="s">
        <v>15</v>
      </c>
      <c r="H7" s="679"/>
      <c r="I7" s="679" t="s">
        <v>16</v>
      </c>
      <c r="J7" s="679"/>
      <c r="K7" s="680" t="s">
        <v>17</v>
      </c>
      <c r="L7" s="681"/>
      <c r="M7" s="36" t="s">
        <v>0</v>
      </c>
    </row>
    <row r="8" spans="1:13">
      <c r="A8" s="680"/>
      <c r="B8" s="682"/>
      <c r="C8" s="680"/>
      <c r="D8" s="680"/>
      <c r="E8" s="680"/>
      <c r="F8" s="680"/>
      <c r="G8" s="173" t="s">
        <v>18</v>
      </c>
      <c r="H8" s="37" t="s">
        <v>2</v>
      </c>
      <c r="I8" s="173" t="s">
        <v>18</v>
      </c>
      <c r="J8" s="37" t="s">
        <v>2</v>
      </c>
      <c r="K8" s="173" t="s">
        <v>18</v>
      </c>
      <c r="L8" s="38" t="s">
        <v>2</v>
      </c>
      <c r="M8" s="39" t="s">
        <v>19</v>
      </c>
    </row>
    <row r="9" spans="1:13">
      <c r="A9" s="174">
        <v>1</v>
      </c>
      <c r="B9" s="40">
        <v>2</v>
      </c>
      <c r="C9" s="174">
        <v>3</v>
      </c>
      <c r="D9" s="174">
        <v>4</v>
      </c>
      <c r="E9" s="174">
        <v>5</v>
      </c>
      <c r="F9" s="174">
        <v>6</v>
      </c>
      <c r="G9" s="174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</row>
    <row r="10" spans="1:13" ht="25.2">
      <c r="A10" s="140" t="s">
        <v>44</v>
      </c>
      <c r="B10" s="49" t="s">
        <v>155</v>
      </c>
      <c r="C10" s="150" t="s">
        <v>152</v>
      </c>
      <c r="D10" s="142" t="s">
        <v>62</v>
      </c>
      <c r="E10" s="142"/>
      <c r="F10" s="143">
        <v>4440</v>
      </c>
      <c r="G10" s="791"/>
      <c r="H10" s="792"/>
      <c r="I10" s="791"/>
      <c r="J10" s="793"/>
      <c r="K10" s="791"/>
      <c r="L10" s="792"/>
      <c r="M10" s="794">
        <f>M11+M12+M14+M15</f>
        <v>0</v>
      </c>
    </row>
    <row r="11" spans="1:13">
      <c r="A11" s="121"/>
      <c r="B11" s="27"/>
      <c r="C11" s="78" t="s">
        <v>58</v>
      </c>
      <c r="D11" s="76" t="s">
        <v>5</v>
      </c>
      <c r="E11" s="76">
        <f>(245/1000)*1.15</f>
        <v>0.28175</v>
      </c>
      <c r="F11" s="75">
        <f>E11*F10</f>
        <v>1250.97</v>
      </c>
      <c r="G11" s="796"/>
      <c r="H11" s="796"/>
      <c r="I11" s="796">
        <v>0</v>
      </c>
      <c r="J11" s="796">
        <f>I11*F11</f>
        <v>0</v>
      </c>
      <c r="K11" s="796"/>
      <c r="L11" s="796"/>
      <c r="M11" s="796">
        <f>L11+J11+H11</f>
        <v>0</v>
      </c>
    </row>
    <row r="12" spans="1:13">
      <c r="A12" s="121"/>
      <c r="B12" s="149"/>
      <c r="C12" s="78" t="s">
        <v>59</v>
      </c>
      <c r="D12" s="77" t="s">
        <v>7</v>
      </c>
      <c r="E12" s="76">
        <f>(109/1000)*1.15</f>
        <v>0.12534999999999999</v>
      </c>
      <c r="F12" s="74">
        <f>E12*F10</f>
        <v>556.55399999999997</v>
      </c>
      <c r="G12" s="783"/>
      <c r="H12" s="783"/>
      <c r="I12" s="783"/>
      <c r="J12" s="783"/>
      <c r="K12" s="783">
        <v>0</v>
      </c>
      <c r="L12" s="801">
        <f>K12*F12</f>
        <v>0</v>
      </c>
      <c r="M12" s="796">
        <f>L12+J12+H12</f>
        <v>0</v>
      </c>
    </row>
    <row r="13" spans="1:13">
      <c r="A13" s="140"/>
      <c r="B13" s="49"/>
      <c r="C13" s="77" t="s">
        <v>149</v>
      </c>
      <c r="D13" s="77"/>
      <c r="E13" s="145"/>
      <c r="F13" s="146"/>
      <c r="G13" s="795"/>
      <c r="H13" s="783"/>
      <c r="I13" s="795"/>
      <c r="J13" s="796"/>
      <c r="K13" s="795"/>
      <c r="L13" s="783"/>
      <c r="M13" s="802"/>
    </row>
    <row r="14" spans="1:13">
      <c r="A14" s="140"/>
      <c r="B14" s="185" t="s">
        <v>150</v>
      </c>
      <c r="C14" s="186" t="s">
        <v>153</v>
      </c>
      <c r="D14" s="77" t="s">
        <v>62</v>
      </c>
      <c r="E14" s="145">
        <f>1010/1000</f>
        <v>1.01</v>
      </c>
      <c r="F14" s="146">
        <f>E14*F10</f>
        <v>4484.3999999999996</v>
      </c>
      <c r="G14" s="795">
        <v>0</v>
      </c>
      <c r="H14" s="783">
        <f>F14*G14</f>
        <v>0</v>
      </c>
      <c r="I14" s="795"/>
      <c r="J14" s="796"/>
      <c r="K14" s="795"/>
      <c r="L14" s="783"/>
      <c r="M14" s="796">
        <f t="shared" ref="M14:M20" si="0">L14+J14+H14</f>
        <v>0</v>
      </c>
    </row>
    <row r="15" spans="1:13">
      <c r="A15" s="140"/>
      <c r="B15" s="49"/>
      <c r="C15" s="78" t="s">
        <v>60</v>
      </c>
      <c r="D15" s="77" t="s">
        <v>7</v>
      </c>
      <c r="E15" s="145">
        <f>(8.88/1000)*1.15</f>
        <v>1.0212000000000001E-2</v>
      </c>
      <c r="F15" s="146">
        <f>E15*F10</f>
        <v>45.341280000000005</v>
      </c>
      <c r="G15" s="795">
        <v>0</v>
      </c>
      <c r="H15" s="783">
        <f>G15*F15</f>
        <v>0</v>
      </c>
      <c r="I15" s="795"/>
      <c r="J15" s="796"/>
      <c r="K15" s="795"/>
      <c r="L15" s="783"/>
      <c r="M15" s="796">
        <f t="shared" si="0"/>
        <v>0</v>
      </c>
    </row>
    <row r="16" spans="1:13" ht="24">
      <c r="A16" s="140" t="s">
        <v>45</v>
      </c>
      <c r="B16" s="49" t="s">
        <v>156</v>
      </c>
      <c r="C16" s="187" t="s">
        <v>154</v>
      </c>
      <c r="D16" s="188" t="s">
        <v>62</v>
      </c>
      <c r="E16" s="142"/>
      <c r="F16" s="143">
        <f>F10</f>
        <v>4440</v>
      </c>
      <c r="G16" s="791"/>
      <c r="H16" s="792"/>
      <c r="I16" s="791"/>
      <c r="J16" s="793"/>
      <c r="K16" s="791"/>
      <c r="L16" s="792"/>
      <c r="M16" s="794">
        <f>M17+M19+M20</f>
        <v>0</v>
      </c>
    </row>
    <row r="17" spans="1:13">
      <c r="A17" s="140"/>
      <c r="B17" s="49"/>
      <c r="C17" s="78" t="s">
        <v>58</v>
      </c>
      <c r="D17" s="76" t="s">
        <v>5</v>
      </c>
      <c r="E17" s="145">
        <f>(64.9/1000)*1.15</f>
        <v>7.4634999999999993E-2</v>
      </c>
      <c r="F17" s="146">
        <f>F16*E17</f>
        <v>331.37939999999998</v>
      </c>
      <c r="G17" s="795"/>
      <c r="H17" s="783"/>
      <c r="I17" s="796">
        <v>0</v>
      </c>
      <c r="J17" s="796">
        <f>I17*F17</f>
        <v>0</v>
      </c>
      <c r="K17" s="795"/>
      <c r="L17" s="783"/>
      <c r="M17" s="796">
        <f t="shared" si="0"/>
        <v>0</v>
      </c>
    </row>
    <row r="18" spans="1:13">
      <c r="A18" s="140"/>
      <c r="B18" s="49"/>
      <c r="C18" s="77" t="s">
        <v>149</v>
      </c>
      <c r="D18" s="77"/>
      <c r="E18" s="145"/>
      <c r="F18" s="146"/>
      <c r="G18" s="795"/>
      <c r="H18" s="783"/>
      <c r="I18" s="795"/>
      <c r="J18" s="796"/>
      <c r="K18" s="795"/>
      <c r="L18" s="783"/>
      <c r="M18" s="802"/>
    </row>
    <row r="19" spans="1:13">
      <c r="A19" s="140"/>
      <c r="B19" s="189" t="s">
        <v>151</v>
      </c>
      <c r="C19" s="186" t="s">
        <v>61</v>
      </c>
      <c r="D19" s="77" t="s">
        <v>6</v>
      </c>
      <c r="E19" s="145">
        <f>(377/1000)*1.15</f>
        <v>0.43354999999999999</v>
      </c>
      <c r="F19" s="146">
        <f>F16*E19</f>
        <v>1924.962</v>
      </c>
      <c r="G19" s="803">
        <v>0</v>
      </c>
      <c r="H19" s="783">
        <f t="shared" ref="H19:H20" si="1">F19*G19</f>
        <v>0</v>
      </c>
      <c r="I19" s="795"/>
      <c r="J19" s="796"/>
      <c r="K19" s="795"/>
      <c r="L19" s="783"/>
      <c r="M19" s="796">
        <f t="shared" si="0"/>
        <v>0</v>
      </c>
    </row>
    <row r="20" spans="1:13">
      <c r="A20" s="140"/>
      <c r="B20" s="49"/>
      <c r="C20" s="78" t="s">
        <v>60</v>
      </c>
      <c r="D20" s="77" t="s">
        <v>7</v>
      </c>
      <c r="E20" s="145">
        <f>(0.62/1000)*1.15</f>
        <v>7.1299999999999998E-4</v>
      </c>
      <c r="F20" s="146">
        <f>F16*E20</f>
        <v>3.1657199999999999</v>
      </c>
      <c r="G20" s="795">
        <v>0</v>
      </c>
      <c r="H20" s="783">
        <f t="shared" si="1"/>
        <v>0</v>
      </c>
      <c r="I20" s="795"/>
      <c r="J20" s="796"/>
      <c r="K20" s="795"/>
      <c r="L20" s="783"/>
      <c r="M20" s="796">
        <f t="shared" si="0"/>
        <v>0</v>
      </c>
    </row>
    <row r="21" spans="1:13">
      <c r="A21" s="43"/>
      <c r="B21" s="44"/>
      <c r="C21" s="45" t="s">
        <v>2</v>
      </c>
      <c r="D21" s="760"/>
      <c r="E21" s="761"/>
      <c r="F21" s="762"/>
      <c r="G21" s="762"/>
      <c r="H21" s="763">
        <f>SUM(H10:H20)</f>
        <v>0</v>
      </c>
      <c r="I21" s="763"/>
      <c r="J21" s="763">
        <f>SUM(J10:J20)</f>
        <v>0</v>
      </c>
      <c r="K21" s="763"/>
      <c r="L21" s="763">
        <f>SUM(L10:L20)</f>
        <v>0</v>
      </c>
      <c r="M21" s="763">
        <f>SUM(M10:M20)/2</f>
        <v>0</v>
      </c>
    </row>
    <row r="22" spans="1:13">
      <c r="A22" s="107"/>
      <c r="B22" s="47"/>
      <c r="C22" s="108" t="s">
        <v>27</v>
      </c>
      <c r="D22" s="764">
        <v>0</v>
      </c>
      <c r="E22" s="765"/>
      <c r="F22" s="766"/>
      <c r="G22" s="766"/>
      <c r="H22" s="767"/>
      <c r="I22" s="766"/>
      <c r="J22" s="767"/>
      <c r="K22" s="766"/>
      <c r="L22" s="767"/>
      <c r="M22" s="767">
        <f>H21*D22</f>
        <v>0</v>
      </c>
    </row>
    <row r="23" spans="1:13">
      <c r="A23" s="107"/>
      <c r="B23" s="42"/>
      <c r="C23" s="48" t="s">
        <v>2</v>
      </c>
      <c r="D23" s="768"/>
      <c r="E23" s="769"/>
      <c r="F23" s="770"/>
      <c r="G23" s="770"/>
      <c r="H23" s="771"/>
      <c r="I23" s="772"/>
      <c r="J23" s="771"/>
      <c r="K23" s="772"/>
      <c r="L23" s="771"/>
      <c r="M23" s="771">
        <f>M21+M22</f>
        <v>0</v>
      </c>
    </row>
    <row r="24" spans="1:13">
      <c r="A24" s="107"/>
      <c r="B24" s="42"/>
      <c r="C24" s="109" t="s">
        <v>28</v>
      </c>
      <c r="D24" s="773">
        <v>0</v>
      </c>
      <c r="E24" s="765"/>
      <c r="F24" s="766"/>
      <c r="G24" s="766"/>
      <c r="H24" s="774"/>
      <c r="I24" s="774"/>
      <c r="J24" s="774"/>
      <c r="K24" s="774"/>
      <c r="L24" s="774"/>
      <c r="M24" s="767">
        <f>M23*D24</f>
        <v>0</v>
      </c>
    </row>
    <row r="25" spans="1:13">
      <c r="A25" s="107"/>
      <c r="B25" s="42"/>
      <c r="C25" s="48" t="s">
        <v>2</v>
      </c>
      <c r="D25" s="768"/>
      <c r="E25" s="769"/>
      <c r="F25" s="770"/>
      <c r="G25" s="770"/>
      <c r="H25" s="772"/>
      <c r="I25" s="772"/>
      <c r="J25" s="772"/>
      <c r="K25" s="772"/>
      <c r="L25" s="772"/>
      <c r="M25" s="771">
        <f>M23+M24</f>
        <v>0</v>
      </c>
    </row>
    <row r="26" spans="1:13">
      <c r="A26" s="107"/>
      <c r="B26" s="42"/>
      <c r="C26" s="109" t="s">
        <v>29</v>
      </c>
      <c r="D26" s="764">
        <v>0</v>
      </c>
      <c r="E26" s="765"/>
      <c r="F26" s="766"/>
      <c r="G26" s="766"/>
      <c r="H26" s="774"/>
      <c r="I26" s="774"/>
      <c r="J26" s="774"/>
      <c r="K26" s="774"/>
      <c r="L26" s="774"/>
      <c r="M26" s="767">
        <f>M25*D26</f>
        <v>0</v>
      </c>
    </row>
    <row r="27" spans="1:13">
      <c r="A27" s="107"/>
      <c r="B27" s="42"/>
      <c r="C27" s="48" t="s">
        <v>30</v>
      </c>
      <c r="D27" s="770"/>
      <c r="E27" s="769"/>
      <c r="F27" s="770"/>
      <c r="G27" s="770"/>
      <c r="H27" s="772"/>
      <c r="I27" s="772"/>
      <c r="J27" s="772"/>
      <c r="K27" s="772"/>
      <c r="L27" s="772"/>
      <c r="M27" s="771">
        <f>M25+M26</f>
        <v>0</v>
      </c>
    </row>
    <row r="28" spans="1:13">
      <c r="A28" s="113"/>
      <c r="B28" s="112"/>
      <c r="D28" s="775"/>
      <c r="E28" s="775"/>
      <c r="F28" s="775"/>
      <c r="G28" s="775"/>
      <c r="H28" s="775"/>
      <c r="I28" s="775"/>
      <c r="J28" s="775"/>
      <c r="K28" s="775"/>
      <c r="L28" s="775"/>
      <c r="M28" s="775"/>
    </row>
    <row r="29" spans="1:13">
      <c r="A29" s="113"/>
      <c r="B29" s="112"/>
      <c r="D29" s="775"/>
      <c r="E29" s="775"/>
      <c r="F29" s="775"/>
      <c r="G29" s="775"/>
      <c r="H29" s="775"/>
      <c r="I29" s="775"/>
      <c r="J29" s="775"/>
      <c r="K29" s="775"/>
      <c r="L29" s="775"/>
      <c r="M29" s="775"/>
    </row>
    <row r="30" spans="1:13">
      <c r="A30" s="113"/>
      <c r="B30" s="112"/>
      <c r="D30" s="775"/>
      <c r="E30" s="775"/>
      <c r="F30" s="775"/>
      <c r="G30" s="775"/>
      <c r="H30" s="775"/>
      <c r="I30" s="775"/>
      <c r="J30" s="775"/>
      <c r="K30" s="775"/>
      <c r="L30" s="775"/>
      <c r="M30" s="775"/>
    </row>
    <row r="31" spans="1:13">
      <c r="A31" s="113"/>
      <c r="B31" s="112"/>
      <c r="D31" s="775"/>
      <c r="E31" s="775"/>
      <c r="F31" s="775"/>
      <c r="G31" s="775"/>
      <c r="H31" s="775"/>
      <c r="I31" s="775"/>
      <c r="J31" s="775"/>
      <c r="K31" s="775"/>
      <c r="L31" s="775"/>
      <c r="M31" s="775"/>
    </row>
  </sheetData>
  <sheetProtection algorithmName="SHA-512" hashValue="GYNAviSOZS/m3wiU8vowAmZTGj2bS7IC6Oa6KGwQb+lJBZIMivLWd+eR35EkDGX0HAQXBbZ64L40QLxnEYaoJQ==" saltValue="KeGew+8uWJtcYlhCgp4rYA==" spinCount="100000" sheet="1" objects="1" scenarios="1"/>
  <mergeCells count="15">
    <mergeCell ref="C6:K6"/>
    <mergeCell ref="A1:M1"/>
    <mergeCell ref="A2:F2"/>
    <mergeCell ref="A3:M3"/>
    <mergeCell ref="A4:M4"/>
    <mergeCell ref="B5:G5"/>
    <mergeCell ref="G7:H7"/>
    <mergeCell ref="I7:J7"/>
    <mergeCell ref="K7:L7"/>
    <mergeCell ref="A7:A8"/>
    <mergeCell ref="B7:B8"/>
    <mergeCell ref="C7:C8"/>
    <mergeCell ref="D7:D8"/>
    <mergeCell ref="E7:E8"/>
    <mergeCell ref="F7:F8"/>
  </mergeCells>
  <conditionalFormatting sqref="C11:C15">
    <cfRule type="cellIs" dxfId="305" priority="66" stopIfTrue="1" operator="equal">
      <formula>8223.307275</formula>
    </cfRule>
  </conditionalFormatting>
  <conditionalFormatting sqref="B10">
    <cfRule type="cellIs" dxfId="304" priority="63" stopIfTrue="1" operator="equal">
      <formula>8223.307275</formula>
    </cfRule>
  </conditionalFormatting>
  <conditionalFormatting sqref="D10:M10 D11:L12 D14:L15 D13:F13 H13:L13">
    <cfRule type="cellIs" dxfId="303" priority="60" stopIfTrue="1" operator="equal">
      <formula>8223.307275</formula>
    </cfRule>
  </conditionalFormatting>
  <conditionalFormatting sqref="M11:M15">
    <cfRule type="cellIs" dxfId="302" priority="59" stopIfTrue="1" operator="equal">
      <formula>8223.307275</formula>
    </cfRule>
  </conditionalFormatting>
  <conditionalFormatting sqref="G13">
    <cfRule type="cellIs" dxfId="301" priority="54" stopIfTrue="1" operator="equal">
      <formula>8223.307275</formula>
    </cfRule>
  </conditionalFormatting>
  <conditionalFormatting sqref="C10">
    <cfRule type="cellIs" dxfId="300" priority="5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6"/>
  <sheetViews>
    <sheetView view="pageBreakPreview" topLeftCell="A105" zoomScale="80" zoomScaleNormal="100" zoomScaleSheetLayoutView="80" workbookViewId="0">
      <selection activeCell="D124" sqref="D124"/>
    </sheetView>
  </sheetViews>
  <sheetFormatPr defaultColWidth="9.109375" defaultRowHeight="14.4"/>
  <cols>
    <col min="1" max="1" width="6.6640625" style="112" customWidth="1"/>
    <col min="2" max="2" width="12.5546875" style="113" customWidth="1"/>
    <col min="3" max="3" width="64.88671875" style="112" customWidth="1"/>
    <col min="4" max="7" width="10.6640625" style="112" customWidth="1"/>
    <col min="8" max="8" width="12.109375" style="112" customWidth="1"/>
    <col min="9" max="12" width="10.6640625" style="112" customWidth="1"/>
    <col min="13" max="13" width="12.5546875" style="112" customWidth="1"/>
    <col min="14" max="16384" width="9.109375" style="112"/>
  </cols>
  <sheetData>
    <row r="1" spans="1:13" ht="16.2">
      <c r="A1" s="684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ht="16.2">
      <c r="A2" s="685" t="s">
        <v>1</v>
      </c>
      <c r="B2" s="685"/>
      <c r="C2" s="685"/>
      <c r="D2" s="685"/>
      <c r="E2" s="685"/>
      <c r="F2" s="685"/>
      <c r="G2" s="102" t="str">
        <f>B!B13</f>
        <v>B-3</v>
      </c>
      <c r="H2" s="102"/>
      <c r="I2" s="102"/>
      <c r="J2" s="102"/>
      <c r="K2" s="102"/>
      <c r="L2" s="102"/>
      <c r="M2" s="102"/>
    </row>
    <row r="3" spans="1:13">
      <c r="A3" s="686" t="str">
        <f>B!C13</f>
        <v>სათვალთვალო ჭები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</row>
    <row r="5" spans="1:13" ht="32.25" customHeight="1">
      <c r="A5" s="172"/>
      <c r="B5" s="688">
        <f>gan.barat!B34</f>
        <v>0</v>
      </c>
      <c r="C5" s="688"/>
      <c r="D5" s="688"/>
      <c r="E5" s="688"/>
      <c r="F5" s="688"/>
      <c r="G5" s="688"/>
      <c r="H5" s="172"/>
      <c r="I5" s="172"/>
      <c r="J5" s="172"/>
      <c r="K5" s="172"/>
      <c r="L5" s="172"/>
      <c r="M5" s="172"/>
    </row>
    <row r="6" spans="1:13">
      <c r="A6" s="35"/>
      <c r="B6" s="114"/>
      <c r="C6" s="683"/>
      <c r="D6" s="683"/>
      <c r="E6" s="683"/>
      <c r="F6" s="683"/>
      <c r="G6" s="683"/>
      <c r="H6" s="683"/>
      <c r="I6" s="683"/>
      <c r="J6" s="683"/>
      <c r="K6" s="683"/>
      <c r="L6" s="115"/>
      <c r="M6" s="115"/>
    </row>
    <row r="7" spans="1:13">
      <c r="A7" s="680" t="s">
        <v>9</v>
      </c>
      <c r="B7" s="682" t="s">
        <v>10</v>
      </c>
      <c r="C7" s="680" t="s">
        <v>11</v>
      </c>
      <c r="D7" s="680" t="s">
        <v>12</v>
      </c>
      <c r="E7" s="680" t="s">
        <v>13</v>
      </c>
      <c r="F7" s="680" t="s">
        <v>14</v>
      </c>
      <c r="G7" s="679" t="s">
        <v>15</v>
      </c>
      <c r="H7" s="679"/>
      <c r="I7" s="679" t="s">
        <v>16</v>
      </c>
      <c r="J7" s="679"/>
      <c r="K7" s="680" t="s">
        <v>17</v>
      </c>
      <c r="L7" s="681"/>
      <c r="M7" s="36" t="s">
        <v>0</v>
      </c>
    </row>
    <row r="8" spans="1:13">
      <c r="A8" s="680"/>
      <c r="B8" s="682"/>
      <c r="C8" s="680"/>
      <c r="D8" s="680"/>
      <c r="E8" s="680"/>
      <c r="F8" s="680"/>
      <c r="G8" s="173" t="s">
        <v>18</v>
      </c>
      <c r="H8" s="37" t="s">
        <v>2</v>
      </c>
      <c r="I8" s="173" t="s">
        <v>18</v>
      </c>
      <c r="J8" s="37" t="s">
        <v>2</v>
      </c>
      <c r="K8" s="173" t="s">
        <v>18</v>
      </c>
      <c r="L8" s="38" t="s">
        <v>2</v>
      </c>
      <c r="M8" s="39" t="s">
        <v>19</v>
      </c>
    </row>
    <row r="9" spans="1:13">
      <c r="A9" s="174">
        <v>1</v>
      </c>
      <c r="B9" s="40">
        <v>2</v>
      </c>
      <c r="C9" s="174">
        <v>3</v>
      </c>
      <c r="D9" s="174">
        <v>4</v>
      </c>
      <c r="E9" s="174">
        <v>5</v>
      </c>
      <c r="F9" s="174">
        <v>6</v>
      </c>
      <c r="G9" s="174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</row>
    <row r="10" spans="1:13">
      <c r="A10" s="681" t="s">
        <v>171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90"/>
    </row>
    <row r="11" spans="1:13" ht="24">
      <c r="A11" s="140" t="s">
        <v>44</v>
      </c>
      <c r="B11" s="49" t="s">
        <v>88</v>
      </c>
      <c r="C11" s="141" t="s">
        <v>95</v>
      </c>
      <c r="D11" s="142" t="s">
        <v>25</v>
      </c>
      <c r="E11" s="142"/>
      <c r="F11" s="143">
        <f>25.39*0.4</f>
        <v>10.156000000000001</v>
      </c>
      <c r="G11" s="795"/>
      <c r="H11" s="783"/>
      <c r="I11" s="795"/>
      <c r="J11" s="796"/>
      <c r="K11" s="795"/>
      <c r="L11" s="783"/>
      <c r="M11" s="794">
        <f>M12+M13</f>
        <v>0</v>
      </c>
    </row>
    <row r="12" spans="1:13" ht="15">
      <c r="A12" s="121"/>
      <c r="B12" s="27"/>
      <c r="C12" s="144" t="s">
        <v>24</v>
      </c>
      <c r="D12" s="145" t="s">
        <v>40</v>
      </c>
      <c r="E12" s="76">
        <f>16.5/1000</f>
        <v>1.6500000000000001E-2</v>
      </c>
      <c r="F12" s="75">
        <f>F11*E12</f>
        <v>0.16757400000000003</v>
      </c>
      <c r="G12" s="796"/>
      <c r="H12" s="796"/>
      <c r="I12" s="781">
        <v>0</v>
      </c>
      <c r="J12" s="796">
        <f>F12*I12</f>
        <v>0</v>
      </c>
      <c r="K12" s="796"/>
      <c r="L12" s="796"/>
      <c r="M12" s="796">
        <f>L12+J12+H12</f>
        <v>0</v>
      </c>
    </row>
    <row r="13" spans="1:13">
      <c r="A13" s="121"/>
      <c r="B13" s="149" t="s">
        <v>136</v>
      </c>
      <c r="C13" s="144" t="s">
        <v>33</v>
      </c>
      <c r="D13" s="145" t="s">
        <v>41</v>
      </c>
      <c r="E13" s="76">
        <f>37/1000</f>
        <v>3.6999999999999998E-2</v>
      </c>
      <c r="F13" s="74">
        <f>F11*E13</f>
        <v>0.37577199999999999</v>
      </c>
      <c r="G13" s="783"/>
      <c r="H13" s="783"/>
      <c r="I13" s="783"/>
      <c r="J13" s="783"/>
      <c r="K13" s="783">
        <v>0</v>
      </c>
      <c r="L13" s="801">
        <f>K13*F13</f>
        <v>0</v>
      </c>
      <c r="M13" s="796">
        <f>L13+J13+H13</f>
        <v>0</v>
      </c>
    </row>
    <row r="14" spans="1:13">
      <c r="A14" s="140"/>
      <c r="B14" s="49" t="s">
        <v>23</v>
      </c>
      <c r="C14" s="141" t="s">
        <v>51</v>
      </c>
      <c r="D14" s="142" t="s">
        <v>25</v>
      </c>
      <c r="E14" s="142"/>
      <c r="F14" s="143">
        <f>F11*3%</f>
        <v>0.30468000000000001</v>
      </c>
      <c r="G14" s="795"/>
      <c r="H14" s="783"/>
      <c r="I14" s="795"/>
      <c r="J14" s="796"/>
      <c r="K14" s="795"/>
      <c r="L14" s="783"/>
      <c r="M14" s="794">
        <f>M15</f>
        <v>0</v>
      </c>
    </row>
    <row r="15" spans="1:13" ht="15">
      <c r="A15" s="140"/>
      <c r="B15" s="49"/>
      <c r="C15" s="144" t="s">
        <v>24</v>
      </c>
      <c r="D15" s="145" t="s">
        <v>40</v>
      </c>
      <c r="E15" s="145">
        <f>206/100</f>
        <v>2.06</v>
      </c>
      <c r="F15" s="146">
        <f>F14*E15</f>
        <v>0.6276408</v>
      </c>
      <c r="G15" s="795"/>
      <c r="H15" s="783"/>
      <c r="I15" s="781">
        <v>0</v>
      </c>
      <c r="J15" s="796">
        <f>I15*F15</f>
        <v>0</v>
      </c>
      <c r="K15" s="795"/>
      <c r="L15" s="783"/>
      <c r="M15" s="802">
        <f>L15+J15+H15</f>
        <v>0</v>
      </c>
    </row>
    <row r="16" spans="1:13" ht="24">
      <c r="A16" s="140" t="s">
        <v>45</v>
      </c>
      <c r="B16" s="49" t="s">
        <v>52</v>
      </c>
      <c r="C16" s="141" t="s">
        <v>32</v>
      </c>
      <c r="D16" s="142" t="s">
        <v>25</v>
      </c>
      <c r="E16" s="142"/>
      <c r="F16" s="143">
        <f>25.39*0.6</f>
        <v>15.234</v>
      </c>
      <c r="G16" s="795"/>
      <c r="H16" s="783"/>
      <c r="I16" s="795"/>
      <c r="J16" s="796"/>
      <c r="K16" s="795"/>
      <c r="L16" s="783"/>
      <c r="M16" s="794">
        <f>M17+M18</f>
        <v>0</v>
      </c>
    </row>
    <row r="17" spans="1:13" ht="15">
      <c r="A17" s="140"/>
      <c r="B17" s="49"/>
      <c r="C17" s="144" t="s">
        <v>24</v>
      </c>
      <c r="D17" s="145" t="s">
        <v>40</v>
      </c>
      <c r="E17" s="145">
        <f>21.5/1000</f>
        <v>2.1499999999999998E-2</v>
      </c>
      <c r="F17" s="146">
        <f>F16*E17</f>
        <v>0.32753099999999996</v>
      </c>
      <c r="G17" s="796"/>
      <c r="H17" s="796"/>
      <c r="I17" s="781">
        <v>0</v>
      </c>
      <c r="J17" s="796">
        <f>F17*I17</f>
        <v>0</v>
      </c>
      <c r="K17" s="796"/>
      <c r="L17" s="796"/>
      <c r="M17" s="796">
        <f>L17+J17+H17</f>
        <v>0</v>
      </c>
    </row>
    <row r="18" spans="1:13">
      <c r="A18" s="140"/>
      <c r="B18" s="149" t="s">
        <v>136</v>
      </c>
      <c r="C18" s="144" t="s">
        <v>33</v>
      </c>
      <c r="D18" s="145" t="s">
        <v>41</v>
      </c>
      <c r="E18" s="145">
        <f>48.2/1000</f>
        <v>4.82E-2</v>
      </c>
      <c r="F18" s="146">
        <f>F16*E18</f>
        <v>0.73427880000000001</v>
      </c>
      <c r="G18" s="783"/>
      <c r="H18" s="783"/>
      <c r="I18" s="783"/>
      <c r="J18" s="783"/>
      <c r="K18" s="783">
        <v>0</v>
      </c>
      <c r="L18" s="801">
        <f>K18*F18</f>
        <v>0</v>
      </c>
      <c r="M18" s="796">
        <f>L18+J18+H18</f>
        <v>0</v>
      </c>
    </row>
    <row r="19" spans="1:13">
      <c r="A19" s="140" t="s">
        <v>46</v>
      </c>
      <c r="B19" s="49" t="s">
        <v>50</v>
      </c>
      <c r="C19" s="141" t="s">
        <v>34</v>
      </c>
      <c r="D19" s="142" t="s">
        <v>25</v>
      </c>
      <c r="E19" s="142"/>
      <c r="F19" s="143">
        <f>F16*3%</f>
        <v>0.45701999999999998</v>
      </c>
      <c r="G19" s="795"/>
      <c r="H19" s="783"/>
      <c r="I19" s="795"/>
      <c r="J19" s="796"/>
      <c r="K19" s="795"/>
      <c r="L19" s="783"/>
      <c r="M19" s="794">
        <f>M20</f>
        <v>0</v>
      </c>
    </row>
    <row r="20" spans="1:13" ht="15">
      <c r="A20" s="140"/>
      <c r="B20" s="49"/>
      <c r="C20" s="144" t="s">
        <v>24</v>
      </c>
      <c r="D20" s="145" t="s">
        <v>40</v>
      </c>
      <c r="E20" s="145">
        <f>299/100</f>
        <v>2.99</v>
      </c>
      <c r="F20" s="146">
        <f>E20*F19</f>
        <v>1.3664898000000001</v>
      </c>
      <c r="G20" s="795"/>
      <c r="H20" s="783"/>
      <c r="I20" s="781">
        <v>0</v>
      </c>
      <c r="J20" s="796">
        <f>I20*F20</f>
        <v>0</v>
      </c>
      <c r="K20" s="795"/>
      <c r="L20" s="783"/>
      <c r="M20" s="802">
        <f>L20+J20+H20</f>
        <v>0</v>
      </c>
    </row>
    <row r="21" spans="1:13">
      <c r="A21" s="140" t="s">
        <v>47</v>
      </c>
      <c r="B21" s="49" t="s">
        <v>53</v>
      </c>
      <c r="C21" s="141" t="s">
        <v>35</v>
      </c>
      <c r="D21" s="142" t="s">
        <v>25</v>
      </c>
      <c r="E21" s="142"/>
      <c r="F21" s="143">
        <f>F11+F14+F16+F19-F26</f>
        <v>10.951699999999999</v>
      </c>
      <c r="G21" s="795"/>
      <c r="H21" s="783"/>
      <c r="I21" s="795"/>
      <c r="J21" s="796"/>
      <c r="K21" s="795"/>
      <c r="L21" s="783"/>
      <c r="M21" s="794">
        <f>M22+M23+M24+M25</f>
        <v>0</v>
      </c>
    </row>
    <row r="22" spans="1:13" ht="15">
      <c r="A22" s="140"/>
      <c r="B22" s="49"/>
      <c r="C22" s="144" t="s">
        <v>20</v>
      </c>
      <c r="D22" s="145" t="s">
        <v>40</v>
      </c>
      <c r="E22" s="145">
        <f>27/1000</f>
        <v>2.7E-2</v>
      </c>
      <c r="F22" s="146">
        <f>F21*E22</f>
        <v>0.29569589999999996</v>
      </c>
      <c r="G22" s="795"/>
      <c r="H22" s="783"/>
      <c r="I22" s="781">
        <v>0</v>
      </c>
      <c r="J22" s="796">
        <f>F22*I22</f>
        <v>0</v>
      </c>
      <c r="K22" s="795"/>
      <c r="L22" s="783"/>
      <c r="M22" s="796">
        <f t="shared" ref="M22:M25" si="0">L22+J22+H22</f>
        <v>0</v>
      </c>
    </row>
    <row r="23" spans="1:13">
      <c r="A23" s="140"/>
      <c r="B23" s="149" t="s">
        <v>136</v>
      </c>
      <c r="C23" s="144" t="s">
        <v>36</v>
      </c>
      <c r="D23" s="145" t="s">
        <v>42</v>
      </c>
      <c r="E23" s="145">
        <f>60.5/1000</f>
        <v>6.0499999999999998E-2</v>
      </c>
      <c r="F23" s="146">
        <f>F21*E23</f>
        <v>0.66257784999999991</v>
      </c>
      <c r="G23" s="795"/>
      <c r="H23" s="783"/>
      <c r="I23" s="795"/>
      <c r="J23" s="796"/>
      <c r="K23" s="783">
        <v>0</v>
      </c>
      <c r="L23" s="801">
        <f>K23*F23</f>
        <v>0</v>
      </c>
      <c r="M23" s="796">
        <f t="shared" si="0"/>
        <v>0</v>
      </c>
    </row>
    <row r="24" spans="1:13">
      <c r="A24" s="140"/>
      <c r="B24" s="49"/>
      <c r="C24" s="144" t="s">
        <v>21</v>
      </c>
      <c r="D24" s="145" t="s">
        <v>7</v>
      </c>
      <c r="E24" s="145">
        <f>2.21/1000</f>
        <v>2.2100000000000002E-3</v>
      </c>
      <c r="F24" s="146">
        <f>F21*E24</f>
        <v>2.4203256999999999E-2</v>
      </c>
      <c r="G24" s="795"/>
      <c r="H24" s="783"/>
      <c r="I24" s="795"/>
      <c r="J24" s="796"/>
      <c r="K24" s="795">
        <v>0</v>
      </c>
      <c r="L24" s="801">
        <f>K24*F24</f>
        <v>0</v>
      </c>
      <c r="M24" s="796">
        <f t="shared" si="0"/>
        <v>0</v>
      </c>
    </row>
    <row r="25" spans="1:13">
      <c r="A25" s="140"/>
      <c r="B25" s="27" t="s">
        <v>131</v>
      </c>
      <c r="C25" s="144" t="s">
        <v>22</v>
      </c>
      <c r="D25" s="145" t="s">
        <v>25</v>
      </c>
      <c r="E25" s="145">
        <f>0.06/1000</f>
        <v>5.9999999999999995E-5</v>
      </c>
      <c r="F25" s="146">
        <f>F21*E25</f>
        <v>6.571019999999999E-4</v>
      </c>
      <c r="G25" s="790">
        <v>0</v>
      </c>
      <c r="H25" s="783">
        <f>G25*F25</f>
        <v>0</v>
      </c>
      <c r="I25" s="795"/>
      <c r="J25" s="796"/>
      <c r="K25" s="795"/>
      <c r="L25" s="783"/>
      <c r="M25" s="804">
        <f t="shared" si="0"/>
        <v>0</v>
      </c>
    </row>
    <row r="26" spans="1:13" ht="24">
      <c r="A26" s="49">
        <v>5</v>
      </c>
      <c r="B26" s="27" t="s">
        <v>8</v>
      </c>
      <c r="C26" s="141" t="s">
        <v>37</v>
      </c>
      <c r="D26" s="142" t="s">
        <v>120</v>
      </c>
      <c r="E26" s="142"/>
      <c r="F26" s="143">
        <v>15.2</v>
      </c>
      <c r="G26" s="804"/>
      <c r="H26" s="804"/>
      <c r="I26" s="804"/>
      <c r="J26" s="804"/>
      <c r="K26" s="804"/>
      <c r="L26" s="804"/>
      <c r="M26" s="805">
        <f>M27</f>
        <v>0</v>
      </c>
    </row>
    <row r="27" spans="1:13">
      <c r="A27" s="171"/>
      <c r="B27" s="171" t="s">
        <v>89</v>
      </c>
      <c r="C27" s="147" t="s">
        <v>96</v>
      </c>
      <c r="D27" s="76" t="s">
        <v>5</v>
      </c>
      <c r="E27" s="76">
        <f>9.21/1000</f>
        <v>9.2100000000000012E-3</v>
      </c>
      <c r="F27" s="75">
        <f>F26*E27</f>
        <v>0.13999200000000001</v>
      </c>
      <c r="G27" s="804"/>
      <c r="H27" s="804"/>
      <c r="I27" s="804"/>
      <c r="J27" s="804"/>
      <c r="K27" s="795">
        <v>0</v>
      </c>
      <c r="L27" s="801">
        <f>F27*K27</f>
        <v>0</v>
      </c>
      <c r="M27" s="804">
        <f t="shared" ref="M27" si="1">H27+J27+L27</f>
        <v>0</v>
      </c>
    </row>
    <row r="28" spans="1:13">
      <c r="A28" s="140" t="s">
        <v>91</v>
      </c>
      <c r="B28" s="49" t="s">
        <v>57</v>
      </c>
      <c r="C28" s="141" t="s">
        <v>39</v>
      </c>
      <c r="D28" s="142" t="s">
        <v>25</v>
      </c>
      <c r="E28" s="142"/>
      <c r="F28" s="143">
        <f>F26</f>
        <v>15.2</v>
      </c>
      <c r="G28" s="791"/>
      <c r="H28" s="792"/>
      <c r="I28" s="791"/>
      <c r="J28" s="793"/>
      <c r="K28" s="791"/>
      <c r="L28" s="792"/>
      <c r="M28" s="794">
        <f>M29+M30</f>
        <v>0</v>
      </c>
    </row>
    <row r="29" spans="1:13" ht="15">
      <c r="A29" s="140"/>
      <c r="B29" s="49"/>
      <c r="C29" s="144" t="s">
        <v>24</v>
      </c>
      <c r="D29" s="145" t="s">
        <v>40</v>
      </c>
      <c r="E29" s="145">
        <f>13.4/100</f>
        <v>0.13400000000000001</v>
      </c>
      <c r="F29" s="146">
        <f>E29*F28</f>
        <v>2.0367999999999999</v>
      </c>
      <c r="G29" s="795"/>
      <c r="H29" s="783"/>
      <c r="I29" s="781">
        <v>0</v>
      </c>
      <c r="J29" s="796">
        <f>F29*I29</f>
        <v>0</v>
      </c>
      <c r="K29" s="795"/>
      <c r="L29" s="783"/>
      <c r="M29" s="796">
        <f>L29+J29+H29</f>
        <v>0</v>
      </c>
    </row>
    <row r="30" spans="1:13" ht="27.6">
      <c r="A30" s="140"/>
      <c r="B30" s="103" t="s">
        <v>137</v>
      </c>
      <c r="C30" s="144" t="s">
        <v>99</v>
      </c>
      <c r="D30" s="145" t="s">
        <v>43</v>
      </c>
      <c r="E30" s="145">
        <f>13/100</f>
        <v>0.13</v>
      </c>
      <c r="F30" s="146">
        <f>F28*E30</f>
        <v>1.976</v>
      </c>
      <c r="G30" s="795"/>
      <c r="H30" s="783"/>
      <c r="I30" s="795"/>
      <c r="J30" s="796"/>
      <c r="K30" s="797">
        <v>0</v>
      </c>
      <c r="L30" s="801">
        <f>K30*F30</f>
        <v>0</v>
      </c>
      <c r="M30" s="796">
        <f>L30+J30+H30</f>
        <v>0</v>
      </c>
    </row>
    <row r="31" spans="1:13">
      <c r="A31" s="140" t="s">
        <v>55</v>
      </c>
      <c r="B31" s="49"/>
      <c r="C31" s="141" t="s">
        <v>56</v>
      </c>
      <c r="D31" s="142" t="s">
        <v>26</v>
      </c>
      <c r="E31" s="142"/>
      <c r="F31" s="143">
        <f>F21*1.9</f>
        <v>20.808229999999998</v>
      </c>
      <c r="G31" s="795"/>
      <c r="H31" s="783"/>
      <c r="I31" s="795"/>
      <c r="J31" s="796"/>
      <c r="K31" s="795"/>
      <c r="L31" s="783"/>
      <c r="M31" s="805">
        <f>M32</f>
        <v>0</v>
      </c>
    </row>
    <row r="32" spans="1:13">
      <c r="A32" s="148"/>
      <c r="B32" s="171" t="s">
        <v>83</v>
      </c>
      <c r="C32" s="144" t="s">
        <v>56</v>
      </c>
      <c r="D32" s="145" t="s">
        <v>26</v>
      </c>
      <c r="E32" s="145">
        <v>1</v>
      </c>
      <c r="F32" s="146">
        <f>F31*E32</f>
        <v>20.808229999999998</v>
      </c>
      <c r="G32" s="795"/>
      <c r="H32" s="783"/>
      <c r="I32" s="795"/>
      <c r="J32" s="796"/>
      <c r="K32" s="795">
        <v>0</v>
      </c>
      <c r="L32" s="783">
        <f>K32*F32</f>
        <v>0</v>
      </c>
      <c r="M32" s="804">
        <f t="shared" ref="M32" si="2">L32+J32+H32</f>
        <v>0</v>
      </c>
    </row>
    <row r="33" spans="1:13">
      <c r="A33" s="52">
        <v>8</v>
      </c>
      <c r="B33" s="52" t="s">
        <v>110</v>
      </c>
      <c r="C33" s="150" t="s">
        <v>100</v>
      </c>
      <c r="D33" s="52" t="s">
        <v>6</v>
      </c>
      <c r="E33" s="52"/>
      <c r="F33" s="41">
        <v>0.39</v>
      </c>
      <c r="G33" s="796"/>
      <c r="H33" s="796"/>
      <c r="I33" s="796"/>
      <c r="J33" s="796"/>
      <c r="K33" s="796"/>
      <c r="L33" s="796"/>
      <c r="M33" s="794">
        <f>SUM(M34:M37)</f>
        <v>0</v>
      </c>
    </row>
    <row r="34" spans="1:13">
      <c r="A34" s="52"/>
      <c r="B34" s="52"/>
      <c r="C34" s="78" t="s">
        <v>58</v>
      </c>
      <c r="D34" s="76" t="s">
        <v>5</v>
      </c>
      <c r="E34" s="76">
        <v>0.89</v>
      </c>
      <c r="F34" s="75">
        <f>E34*F33</f>
        <v>0.34710000000000002</v>
      </c>
      <c r="G34" s="796"/>
      <c r="H34" s="796"/>
      <c r="I34" s="796">
        <v>0</v>
      </c>
      <c r="J34" s="796">
        <f>I34*F34</f>
        <v>0</v>
      </c>
      <c r="K34" s="796"/>
      <c r="L34" s="796"/>
      <c r="M34" s="796">
        <f>L34+J34+H34</f>
        <v>0</v>
      </c>
    </row>
    <row r="35" spans="1:13">
      <c r="A35" s="151"/>
      <c r="B35" s="152"/>
      <c r="C35" s="147" t="s">
        <v>64</v>
      </c>
      <c r="D35" s="76" t="s">
        <v>7</v>
      </c>
      <c r="E35" s="77">
        <v>0.37</v>
      </c>
      <c r="F35" s="74">
        <f>E35*F33</f>
        <v>0.14430000000000001</v>
      </c>
      <c r="G35" s="783"/>
      <c r="H35" s="783"/>
      <c r="I35" s="783"/>
      <c r="J35" s="783"/>
      <c r="K35" s="783">
        <v>0</v>
      </c>
      <c r="L35" s="796">
        <f>K35*F35</f>
        <v>0</v>
      </c>
      <c r="M35" s="796">
        <f>L35+J35+H35</f>
        <v>0</v>
      </c>
    </row>
    <row r="36" spans="1:13">
      <c r="A36" s="52"/>
      <c r="B36" s="27" t="s">
        <v>131</v>
      </c>
      <c r="C36" s="78" t="s">
        <v>97</v>
      </c>
      <c r="D36" s="76" t="s">
        <v>6</v>
      </c>
      <c r="E36" s="171">
        <f>115/100</f>
        <v>1.1499999999999999</v>
      </c>
      <c r="F36" s="75">
        <f>F33*E36</f>
        <v>0.44849999999999995</v>
      </c>
      <c r="G36" s="790">
        <v>0</v>
      </c>
      <c r="H36" s="796">
        <f>G36*F36</f>
        <v>0</v>
      </c>
      <c r="I36" s="796"/>
      <c r="J36" s="796"/>
      <c r="K36" s="796"/>
      <c r="L36" s="796"/>
      <c r="M36" s="796">
        <f>L36+J36+H36</f>
        <v>0</v>
      </c>
    </row>
    <row r="37" spans="1:13" ht="15">
      <c r="A37" s="151"/>
      <c r="B37" s="88" t="s">
        <v>133</v>
      </c>
      <c r="C37" s="78" t="s">
        <v>61</v>
      </c>
      <c r="D37" s="76" t="s">
        <v>6</v>
      </c>
      <c r="E37" s="75">
        <v>0.02</v>
      </c>
      <c r="F37" s="53">
        <f>F33*E37</f>
        <v>7.8000000000000005E-3</v>
      </c>
      <c r="G37" s="806">
        <v>0</v>
      </c>
      <c r="H37" s="796">
        <f>G37*F37</f>
        <v>0</v>
      </c>
      <c r="I37" s="796"/>
      <c r="J37" s="796"/>
      <c r="K37" s="796"/>
      <c r="L37" s="796"/>
      <c r="M37" s="796">
        <f>L37+J37+H37</f>
        <v>0</v>
      </c>
    </row>
    <row r="38" spans="1:13" ht="25.2">
      <c r="A38" s="52">
        <v>9</v>
      </c>
      <c r="B38" s="153" t="s">
        <v>163</v>
      </c>
      <c r="C38" s="152" t="s">
        <v>160</v>
      </c>
      <c r="D38" s="52" t="s">
        <v>120</v>
      </c>
      <c r="E38" s="77"/>
      <c r="F38" s="41">
        <f>(3.14*0.85*0.85*1*F41)+(3.14*0.85*0.85*0.5*F42)+(1.7*1.7*0.22*F43)+(1.7*1.7*0.15*F44)</f>
        <v>2.2036249999999997</v>
      </c>
      <c r="G38" s="783"/>
      <c r="H38" s="783"/>
      <c r="I38" s="783"/>
      <c r="J38" s="783"/>
      <c r="K38" s="783"/>
      <c r="L38" s="783"/>
      <c r="M38" s="794">
        <f>SUM(M39:M46)</f>
        <v>0</v>
      </c>
    </row>
    <row r="39" spans="1:13" ht="15">
      <c r="A39" s="154"/>
      <c r="B39" s="152"/>
      <c r="C39" s="147" t="s">
        <v>63</v>
      </c>
      <c r="D39" s="76" t="s">
        <v>5</v>
      </c>
      <c r="E39" s="75">
        <f>(81.6/10)*1.15</f>
        <v>9.3839999999999986</v>
      </c>
      <c r="F39" s="75">
        <f>E39*F38</f>
        <v>20.678816999999995</v>
      </c>
      <c r="G39" s="783"/>
      <c r="H39" s="783"/>
      <c r="I39" s="781">
        <v>0</v>
      </c>
      <c r="J39" s="796">
        <f>I39*F39</f>
        <v>0</v>
      </c>
      <c r="K39" s="783"/>
      <c r="L39" s="783"/>
      <c r="M39" s="796">
        <f>L39+J39+H39</f>
        <v>0</v>
      </c>
    </row>
    <row r="40" spans="1:13">
      <c r="A40" s="151"/>
      <c r="B40" s="152"/>
      <c r="C40" s="147" t="s">
        <v>64</v>
      </c>
      <c r="D40" s="76" t="s">
        <v>7</v>
      </c>
      <c r="E40" s="77">
        <f>(26.3/10)*1.15</f>
        <v>3.0244999999999997</v>
      </c>
      <c r="F40" s="74">
        <f>E40*F38</f>
        <v>6.6648638124999984</v>
      </c>
      <c r="G40" s="783"/>
      <c r="H40" s="783"/>
      <c r="I40" s="783"/>
      <c r="J40" s="783"/>
      <c r="K40" s="783">
        <v>0</v>
      </c>
      <c r="L40" s="796">
        <f>K40*F40</f>
        <v>0</v>
      </c>
      <c r="M40" s="796">
        <f>L40+J40+H40</f>
        <v>0</v>
      </c>
    </row>
    <row r="41" spans="1:13">
      <c r="A41" s="154"/>
      <c r="B41" s="77" t="s">
        <v>164</v>
      </c>
      <c r="C41" s="147" t="s">
        <v>161</v>
      </c>
      <c r="D41" s="76" t="s">
        <v>65</v>
      </c>
      <c r="E41" s="75"/>
      <c r="F41" s="75"/>
      <c r="G41" s="807">
        <v>0</v>
      </c>
      <c r="H41" s="807">
        <f>G41*F41</f>
        <v>0</v>
      </c>
      <c r="I41" s="808"/>
      <c r="J41" s="808"/>
      <c r="K41" s="807"/>
      <c r="L41" s="807"/>
      <c r="M41" s="796">
        <f t="shared" ref="M41:M46" si="3">L41+J41+H41</f>
        <v>0</v>
      </c>
    </row>
    <row r="42" spans="1:13">
      <c r="A42" s="154"/>
      <c r="B42" s="77" t="s">
        <v>165</v>
      </c>
      <c r="C42" s="147" t="s">
        <v>162</v>
      </c>
      <c r="D42" s="76" t="s">
        <v>65</v>
      </c>
      <c r="E42" s="75"/>
      <c r="F42" s="75">
        <v>1</v>
      </c>
      <c r="G42" s="807">
        <v>0</v>
      </c>
      <c r="H42" s="807">
        <f t="shared" ref="H42:H46" si="4">G42*F42</f>
        <v>0</v>
      </c>
      <c r="I42" s="808"/>
      <c r="J42" s="808"/>
      <c r="K42" s="807"/>
      <c r="L42" s="807"/>
      <c r="M42" s="796">
        <f t="shared" si="3"/>
        <v>0</v>
      </c>
    </row>
    <row r="43" spans="1:13">
      <c r="A43" s="154"/>
      <c r="B43" s="77" t="s">
        <v>166</v>
      </c>
      <c r="C43" s="147" t="s">
        <v>102</v>
      </c>
      <c r="D43" s="76" t="s">
        <v>65</v>
      </c>
      <c r="E43" s="75"/>
      <c r="F43" s="75">
        <v>1</v>
      </c>
      <c r="G43" s="807">
        <v>0</v>
      </c>
      <c r="H43" s="807">
        <f t="shared" si="4"/>
        <v>0</v>
      </c>
      <c r="I43" s="808"/>
      <c r="J43" s="808"/>
      <c r="K43" s="807"/>
      <c r="L43" s="807"/>
      <c r="M43" s="796">
        <f t="shared" si="3"/>
        <v>0</v>
      </c>
    </row>
    <row r="44" spans="1:13">
      <c r="A44" s="154"/>
      <c r="B44" s="77" t="s">
        <v>167</v>
      </c>
      <c r="C44" s="147" t="s">
        <v>103</v>
      </c>
      <c r="D44" s="76" t="s">
        <v>5</v>
      </c>
      <c r="E44" s="75"/>
      <c r="F44" s="75">
        <v>1</v>
      </c>
      <c r="G44" s="807">
        <v>0</v>
      </c>
      <c r="H44" s="807">
        <f t="shared" si="4"/>
        <v>0</v>
      </c>
      <c r="I44" s="808"/>
      <c r="J44" s="808"/>
      <c r="K44" s="807"/>
      <c r="L44" s="807"/>
      <c r="M44" s="796">
        <f t="shared" si="3"/>
        <v>0</v>
      </c>
    </row>
    <row r="45" spans="1:13">
      <c r="A45" s="154"/>
      <c r="B45" s="77" t="s">
        <v>147</v>
      </c>
      <c r="C45" s="147" t="s">
        <v>125</v>
      </c>
      <c r="D45" s="76" t="s">
        <v>6</v>
      </c>
      <c r="E45" s="53">
        <f>(0.9/10)</f>
        <v>0.09</v>
      </c>
      <c r="F45" s="75">
        <f>F38*E45</f>
        <v>0.19832624999999995</v>
      </c>
      <c r="G45" s="807">
        <v>0</v>
      </c>
      <c r="H45" s="807">
        <f t="shared" si="4"/>
        <v>0</v>
      </c>
      <c r="I45" s="808"/>
      <c r="J45" s="808"/>
      <c r="K45" s="807"/>
      <c r="L45" s="807"/>
      <c r="M45" s="796">
        <f t="shared" si="3"/>
        <v>0</v>
      </c>
    </row>
    <row r="46" spans="1:13">
      <c r="A46" s="154"/>
      <c r="B46" s="152"/>
      <c r="C46" s="155" t="s">
        <v>68</v>
      </c>
      <c r="D46" s="76" t="s">
        <v>7</v>
      </c>
      <c r="E46" s="75">
        <f>(42.8/10)*1.15</f>
        <v>4.9219999999999988</v>
      </c>
      <c r="F46" s="75">
        <f>E46*F38</f>
        <v>10.846242249999996</v>
      </c>
      <c r="G46" s="783">
        <v>0</v>
      </c>
      <c r="H46" s="807">
        <f t="shared" si="4"/>
        <v>0</v>
      </c>
      <c r="I46" s="808"/>
      <c r="J46" s="808"/>
      <c r="K46" s="807"/>
      <c r="L46" s="807"/>
      <c r="M46" s="796">
        <f t="shared" si="3"/>
        <v>0</v>
      </c>
    </row>
    <row r="47" spans="1:13">
      <c r="A47" s="170">
        <v>10</v>
      </c>
      <c r="B47" s="52" t="s">
        <v>104</v>
      </c>
      <c r="C47" s="152" t="s">
        <v>105</v>
      </c>
      <c r="D47" s="52" t="s">
        <v>121</v>
      </c>
      <c r="E47" s="77"/>
      <c r="F47" s="41">
        <f>((3.14*2.2*1*F41)+(3.14*2.2*0.5*F42)+(2.2*0.22*4*F43)+(2.2*0.15*4*F44))*1.5</f>
        <v>10.065000000000001</v>
      </c>
      <c r="G47" s="783"/>
      <c r="H47" s="783"/>
      <c r="I47" s="783"/>
      <c r="J47" s="783"/>
      <c r="K47" s="783"/>
      <c r="L47" s="783"/>
      <c r="M47" s="794">
        <f>SUM(M48:M52)</f>
        <v>0</v>
      </c>
    </row>
    <row r="48" spans="1:13" ht="15">
      <c r="A48" s="154"/>
      <c r="B48" s="152"/>
      <c r="C48" s="147" t="s">
        <v>106</v>
      </c>
      <c r="D48" s="77" t="s">
        <v>66</v>
      </c>
      <c r="E48" s="156">
        <f>56.4/100</f>
        <v>0.56399999999999995</v>
      </c>
      <c r="F48" s="74">
        <f>E48*F47</f>
        <v>5.67666</v>
      </c>
      <c r="G48" s="783"/>
      <c r="H48" s="783"/>
      <c r="I48" s="781">
        <v>0</v>
      </c>
      <c r="J48" s="796">
        <f>I48*F48</f>
        <v>0</v>
      </c>
      <c r="K48" s="783"/>
      <c r="L48" s="783"/>
      <c r="M48" s="796">
        <f>L48+J48+H48</f>
        <v>0</v>
      </c>
    </row>
    <row r="49" spans="1:13">
      <c r="A49" s="154"/>
      <c r="B49" s="152"/>
      <c r="C49" s="147" t="s">
        <v>64</v>
      </c>
      <c r="D49" s="77" t="s">
        <v>7</v>
      </c>
      <c r="E49" s="156">
        <f>4.09/100</f>
        <v>4.0899999999999999E-2</v>
      </c>
      <c r="F49" s="74">
        <f>F47*E49</f>
        <v>0.41165850000000004</v>
      </c>
      <c r="G49" s="783"/>
      <c r="H49" s="783"/>
      <c r="I49" s="783"/>
      <c r="J49" s="783"/>
      <c r="K49" s="783">
        <v>0</v>
      </c>
      <c r="L49" s="783">
        <f>K49*F49</f>
        <v>0</v>
      </c>
      <c r="M49" s="796">
        <f>L49+J49+H49</f>
        <v>0</v>
      </c>
    </row>
    <row r="50" spans="1:13">
      <c r="A50" s="154"/>
      <c r="B50" s="77" t="s">
        <v>141</v>
      </c>
      <c r="C50" s="147" t="s">
        <v>122</v>
      </c>
      <c r="D50" s="77" t="s">
        <v>67</v>
      </c>
      <c r="E50" s="157">
        <f>0.45/100</f>
        <v>4.5000000000000005E-3</v>
      </c>
      <c r="F50" s="158">
        <f>E50*F47</f>
        <v>4.5292500000000013E-2</v>
      </c>
      <c r="G50" s="783">
        <v>0</v>
      </c>
      <c r="H50" s="783">
        <f>G50*F50</f>
        <v>0</v>
      </c>
      <c r="I50" s="783"/>
      <c r="J50" s="783"/>
      <c r="K50" s="783"/>
      <c r="L50" s="783"/>
      <c r="M50" s="796">
        <f>L50+J50+H50</f>
        <v>0</v>
      </c>
    </row>
    <row r="51" spans="1:13">
      <c r="A51" s="154"/>
      <c r="B51" s="77" t="s">
        <v>142</v>
      </c>
      <c r="C51" s="147" t="s">
        <v>107</v>
      </c>
      <c r="D51" s="77" t="s">
        <v>6</v>
      </c>
      <c r="E51" s="157">
        <f>0.75/100</f>
        <v>7.4999999999999997E-3</v>
      </c>
      <c r="F51" s="158">
        <f>F47*E51</f>
        <v>7.5487500000000013E-2</v>
      </c>
      <c r="G51" s="783">
        <v>0</v>
      </c>
      <c r="H51" s="783">
        <f>G51*F51</f>
        <v>0</v>
      </c>
      <c r="I51" s="783"/>
      <c r="J51" s="783"/>
      <c r="K51" s="783"/>
      <c r="L51" s="783"/>
      <c r="M51" s="796">
        <f>L51+J51+H51</f>
        <v>0</v>
      </c>
    </row>
    <row r="52" spans="1:13">
      <c r="A52" s="154"/>
      <c r="B52" s="52"/>
      <c r="C52" s="159" t="s">
        <v>94</v>
      </c>
      <c r="D52" s="77" t="s">
        <v>7</v>
      </c>
      <c r="E52" s="157">
        <f>26.5/100</f>
        <v>0.26500000000000001</v>
      </c>
      <c r="F52" s="160">
        <f>E52*F47</f>
        <v>2.6672250000000006</v>
      </c>
      <c r="G52" s="783">
        <v>0</v>
      </c>
      <c r="H52" s="783">
        <f>G52*F52</f>
        <v>0</v>
      </c>
      <c r="I52" s="783"/>
      <c r="J52" s="783"/>
      <c r="K52" s="783"/>
      <c r="L52" s="783"/>
      <c r="M52" s="796">
        <f>L52+J52+H52</f>
        <v>0</v>
      </c>
    </row>
    <row r="53" spans="1:13">
      <c r="A53" s="140" t="s">
        <v>116</v>
      </c>
      <c r="B53" s="161" t="s">
        <v>98</v>
      </c>
      <c r="C53" s="162" t="s">
        <v>123</v>
      </c>
      <c r="D53" s="163" t="s">
        <v>65</v>
      </c>
      <c r="E53" s="164"/>
      <c r="F53" s="165">
        <v>4</v>
      </c>
      <c r="G53" s="795"/>
      <c r="H53" s="783"/>
      <c r="I53" s="795"/>
      <c r="J53" s="796"/>
      <c r="K53" s="795"/>
      <c r="L53" s="783"/>
      <c r="M53" s="794">
        <f>SUM(M54:M59)</f>
        <v>0</v>
      </c>
    </row>
    <row r="54" spans="1:13" ht="15">
      <c r="A54" s="140"/>
      <c r="B54" s="166"/>
      <c r="C54" s="167" t="s">
        <v>58</v>
      </c>
      <c r="D54" s="168" t="s">
        <v>5</v>
      </c>
      <c r="E54" s="168">
        <v>2.69</v>
      </c>
      <c r="F54" s="168">
        <f>F53*E54</f>
        <v>10.76</v>
      </c>
      <c r="G54" s="795"/>
      <c r="H54" s="783"/>
      <c r="I54" s="781">
        <v>0</v>
      </c>
      <c r="J54" s="796">
        <f>I54*F54</f>
        <v>0</v>
      </c>
      <c r="K54" s="795"/>
      <c r="L54" s="783"/>
      <c r="M54" s="796">
        <f>L54+J54+H54</f>
        <v>0</v>
      </c>
    </row>
    <row r="55" spans="1:13">
      <c r="A55" s="140"/>
      <c r="B55" s="166"/>
      <c r="C55" s="147" t="s">
        <v>64</v>
      </c>
      <c r="D55" s="168" t="s">
        <v>69</v>
      </c>
      <c r="E55" s="168">
        <v>0.01</v>
      </c>
      <c r="F55" s="168">
        <f>E55*F53</f>
        <v>0.04</v>
      </c>
      <c r="G55" s="795"/>
      <c r="H55" s="783"/>
      <c r="I55" s="795"/>
      <c r="J55" s="796"/>
      <c r="K55" s="795">
        <v>0</v>
      </c>
      <c r="L55" s="783">
        <f>K55*F55</f>
        <v>0</v>
      </c>
      <c r="M55" s="796">
        <f>L55+J55+H55</f>
        <v>0</v>
      </c>
    </row>
    <row r="56" spans="1:13">
      <c r="A56" s="140"/>
      <c r="B56" s="166" t="s">
        <v>138</v>
      </c>
      <c r="C56" s="167" t="s">
        <v>108</v>
      </c>
      <c r="D56" s="168" t="s">
        <v>70</v>
      </c>
      <c r="E56" s="168">
        <v>0.3</v>
      </c>
      <c r="F56" s="168">
        <f>F53*E56</f>
        <v>1.2</v>
      </c>
      <c r="G56" s="795">
        <v>0</v>
      </c>
      <c r="H56" s="783">
        <f>G56*F56</f>
        <v>0</v>
      </c>
      <c r="I56" s="795"/>
      <c r="J56" s="796"/>
      <c r="K56" s="795"/>
      <c r="L56" s="783"/>
      <c r="M56" s="796">
        <f t="shared" ref="M56:M59" si="5">L56+J56+H56</f>
        <v>0</v>
      </c>
    </row>
    <row r="57" spans="1:13">
      <c r="A57" s="140"/>
      <c r="B57" s="166" t="s">
        <v>139</v>
      </c>
      <c r="C57" s="167" t="s">
        <v>109</v>
      </c>
      <c r="D57" s="168" t="s">
        <v>70</v>
      </c>
      <c r="E57" s="168">
        <v>2.25</v>
      </c>
      <c r="F57" s="168">
        <f>F53*E57</f>
        <v>9</v>
      </c>
      <c r="G57" s="795">
        <v>0</v>
      </c>
      <c r="H57" s="783">
        <f t="shared" ref="H57:H59" si="6">G57*F57</f>
        <v>0</v>
      </c>
      <c r="I57" s="795"/>
      <c r="J57" s="796"/>
      <c r="K57" s="795"/>
      <c r="L57" s="783"/>
      <c r="M57" s="796">
        <f t="shared" si="5"/>
        <v>0</v>
      </c>
    </row>
    <row r="58" spans="1:13">
      <c r="A58" s="140"/>
      <c r="B58" s="166" t="s">
        <v>140</v>
      </c>
      <c r="C58" s="167" t="s">
        <v>124</v>
      </c>
      <c r="D58" s="168" t="s">
        <v>65</v>
      </c>
      <c r="E58" s="168">
        <v>1</v>
      </c>
      <c r="F58" s="168">
        <f>E58*F53</f>
        <v>4</v>
      </c>
      <c r="G58" s="795">
        <v>0</v>
      </c>
      <c r="H58" s="783">
        <f t="shared" si="6"/>
        <v>0</v>
      </c>
      <c r="I58" s="795"/>
      <c r="J58" s="796"/>
      <c r="K58" s="795"/>
      <c r="L58" s="783"/>
      <c r="M58" s="796">
        <f t="shared" si="5"/>
        <v>0</v>
      </c>
    </row>
    <row r="59" spans="1:13">
      <c r="A59" s="140"/>
      <c r="B59" s="166"/>
      <c r="C59" s="155" t="s">
        <v>68</v>
      </c>
      <c r="D59" s="169" t="s">
        <v>69</v>
      </c>
      <c r="E59" s="168">
        <v>7.3</v>
      </c>
      <c r="F59" s="168">
        <f>E59*F53</f>
        <v>29.2</v>
      </c>
      <c r="G59" s="795">
        <v>0</v>
      </c>
      <c r="H59" s="783">
        <f t="shared" si="6"/>
        <v>0</v>
      </c>
      <c r="I59" s="795"/>
      <c r="J59" s="796"/>
      <c r="K59" s="795"/>
      <c r="L59" s="783"/>
      <c r="M59" s="796">
        <f t="shared" si="5"/>
        <v>0</v>
      </c>
    </row>
    <row r="60" spans="1:13">
      <c r="A60" s="43"/>
      <c r="B60" s="44"/>
      <c r="C60" s="45" t="s">
        <v>2</v>
      </c>
      <c r="D60" s="46"/>
      <c r="E60" s="761"/>
      <c r="F60" s="762"/>
      <c r="G60" s="762"/>
      <c r="H60" s="763">
        <f>SUM(H11:H59)</f>
        <v>0</v>
      </c>
      <c r="I60" s="763"/>
      <c r="J60" s="763">
        <f>SUM(J11:J59)</f>
        <v>0</v>
      </c>
      <c r="K60" s="763"/>
      <c r="L60" s="763">
        <f>SUM(L11:L59)</f>
        <v>0</v>
      </c>
      <c r="M60" s="763">
        <f>SUM(M11:M59)/2</f>
        <v>0</v>
      </c>
    </row>
    <row r="61" spans="1:13">
      <c r="A61" s="43"/>
      <c r="B61" s="44"/>
      <c r="C61" s="45" t="s">
        <v>129</v>
      </c>
      <c r="D61" s="46">
        <v>3</v>
      </c>
      <c r="E61" s="761"/>
      <c r="F61" s="762"/>
      <c r="G61" s="762"/>
      <c r="H61" s="763"/>
      <c r="I61" s="763"/>
      <c r="J61" s="763"/>
      <c r="K61" s="763"/>
      <c r="L61" s="763"/>
      <c r="M61" s="763"/>
    </row>
    <row r="62" spans="1:13">
      <c r="A62" s="43"/>
      <c r="B62" s="44"/>
      <c r="C62" s="45" t="s">
        <v>2</v>
      </c>
      <c r="D62" s="46"/>
      <c r="E62" s="761"/>
      <c r="F62" s="762"/>
      <c r="G62" s="762"/>
      <c r="H62" s="763">
        <f>H60*D61</f>
        <v>0</v>
      </c>
      <c r="I62" s="763"/>
      <c r="J62" s="763">
        <f>J60*D61</f>
        <v>0</v>
      </c>
      <c r="K62" s="763"/>
      <c r="L62" s="763">
        <f>L60*D61</f>
        <v>0</v>
      </c>
      <c r="M62" s="763">
        <f>M60*D61</f>
        <v>0</v>
      </c>
    </row>
    <row r="63" spans="1:13">
      <c r="A63" s="681" t="s">
        <v>172</v>
      </c>
      <c r="B63" s="689"/>
      <c r="C63" s="689"/>
      <c r="D63" s="689"/>
      <c r="E63" s="689"/>
      <c r="F63" s="689"/>
      <c r="G63" s="689"/>
      <c r="H63" s="689"/>
      <c r="I63" s="689"/>
      <c r="J63" s="689"/>
      <c r="K63" s="689"/>
      <c r="L63" s="689"/>
      <c r="M63" s="690"/>
    </row>
    <row r="64" spans="1:13" ht="24">
      <c r="A64" s="140" t="s">
        <v>44</v>
      </c>
      <c r="B64" s="49" t="s">
        <v>88</v>
      </c>
      <c r="C64" s="141" t="s">
        <v>95</v>
      </c>
      <c r="D64" s="142" t="s">
        <v>25</v>
      </c>
      <c r="E64" s="142"/>
      <c r="F64" s="143">
        <f>15.39*0.4</f>
        <v>6.1560000000000006</v>
      </c>
      <c r="G64" s="795"/>
      <c r="H64" s="783"/>
      <c r="I64" s="795"/>
      <c r="J64" s="796"/>
      <c r="K64" s="795"/>
      <c r="L64" s="783"/>
      <c r="M64" s="794">
        <f>M65+M66</f>
        <v>0</v>
      </c>
    </row>
    <row r="65" spans="1:13" ht="15">
      <c r="A65" s="121"/>
      <c r="B65" s="27"/>
      <c r="C65" s="144" t="s">
        <v>24</v>
      </c>
      <c r="D65" s="145" t="s">
        <v>40</v>
      </c>
      <c r="E65" s="76">
        <f>16.5/1000</f>
        <v>1.6500000000000001E-2</v>
      </c>
      <c r="F65" s="75">
        <f>F64*E65</f>
        <v>0.10157400000000001</v>
      </c>
      <c r="G65" s="796"/>
      <c r="H65" s="796"/>
      <c r="I65" s="781">
        <v>0</v>
      </c>
      <c r="J65" s="796">
        <f>F65*I65</f>
        <v>0</v>
      </c>
      <c r="K65" s="796"/>
      <c r="L65" s="796"/>
      <c r="M65" s="796">
        <f>L65+J65+H65</f>
        <v>0</v>
      </c>
    </row>
    <row r="66" spans="1:13">
      <c r="A66" s="121"/>
      <c r="B66" s="149" t="s">
        <v>136</v>
      </c>
      <c r="C66" s="144" t="s">
        <v>33</v>
      </c>
      <c r="D66" s="145" t="s">
        <v>41</v>
      </c>
      <c r="E66" s="76">
        <f>37/1000</f>
        <v>3.6999999999999998E-2</v>
      </c>
      <c r="F66" s="74">
        <f>F64*E66</f>
        <v>0.227772</v>
      </c>
      <c r="G66" s="783"/>
      <c r="H66" s="783"/>
      <c r="I66" s="783"/>
      <c r="J66" s="783"/>
      <c r="K66" s="783">
        <v>0</v>
      </c>
      <c r="L66" s="801">
        <f>K66*F66</f>
        <v>0</v>
      </c>
      <c r="M66" s="796">
        <f>L66+J66+H66</f>
        <v>0</v>
      </c>
    </row>
    <row r="67" spans="1:13">
      <c r="A67" s="140"/>
      <c r="B67" s="49" t="s">
        <v>23</v>
      </c>
      <c r="C67" s="141" t="s">
        <v>51</v>
      </c>
      <c r="D67" s="142" t="s">
        <v>25</v>
      </c>
      <c r="E67" s="142"/>
      <c r="F67" s="143">
        <f>F64*3%</f>
        <v>0.18468000000000001</v>
      </c>
      <c r="G67" s="795"/>
      <c r="H67" s="783"/>
      <c r="I67" s="795"/>
      <c r="J67" s="796"/>
      <c r="K67" s="795"/>
      <c r="L67" s="783"/>
      <c r="M67" s="794">
        <f>M68</f>
        <v>0</v>
      </c>
    </row>
    <row r="68" spans="1:13" ht="15">
      <c r="A68" s="140"/>
      <c r="B68" s="49"/>
      <c r="C68" s="144" t="s">
        <v>24</v>
      </c>
      <c r="D68" s="145" t="s">
        <v>40</v>
      </c>
      <c r="E68" s="145">
        <f>206/100</f>
        <v>2.06</v>
      </c>
      <c r="F68" s="146">
        <f>F67*E68</f>
        <v>0.38044080000000002</v>
      </c>
      <c r="G68" s="795"/>
      <c r="H68" s="783"/>
      <c r="I68" s="781">
        <v>0</v>
      </c>
      <c r="J68" s="796">
        <f>I68*F68</f>
        <v>0</v>
      </c>
      <c r="K68" s="795"/>
      <c r="L68" s="783"/>
      <c r="M68" s="802">
        <f>L68+J68+H68</f>
        <v>0</v>
      </c>
    </row>
    <row r="69" spans="1:13" ht="24">
      <c r="A69" s="140" t="s">
        <v>45</v>
      </c>
      <c r="B69" s="49" t="s">
        <v>52</v>
      </c>
      <c r="C69" s="141" t="s">
        <v>32</v>
      </c>
      <c r="D69" s="142" t="s">
        <v>25</v>
      </c>
      <c r="E69" s="142"/>
      <c r="F69" s="143">
        <f>15.39*0.6</f>
        <v>9.234</v>
      </c>
      <c r="G69" s="795"/>
      <c r="H69" s="783"/>
      <c r="I69" s="795"/>
      <c r="J69" s="796"/>
      <c r="K69" s="795"/>
      <c r="L69" s="783"/>
      <c r="M69" s="794">
        <f>M70+M71</f>
        <v>0</v>
      </c>
    </row>
    <row r="70" spans="1:13" ht="15">
      <c r="A70" s="140"/>
      <c r="B70" s="49"/>
      <c r="C70" s="144" t="s">
        <v>24</v>
      </c>
      <c r="D70" s="145" t="s">
        <v>40</v>
      </c>
      <c r="E70" s="145">
        <f>21.5/1000</f>
        <v>2.1499999999999998E-2</v>
      </c>
      <c r="F70" s="146">
        <f>F69*E70</f>
        <v>0.19853099999999999</v>
      </c>
      <c r="G70" s="796"/>
      <c r="H70" s="796"/>
      <c r="I70" s="781">
        <v>0</v>
      </c>
      <c r="J70" s="796">
        <f>F70*I70</f>
        <v>0</v>
      </c>
      <c r="K70" s="796"/>
      <c r="L70" s="796"/>
      <c r="M70" s="796">
        <f>L70+J70+H70</f>
        <v>0</v>
      </c>
    </row>
    <row r="71" spans="1:13">
      <c r="A71" s="140"/>
      <c r="B71" s="149" t="s">
        <v>136</v>
      </c>
      <c r="C71" s="144" t="s">
        <v>33</v>
      </c>
      <c r="D71" s="145" t="s">
        <v>41</v>
      </c>
      <c r="E71" s="145">
        <f>48.2/1000</f>
        <v>4.82E-2</v>
      </c>
      <c r="F71" s="146">
        <f>F69*E71</f>
        <v>0.4450788</v>
      </c>
      <c r="G71" s="783"/>
      <c r="H71" s="783"/>
      <c r="I71" s="783"/>
      <c r="J71" s="783"/>
      <c r="K71" s="783">
        <v>0</v>
      </c>
      <c r="L71" s="801">
        <f>K71*F71</f>
        <v>0</v>
      </c>
      <c r="M71" s="796">
        <f>L71+J71+H71</f>
        <v>0</v>
      </c>
    </row>
    <row r="72" spans="1:13">
      <c r="A72" s="140" t="s">
        <v>46</v>
      </c>
      <c r="B72" s="49" t="s">
        <v>50</v>
      </c>
      <c r="C72" s="141" t="s">
        <v>34</v>
      </c>
      <c r="D72" s="142" t="s">
        <v>25</v>
      </c>
      <c r="E72" s="142"/>
      <c r="F72" s="143">
        <f>F69*3%</f>
        <v>0.27701999999999999</v>
      </c>
      <c r="G72" s="795"/>
      <c r="H72" s="783"/>
      <c r="I72" s="795"/>
      <c r="J72" s="796"/>
      <c r="K72" s="795"/>
      <c r="L72" s="783"/>
      <c r="M72" s="794">
        <f>M73</f>
        <v>0</v>
      </c>
    </row>
    <row r="73" spans="1:13" ht="15">
      <c r="A73" s="140"/>
      <c r="B73" s="49"/>
      <c r="C73" s="144" t="s">
        <v>24</v>
      </c>
      <c r="D73" s="145" t="s">
        <v>40</v>
      </c>
      <c r="E73" s="145">
        <f>299/100</f>
        <v>2.99</v>
      </c>
      <c r="F73" s="146">
        <f>E73*F72</f>
        <v>0.82828980000000008</v>
      </c>
      <c r="G73" s="795"/>
      <c r="H73" s="783"/>
      <c r="I73" s="781">
        <v>0</v>
      </c>
      <c r="J73" s="796">
        <f>I73*F73</f>
        <v>0</v>
      </c>
      <c r="K73" s="795"/>
      <c r="L73" s="783"/>
      <c r="M73" s="802">
        <f>L73+J73+H73</f>
        <v>0</v>
      </c>
    </row>
    <row r="74" spans="1:13">
      <c r="A74" s="140" t="s">
        <v>47</v>
      </c>
      <c r="B74" s="49" t="s">
        <v>53</v>
      </c>
      <c r="C74" s="141" t="s">
        <v>35</v>
      </c>
      <c r="D74" s="142" t="s">
        <v>25</v>
      </c>
      <c r="E74" s="142"/>
      <c r="F74" s="143">
        <f>F64+F67+F69+F72-F79</f>
        <v>5.6517000000000017</v>
      </c>
      <c r="G74" s="795"/>
      <c r="H74" s="783"/>
      <c r="I74" s="795"/>
      <c r="J74" s="796"/>
      <c r="K74" s="795"/>
      <c r="L74" s="783"/>
      <c r="M74" s="794">
        <f>M75+M76+M77+M78</f>
        <v>0</v>
      </c>
    </row>
    <row r="75" spans="1:13" ht="15">
      <c r="A75" s="140"/>
      <c r="B75" s="49"/>
      <c r="C75" s="144" t="s">
        <v>20</v>
      </c>
      <c r="D75" s="145" t="s">
        <v>40</v>
      </c>
      <c r="E75" s="145">
        <f>27/1000</f>
        <v>2.7E-2</v>
      </c>
      <c r="F75" s="146">
        <f>F74*E75</f>
        <v>0.15259590000000003</v>
      </c>
      <c r="G75" s="795"/>
      <c r="H75" s="783"/>
      <c r="I75" s="781">
        <v>0</v>
      </c>
      <c r="J75" s="796">
        <f>F75*I75</f>
        <v>0</v>
      </c>
      <c r="K75" s="795"/>
      <c r="L75" s="783"/>
      <c r="M75" s="796">
        <f t="shared" ref="M75:M78" si="7">L75+J75+H75</f>
        <v>0</v>
      </c>
    </row>
    <row r="76" spans="1:13">
      <c r="A76" s="140"/>
      <c r="B76" s="149" t="s">
        <v>136</v>
      </c>
      <c r="C76" s="144" t="s">
        <v>36</v>
      </c>
      <c r="D76" s="145" t="s">
        <v>42</v>
      </c>
      <c r="E76" s="145">
        <f>60.5/1000</f>
        <v>6.0499999999999998E-2</v>
      </c>
      <c r="F76" s="146">
        <f>F74*E76</f>
        <v>0.34192785000000009</v>
      </c>
      <c r="G76" s="795"/>
      <c r="H76" s="783"/>
      <c r="I76" s="795"/>
      <c r="J76" s="796"/>
      <c r="K76" s="783">
        <v>0</v>
      </c>
      <c r="L76" s="801">
        <f>K76*F76</f>
        <v>0</v>
      </c>
      <c r="M76" s="796">
        <f t="shared" si="7"/>
        <v>0</v>
      </c>
    </row>
    <row r="77" spans="1:13">
      <c r="A77" s="140"/>
      <c r="B77" s="49"/>
      <c r="C77" s="144" t="s">
        <v>21</v>
      </c>
      <c r="D77" s="145" t="s">
        <v>7</v>
      </c>
      <c r="E77" s="145">
        <f>2.21/1000</f>
        <v>2.2100000000000002E-3</v>
      </c>
      <c r="F77" s="146">
        <f>F74*E77</f>
        <v>1.2490257000000005E-2</v>
      </c>
      <c r="G77" s="795"/>
      <c r="H77" s="783"/>
      <c r="I77" s="795"/>
      <c r="J77" s="796"/>
      <c r="K77" s="795">
        <v>0</v>
      </c>
      <c r="L77" s="801">
        <f>K77*F77</f>
        <v>0</v>
      </c>
      <c r="M77" s="796">
        <f t="shared" si="7"/>
        <v>0</v>
      </c>
    </row>
    <row r="78" spans="1:13">
      <c r="A78" s="140"/>
      <c r="B78" s="27" t="s">
        <v>131</v>
      </c>
      <c r="C78" s="144" t="s">
        <v>22</v>
      </c>
      <c r="D78" s="145" t="s">
        <v>25</v>
      </c>
      <c r="E78" s="145">
        <f>0.06/1000</f>
        <v>5.9999999999999995E-5</v>
      </c>
      <c r="F78" s="146">
        <f>F74*E78</f>
        <v>3.3910200000000009E-4</v>
      </c>
      <c r="G78" s="790">
        <v>0</v>
      </c>
      <c r="H78" s="783">
        <f>G78*F78</f>
        <v>0</v>
      </c>
      <c r="I78" s="795"/>
      <c r="J78" s="796"/>
      <c r="K78" s="795"/>
      <c r="L78" s="783"/>
      <c r="M78" s="804">
        <f t="shared" si="7"/>
        <v>0</v>
      </c>
    </row>
    <row r="79" spans="1:13" ht="24">
      <c r="A79" s="49">
        <v>5</v>
      </c>
      <c r="B79" s="27" t="s">
        <v>8</v>
      </c>
      <c r="C79" s="141" t="s">
        <v>37</v>
      </c>
      <c r="D79" s="142" t="s">
        <v>120</v>
      </c>
      <c r="E79" s="142"/>
      <c r="F79" s="143">
        <v>10.199999999999999</v>
      </c>
      <c r="G79" s="804"/>
      <c r="H79" s="804"/>
      <c r="I79" s="804"/>
      <c r="J79" s="804"/>
      <c r="K79" s="804"/>
      <c r="L79" s="804"/>
      <c r="M79" s="805">
        <f>M80</f>
        <v>0</v>
      </c>
    </row>
    <row r="80" spans="1:13">
      <c r="A80" s="176"/>
      <c r="B80" s="176" t="s">
        <v>89</v>
      </c>
      <c r="C80" s="147" t="s">
        <v>96</v>
      </c>
      <c r="D80" s="76" t="s">
        <v>5</v>
      </c>
      <c r="E80" s="76">
        <f>9.21/1000</f>
        <v>9.2100000000000012E-3</v>
      </c>
      <c r="F80" s="75">
        <f>F79*E80</f>
        <v>9.3942000000000012E-2</v>
      </c>
      <c r="G80" s="804"/>
      <c r="H80" s="804"/>
      <c r="I80" s="804"/>
      <c r="J80" s="804"/>
      <c r="K80" s="795">
        <v>0</v>
      </c>
      <c r="L80" s="801">
        <f>F80*K80</f>
        <v>0</v>
      </c>
      <c r="M80" s="804">
        <f t="shared" ref="M80" si="8">H80+J80+L80</f>
        <v>0</v>
      </c>
    </row>
    <row r="81" spans="1:13">
      <c r="A81" s="140" t="s">
        <v>91</v>
      </c>
      <c r="B81" s="49" t="s">
        <v>57</v>
      </c>
      <c r="C81" s="141" t="s">
        <v>39</v>
      </c>
      <c r="D81" s="142" t="s">
        <v>25</v>
      </c>
      <c r="E81" s="142"/>
      <c r="F81" s="143">
        <f>F79</f>
        <v>10.199999999999999</v>
      </c>
      <c r="G81" s="791"/>
      <c r="H81" s="792"/>
      <c r="I81" s="791"/>
      <c r="J81" s="793"/>
      <c r="K81" s="791"/>
      <c r="L81" s="792"/>
      <c r="M81" s="794">
        <f>M82+M83</f>
        <v>0</v>
      </c>
    </row>
    <row r="82" spans="1:13" ht="15">
      <c r="A82" s="140"/>
      <c r="B82" s="49"/>
      <c r="C82" s="144" t="s">
        <v>24</v>
      </c>
      <c r="D82" s="145" t="s">
        <v>40</v>
      </c>
      <c r="E82" s="145">
        <f>13.4/100</f>
        <v>0.13400000000000001</v>
      </c>
      <c r="F82" s="146">
        <f>E82*F81</f>
        <v>1.3668</v>
      </c>
      <c r="G82" s="795"/>
      <c r="H82" s="783"/>
      <c r="I82" s="781">
        <v>0</v>
      </c>
      <c r="J82" s="796">
        <f>F82*I82</f>
        <v>0</v>
      </c>
      <c r="K82" s="795"/>
      <c r="L82" s="783"/>
      <c r="M82" s="796">
        <f>L82+J82+H82</f>
        <v>0</v>
      </c>
    </row>
    <row r="83" spans="1:13" ht="27.6">
      <c r="A83" s="140"/>
      <c r="B83" s="103" t="s">
        <v>137</v>
      </c>
      <c r="C83" s="144" t="s">
        <v>99</v>
      </c>
      <c r="D83" s="145" t="s">
        <v>43</v>
      </c>
      <c r="E83" s="145">
        <f>13/100</f>
        <v>0.13</v>
      </c>
      <c r="F83" s="146">
        <f>F81*E83</f>
        <v>1.3259999999999998</v>
      </c>
      <c r="G83" s="795"/>
      <c r="H83" s="783"/>
      <c r="I83" s="795"/>
      <c r="J83" s="796"/>
      <c r="K83" s="797">
        <v>0</v>
      </c>
      <c r="L83" s="801">
        <f>K83*F83</f>
        <v>0</v>
      </c>
      <c r="M83" s="796">
        <f>L83+J83+H83</f>
        <v>0</v>
      </c>
    </row>
    <row r="84" spans="1:13">
      <c r="A84" s="140" t="s">
        <v>55</v>
      </c>
      <c r="B84" s="49"/>
      <c r="C84" s="141" t="s">
        <v>56</v>
      </c>
      <c r="D84" s="142" t="s">
        <v>26</v>
      </c>
      <c r="E84" s="142"/>
      <c r="F84" s="143">
        <f>F74*1.9</f>
        <v>10.738230000000003</v>
      </c>
      <c r="G84" s="795"/>
      <c r="H84" s="783"/>
      <c r="I84" s="795"/>
      <c r="J84" s="796"/>
      <c r="K84" s="795"/>
      <c r="L84" s="783"/>
      <c r="M84" s="805">
        <f>M85</f>
        <v>0</v>
      </c>
    </row>
    <row r="85" spans="1:13">
      <c r="A85" s="148"/>
      <c r="B85" s="176" t="s">
        <v>83</v>
      </c>
      <c r="C85" s="144" t="s">
        <v>56</v>
      </c>
      <c r="D85" s="145" t="s">
        <v>26</v>
      </c>
      <c r="E85" s="145">
        <v>1</v>
      </c>
      <c r="F85" s="146">
        <f>F84*E85</f>
        <v>10.738230000000003</v>
      </c>
      <c r="G85" s="795"/>
      <c r="H85" s="783"/>
      <c r="I85" s="795"/>
      <c r="J85" s="796"/>
      <c r="K85" s="795">
        <v>0</v>
      </c>
      <c r="L85" s="783">
        <f>K85*F85</f>
        <v>0</v>
      </c>
      <c r="M85" s="804">
        <f t="shared" ref="M85" si="9">L85+J85+H85</f>
        <v>0</v>
      </c>
    </row>
    <row r="86" spans="1:13">
      <c r="A86" s="52">
        <v>8</v>
      </c>
      <c r="B86" s="52" t="s">
        <v>110</v>
      </c>
      <c r="C86" s="150" t="s">
        <v>100</v>
      </c>
      <c r="D86" s="52" t="s">
        <v>6</v>
      </c>
      <c r="E86" s="52"/>
      <c r="F86" s="41">
        <v>0.39</v>
      </c>
      <c r="G86" s="796"/>
      <c r="H86" s="796"/>
      <c r="I86" s="796"/>
      <c r="J86" s="796"/>
      <c r="K86" s="796"/>
      <c r="L86" s="796"/>
      <c r="M86" s="794">
        <f>SUM(M87:M90)</f>
        <v>0</v>
      </c>
    </row>
    <row r="87" spans="1:13">
      <c r="A87" s="52"/>
      <c r="B87" s="52"/>
      <c r="C87" s="78" t="s">
        <v>58</v>
      </c>
      <c r="D87" s="76" t="s">
        <v>5</v>
      </c>
      <c r="E87" s="76">
        <v>0.89</v>
      </c>
      <c r="F87" s="75">
        <f>E87*F86</f>
        <v>0.34710000000000002</v>
      </c>
      <c r="G87" s="796"/>
      <c r="H87" s="796"/>
      <c r="I87" s="796">
        <v>0</v>
      </c>
      <c r="J87" s="796">
        <f>I87*F87</f>
        <v>0</v>
      </c>
      <c r="K87" s="796"/>
      <c r="L87" s="796"/>
      <c r="M87" s="796">
        <f>L87+J87+H87</f>
        <v>0</v>
      </c>
    </row>
    <row r="88" spans="1:13">
      <c r="A88" s="151"/>
      <c r="B88" s="152"/>
      <c r="C88" s="147" t="s">
        <v>64</v>
      </c>
      <c r="D88" s="76" t="s">
        <v>7</v>
      </c>
      <c r="E88" s="77">
        <v>0.37</v>
      </c>
      <c r="F88" s="74">
        <f>E88*F86</f>
        <v>0.14430000000000001</v>
      </c>
      <c r="G88" s="783"/>
      <c r="H88" s="783"/>
      <c r="I88" s="783"/>
      <c r="J88" s="783"/>
      <c r="K88" s="783">
        <v>0</v>
      </c>
      <c r="L88" s="796">
        <f>K88*F88</f>
        <v>0</v>
      </c>
      <c r="M88" s="796">
        <f>L88+J88+H88</f>
        <v>0</v>
      </c>
    </row>
    <row r="89" spans="1:13">
      <c r="A89" s="52"/>
      <c r="B89" s="27" t="s">
        <v>131</v>
      </c>
      <c r="C89" s="78" t="s">
        <v>97</v>
      </c>
      <c r="D89" s="76" t="s">
        <v>6</v>
      </c>
      <c r="E89" s="176">
        <f>115/100</f>
        <v>1.1499999999999999</v>
      </c>
      <c r="F89" s="75">
        <f>F86*E89</f>
        <v>0.44849999999999995</v>
      </c>
      <c r="G89" s="790">
        <v>0</v>
      </c>
      <c r="H89" s="796">
        <f>G89*F89</f>
        <v>0</v>
      </c>
      <c r="I89" s="796"/>
      <c r="J89" s="796"/>
      <c r="K89" s="796"/>
      <c r="L89" s="796"/>
      <c r="M89" s="796">
        <f>L89+J89+H89</f>
        <v>0</v>
      </c>
    </row>
    <row r="90" spans="1:13" ht="15">
      <c r="A90" s="151"/>
      <c r="B90" s="88" t="s">
        <v>133</v>
      </c>
      <c r="C90" s="78" t="s">
        <v>61</v>
      </c>
      <c r="D90" s="76" t="s">
        <v>6</v>
      </c>
      <c r="E90" s="75">
        <v>0.02</v>
      </c>
      <c r="F90" s="53">
        <f>F86*E90</f>
        <v>7.8000000000000005E-3</v>
      </c>
      <c r="G90" s="806">
        <v>0</v>
      </c>
      <c r="H90" s="796">
        <f>G90*F90</f>
        <v>0</v>
      </c>
      <c r="I90" s="796"/>
      <c r="J90" s="796"/>
      <c r="K90" s="796"/>
      <c r="L90" s="796"/>
      <c r="M90" s="796">
        <f>L90+J90+H90</f>
        <v>0</v>
      </c>
    </row>
    <row r="91" spans="1:13" ht="25.2">
      <c r="A91" s="52">
        <v>9</v>
      </c>
      <c r="B91" s="153" t="s">
        <v>101</v>
      </c>
      <c r="C91" s="152" t="s">
        <v>170</v>
      </c>
      <c r="D91" s="52" t="s">
        <v>120</v>
      </c>
      <c r="E91" s="77"/>
      <c r="F91" s="41">
        <f>(3.14*0.85*0.85*1*F94)+(3.14*0.85*0.85*0.5*F95)+(1.7*1.7*0.22*F96)+(1.7*1.7*0.15*F97)</f>
        <v>4.4722749999999998</v>
      </c>
      <c r="G91" s="783"/>
      <c r="H91" s="783"/>
      <c r="I91" s="783"/>
      <c r="J91" s="783"/>
      <c r="K91" s="783"/>
      <c r="L91" s="783"/>
      <c r="M91" s="794">
        <f>SUM(M92:M99)</f>
        <v>0</v>
      </c>
    </row>
    <row r="92" spans="1:13" ht="15">
      <c r="A92" s="154"/>
      <c r="B92" s="152"/>
      <c r="C92" s="147" t="s">
        <v>63</v>
      </c>
      <c r="D92" s="76" t="s">
        <v>5</v>
      </c>
      <c r="E92" s="75">
        <f>92/10</f>
        <v>9.1999999999999993</v>
      </c>
      <c r="F92" s="75">
        <f>E92*F91</f>
        <v>41.144929999999995</v>
      </c>
      <c r="G92" s="783"/>
      <c r="H92" s="783"/>
      <c r="I92" s="781">
        <v>0</v>
      </c>
      <c r="J92" s="796">
        <f>I92*F92</f>
        <v>0</v>
      </c>
      <c r="K92" s="783"/>
      <c r="L92" s="783"/>
      <c r="M92" s="796">
        <f>L92+J92+H92</f>
        <v>0</v>
      </c>
    </row>
    <row r="93" spans="1:13">
      <c r="A93" s="151"/>
      <c r="B93" s="152"/>
      <c r="C93" s="147" t="s">
        <v>64</v>
      </c>
      <c r="D93" s="76" t="s">
        <v>7</v>
      </c>
      <c r="E93" s="77">
        <f>25.3/10</f>
        <v>2.5300000000000002</v>
      </c>
      <c r="F93" s="74">
        <f>E93*F91</f>
        <v>11.314855750000001</v>
      </c>
      <c r="G93" s="783"/>
      <c r="H93" s="783"/>
      <c r="I93" s="783"/>
      <c r="J93" s="783"/>
      <c r="K93" s="783">
        <v>0</v>
      </c>
      <c r="L93" s="796">
        <f>K93*F93</f>
        <v>0</v>
      </c>
      <c r="M93" s="796">
        <f>L93+J93+H93</f>
        <v>0</v>
      </c>
    </row>
    <row r="94" spans="1:13">
      <c r="A94" s="154"/>
      <c r="B94" s="77" t="s">
        <v>143</v>
      </c>
      <c r="C94" s="147" t="s">
        <v>168</v>
      </c>
      <c r="D94" s="76" t="s">
        <v>65</v>
      </c>
      <c r="E94" s="75"/>
      <c r="F94" s="75">
        <v>1</v>
      </c>
      <c r="G94" s="807">
        <v>0</v>
      </c>
      <c r="H94" s="807">
        <f>G94*F94</f>
        <v>0</v>
      </c>
      <c r="I94" s="808"/>
      <c r="J94" s="808"/>
      <c r="K94" s="807"/>
      <c r="L94" s="807"/>
      <c r="M94" s="796">
        <f t="shared" ref="M94:M99" si="10">L94+J94+H94</f>
        <v>0</v>
      </c>
    </row>
    <row r="95" spans="1:13">
      <c r="A95" s="154"/>
      <c r="B95" s="77" t="s">
        <v>144</v>
      </c>
      <c r="C95" s="147" t="s">
        <v>169</v>
      </c>
      <c r="D95" s="76" t="s">
        <v>65</v>
      </c>
      <c r="E95" s="75"/>
      <c r="F95" s="75">
        <v>1</v>
      </c>
      <c r="G95" s="807">
        <f>G94/2</f>
        <v>0</v>
      </c>
      <c r="H95" s="807">
        <f t="shared" ref="H95:H99" si="11">G95*F95</f>
        <v>0</v>
      </c>
      <c r="I95" s="808"/>
      <c r="J95" s="808"/>
      <c r="K95" s="807"/>
      <c r="L95" s="807"/>
      <c r="M95" s="796">
        <f t="shared" si="10"/>
        <v>0</v>
      </c>
    </row>
    <row r="96" spans="1:13">
      <c r="A96" s="154"/>
      <c r="B96" s="77" t="s">
        <v>145</v>
      </c>
      <c r="C96" s="147" t="s">
        <v>102</v>
      </c>
      <c r="D96" s="76" t="s">
        <v>65</v>
      </c>
      <c r="E96" s="75"/>
      <c r="F96" s="75">
        <v>1</v>
      </c>
      <c r="G96" s="807">
        <v>0</v>
      </c>
      <c r="H96" s="807">
        <f t="shared" si="11"/>
        <v>0</v>
      </c>
      <c r="I96" s="808"/>
      <c r="J96" s="808"/>
      <c r="K96" s="807"/>
      <c r="L96" s="807"/>
      <c r="M96" s="796">
        <f t="shared" si="10"/>
        <v>0</v>
      </c>
    </row>
    <row r="97" spans="1:13">
      <c r="A97" s="154"/>
      <c r="B97" s="77" t="s">
        <v>146</v>
      </c>
      <c r="C97" s="147" t="s">
        <v>103</v>
      </c>
      <c r="D97" s="76" t="s">
        <v>5</v>
      </c>
      <c r="E97" s="75"/>
      <c r="F97" s="75">
        <v>1</v>
      </c>
      <c r="G97" s="807">
        <v>0</v>
      </c>
      <c r="H97" s="807">
        <f t="shared" si="11"/>
        <v>0</v>
      </c>
      <c r="I97" s="808"/>
      <c r="J97" s="808"/>
      <c r="K97" s="807"/>
      <c r="L97" s="807"/>
      <c r="M97" s="796">
        <f t="shared" si="10"/>
        <v>0</v>
      </c>
    </row>
    <row r="98" spans="1:13">
      <c r="A98" s="154"/>
      <c r="B98" s="77" t="s">
        <v>147</v>
      </c>
      <c r="C98" s="147" t="s">
        <v>125</v>
      </c>
      <c r="D98" s="76" t="s">
        <v>6</v>
      </c>
      <c r="E98" s="53">
        <f>4.13/10</f>
        <v>0.41299999999999998</v>
      </c>
      <c r="F98" s="75">
        <f>F91*E98</f>
        <v>1.8470495749999998</v>
      </c>
      <c r="G98" s="807">
        <v>0</v>
      </c>
      <c r="H98" s="807">
        <f t="shared" si="11"/>
        <v>0</v>
      </c>
      <c r="I98" s="808"/>
      <c r="J98" s="808"/>
      <c r="K98" s="807"/>
      <c r="L98" s="807"/>
      <c r="M98" s="796">
        <f t="shared" si="10"/>
        <v>0</v>
      </c>
    </row>
    <row r="99" spans="1:13">
      <c r="A99" s="154"/>
      <c r="B99" s="152"/>
      <c r="C99" s="155" t="s">
        <v>68</v>
      </c>
      <c r="D99" s="76" t="s">
        <v>7</v>
      </c>
      <c r="E99" s="75">
        <f>58.7/10</f>
        <v>5.87</v>
      </c>
      <c r="F99" s="75">
        <f>E99*F91</f>
        <v>26.25225425</v>
      </c>
      <c r="G99" s="783">
        <v>0</v>
      </c>
      <c r="H99" s="807">
        <f t="shared" si="11"/>
        <v>0</v>
      </c>
      <c r="I99" s="808"/>
      <c r="J99" s="808"/>
      <c r="K99" s="807"/>
      <c r="L99" s="807"/>
      <c r="M99" s="796">
        <f t="shared" si="10"/>
        <v>0</v>
      </c>
    </row>
    <row r="100" spans="1:13">
      <c r="A100" s="170">
        <v>10</v>
      </c>
      <c r="B100" s="52" t="s">
        <v>104</v>
      </c>
      <c r="C100" s="152" t="s">
        <v>105</v>
      </c>
      <c r="D100" s="52" t="s">
        <v>121</v>
      </c>
      <c r="E100" s="77"/>
      <c r="F100" s="41">
        <f>(3.14*1.7*1*F94)+(3.14*1.7*0.5*F95)+(1.7*0.22*4*F96)+(1.7*0.15*4*F97)</f>
        <v>10.523</v>
      </c>
      <c r="G100" s="783"/>
      <c r="H100" s="783"/>
      <c r="I100" s="783"/>
      <c r="J100" s="783"/>
      <c r="K100" s="783"/>
      <c r="L100" s="783"/>
      <c r="M100" s="794">
        <f>SUM(M101:M105)</f>
        <v>0</v>
      </c>
    </row>
    <row r="101" spans="1:13" ht="15">
      <c r="A101" s="154"/>
      <c r="B101" s="152"/>
      <c r="C101" s="147" t="s">
        <v>106</v>
      </c>
      <c r="D101" s="77" t="s">
        <v>66</v>
      </c>
      <c r="E101" s="156">
        <f>56.4/100</f>
        <v>0.56399999999999995</v>
      </c>
      <c r="F101" s="74">
        <f>E101*F100</f>
        <v>5.9349719999999992</v>
      </c>
      <c r="G101" s="783"/>
      <c r="H101" s="783"/>
      <c r="I101" s="781">
        <v>0</v>
      </c>
      <c r="J101" s="796">
        <f>I101*F101</f>
        <v>0</v>
      </c>
      <c r="K101" s="783"/>
      <c r="L101" s="783"/>
      <c r="M101" s="796">
        <f>L101+J101+H101</f>
        <v>0</v>
      </c>
    </row>
    <row r="102" spans="1:13">
      <c r="A102" s="154"/>
      <c r="B102" s="152"/>
      <c r="C102" s="147" t="s">
        <v>64</v>
      </c>
      <c r="D102" s="77" t="s">
        <v>7</v>
      </c>
      <c r="E102" s="156">
        <f>4.09/100</f>
        <v>4.0899999999999999E-2</v>
      </c>
      <c r="F102" s="74">
        <f>F100*E102</f>
        <v>0.43039069999999996</v>
      </c>
      <c r="G102" s="783"/>
      <c r="H102" s="783"/>
      <c r="I102" s="783"/>
      <c r="J102" s="783"/>
      <c r="K102" s="783">
        <v>0</v>
      </c>
      <c r="L102" s="783">
        <f>K102*F102</f>
        <v>0</v>
      </c>
      <c r="M102" s="796">
        <f>L102+J102+H102</f>
        <v>0</v>
      </c>
    </row>
    <row r="103" spans="1:13">
      <c r="A103" s="154"/>
      <c r="B103" s="77" t="s">
        <v>141</v>
      </c>
      <c r="C103" s="147" t="s">
        <v>122</v>
      </c>
      <c r="D103" s="77" t="s">
        <v>67</v>
      </c>
      <c r="E103" s="157">
        <f>0.45/100</f>
        <v>4.5000000000000005E-3</v>
      </c>
      <c r="F103" s="158">
        <f>E103*F100</f>
        <v>4.7353500000000007E-2</v>
      </c>
      <c r="G103" s="783">
        <v>0</v>
      </c>
      <c r="H103" s="783">
        <f>G103*F103</f>
        <v>0</v>
      </c>
      <c r="I103" s="783"/>
      <c r="J103" s="783"/>
      <c r="K103" s="783"/>
      <c r="L103" s="783"/>
      <c r="M103" s="796">
        <f>L103+J103+H103</f>
        <v>0</v>
      </c>
    </row>
    <row r="104" spans="1:13">
      <c r="A104" s="154"/>
      <c r="B104" s="77" t="s">
        <v>142</v>
      </c>
      <c r="C104" s="147" t="s">
        <v>107</v>
      </c>
      <c r="D104" s="77" t="s">
        <v>6</v>
      </c>
      <c r="E104" s="157">
        <f>0.75/100</f>
        <v>7.4999999999999997E-3</v>
      </c>
      <c r="F104" s="158">
        <f>F100*E104</f>
        <v>7.8922499999999993E-2</v>
      </c>
      <c r="G104" s="783">
        <v>0</v>
      </c>
      <c r="H104" s="783">
        <f>G104*F104</f>
        <v>0</v>
      </c>
      <c r="I104" s="783"/>
      <c r="J104" s="783"/>
      <c r="K104" s="783"/>
      <c r="L104" s="783"/>
      <c r="M104" s="796">
        <f>L104+J104+H104</f>
        <v>0</v>
      </c>
    </row>
    <row r="105" spans="1:13">
      <c r="A105" s="154"/>
      <c r="B105" s="52"/>
      <c r="C105" s="159" t="s">
        <v>94</v>
      </c>
      <c r="D105" s="77" t="s">
        <v>7</v>
      </c>
      <c r="E105" s="157">
        <f>26.5/100</f>
        <v>0.26500000000000001</v>
      </c>
      <c r="F105" s="160">
        <f>E105*F100</f>
        <v>2.7885949999999999</v>
      </c>
      <c r="G105" s="783">
        <v>0</v>
      </c>
      <c r="H105" s="783">
        <f>G105*F105</f>
        <v>0</v>
      </c>
      <c r="I105" s="783"/>
      <c r="J105" s="783"/>
      <c r="K105" s="783"/>
      <c r="L105" s="783"/>
      <c r="M105" s="796">
        <f>L105+J105+H105</f>
        <v>0</v>
      </c>
    </row>
    <row r="106" spans="1:13">
      <c r="A106" s="140" t="s">
        <v>116</v>
      </c>
      <c r="B106" s="161" t="s">
        <v>98</v>
      </c>
      <c r="C106" s="162" t="s">
        <v>123</v>
      </c>
      <c r="D106" s="163" t="s">
        <v>65</v>
      </c>
      <c r="E106" s="164"/>
      <c r="F106" s="165">
        <v>3</v>
      </c>
      <c r="G106" s="795"/>
      <c r="H106" s="783"/>
      <c r="I106" s="795"/>
      <c r="J106" s="796"/>
      <c r="K106" s="795"/>
      <c r="L106" s="783"/>
      <c r="M106" s="794">
        <f>SUM(M107:M112)</f>
        <v>0</v>
      </c>
    </row>
    <row r="107" spans="1:13" ht="15">
      <c r="A107" s="140"/>
      <c r="B107" s="166"/>
      <c r="C107" s="167" t="s">
        <v>58</v>
      </c>
      <c r="D107" s="168" t="s">
        <v>5</v>
      </c>
      <c r="E107" s="168">
        <v>2.69</v>
      </c>
      <c r="F107" s="168">
        <f>F106*E107</f>
        <v>8.07</v>
      </c>
      <c r="G107" s="795"/>
      <c r="H107" s="783"/>
      <c r="I107" s="781">
        <v>0</v>
      </c>
      <c r="J107" s="796">
        <f>I107*F107</f>
        <v>0</v>
      </c>
      <c r="K107" s="795"/>
      <c r="L107" s="783"/>
      <c r="M107" s="796">
        <f>L107+J107+H107</f>
        <v>0</v>
      </c>
    </row>
    <row r="108" spans="1:13">
      <c r="A108" s="140"/>
      <c r="B108" s="166"/>
      <c r="C108" s="147" t="s">
        <v>64</v>
      </c>
      <c r="D108" s="168" t="s">
        <v>69</v>
      </c>
      <c r="E108" s="168">
        <v>0.01</v>
      </c>
      <c r="F108" s="168">
        <f>E108*F106</f>
        <v>0.03</v>
      </c>
      <c r="G108" s="795"/>
      <c r="H108" s="783"/>
      <c r="I108" s="795"/>
      <c r="J108" s="796"/>
      <c r="K108" s="795">
        <v>0</v>
      </c>
      <c r="L108" s="783">
        <f>K108*F108</f>
        <v>0</v>
      </c>
      <c r="M108" s="796">
        <f>L108+J108+H108</f>
        <v>0</v>
      </c>
    </row>
    <row r="109" spans="1:13">
      <c r="A109" s="140"/>
      <c r="B109" s="166" t="s">
        <v>138</v>
      </c>
      <c r="C109" s="167" t="s">
        <v>108</v>
      </c>
      <c r="D109" s="168" t="s">
        <v>70</v>
      </c>
      <c r="E109" s="168">
        <v>0.3</v>
      </c>
      <c r="F109" s="168">
        <f>F106*E109</f>
        <v>0.89999999999999991</v>
      </c>
      <c r="G109" s="795">
        <v>0</v>
      </c>
      <c r="H109" s="783">
        <f>G109*F109</f>
        <v>0</v>
      </c>
      <c r="I109" s="795"/>
      <c r="J109" s="796"/>
      <c r="K109" s="795"/>
      <c r="L109" s="783"/>
      <c r="M109" s="796">
        <f t="shared" ref="M109:M112" si="12">L109+J109+H109</f>
        <v>0</v>
      </c>
    </row>
    <row r="110" spans="1:13">
      <c r="A110" s="140"/>
      <c r="B110" s="166" t="s">
        <v>139</v>
      </c>
      <c r="C110" s="167" t="s">
        <v>109</v>
      </c>
      <c r="D110" s="168" t="s">
        <v>70</v>
      </c>
      <c r="E110" s="168">
        <v>2.25</v>
      </c>
      <c r="F110" s="168">
        <f>F106*E110</f>
        <v>6.75</v>
      </c>
      <c r="G110" s="795">
        <v>0</v>
      </c>
      <c r="H110" s="783">
        <f t="shared" ref="H110:H112" si="13">G110*F110</f>
        <v>0</v>
      </c>
      <c r="I110" s="795"/>
      <c r="J110" s="796"/>
      <c r="K110" s="795"/>
      <c r="L110" s="783"/>
      <c r="M110" s="796">
        <f t="shared" si="12"/>
        <v>0</v>
      </c>
    </row>
    <row r="111" spans="1:13">
      <c r="A111" s="140"/>
      <c r="B111" s="166" t="s">
        <v>140</v>
      </c>
      <c r="C111" s="167" t="s">
        <v>124</v>
      </c>
      <c r="D111" s="168" t="s">
        <v>65</v>
      </c>
      <c r="E111" s="168">
        <v>1</v>
      </c>
      <c r="F111" s="168">
        <f>E111*F106</f>
        <v>3</v>
      </c>
      <c r="G111" s="795">
        <v>0</v>
      </c>
      <c r="H111" s="783">
        <f t="shared" si="13"/>
        <v>0</v>
      </c>
      <c r="I111" s="795"/>
      <c r="J111" s="796"/>
      <c r="K111" s="795"/>
      <c r="L111" s="783"/>
      <c r="M111" s="796">
        <f t="shared" si="12"/>
        <v>0</v>
      </c>
    </row>
    <row r="112" spans="1:13">
      <c r="A112" s="140"/>
      <c r="B112" s="166"/>
      <c r="C112" s="155" t="s">
        <v>68</v>
      </c>
      <c r="D112" s="169" t="s">
        <v>69</v>
      </c>
      <c r="E112" s="168">
        <v>7.3</v>
      </c>
      <c r="F112" s="168">
        <f>E112*F106</f>
        <v>21.9</v>
      </c>
      <c r="G112" s="795">
        <v>0</v>
      </c>
      <c r="H112" s="783">
        <f t="shared" si="13"/>
        <v>0</v>
      </c>
      <c r="I112" s="795"/>
      <c r="J112" s="796"/>
      <c r="K112" s="795"/>
      <c r="L112" s="783"/>
      <c r="M112" s="796">
        <f t="shared" si="12"/>
        <v>0</v>
      </c>
    </row>
    <row r="113" spans="1:13">
      <c r="A113" s="43"/>
      <c r="B113" s="44"/>
      <c r="C113" s="45" t="s">
        <v>2</v>
      </c>
      <c r="D113" s="46"/>
      <c r="E113" s="761"/>
      <c r="F113" s="762"/>
      <c r="G113" s="762"/>
      <c r="H113" s="763">
        <f>SUM(H64:H112)</f>
        <v>0</v>
      </c>
      <c r="I113" s="763"/>
      <c r="J113" s="763">
        <f>SUM(J64:J112)</f>
        <v>0</v>
      </c>
      <c r="K113" s="763"/>
      <c r="L113" s="763">
        <f>SUM(L64:L112)</f>
        <v>0</v>
      </c>
      <c r="M113" s="763">
        <f>SUM(M64:M112)/2</f>
        <v>0</v>
      </c>
    </row>
    <row r="114" spans="1:13">
      <c r="A114" s="43"/>
      <c r="B114" s="44"/>
      <c r="C114" s="45" t="s">
        <v>129</v>
      </c>
      <c r="D114" s="46">
        <v>1</v>
      </c>
      <c r="E114" s="761"/>
      <c r="F114" s="762"/>
      <c r="G114" s="762"/>
      <c r="H114" s="763"/>
      <c r="I114" s="763"/>
      <c r="J114" s="763"/>
      <c r="K114" s="763"/>
      <c r="L114" s="763"/>
      <c r="M114" s="763"/>
    </row>
    <row r="115" spans="1:13">
      <c r="A115" s="43"/>
      <c r="B115" s="44"/>
      <c r="C115" s="45" t="s">
        <v>2</v>
      </c>
      <c r="D115" s="760"/>
      <c r="E115" s="761"/>
      <c r="F115" s="762"/>
      <c r="G115" s="762"/>
      <c r="H115" s="763">
        <f>H113*D114</f>
        <v>0</v>
      </c>
      <c r="I115" s="763"/>
      <c r="J115" s="763">
        <f>J113*D114</f>
        <v>0</v>
      </c>
      <c r="K115" s="763"/>
      <c r="L115" s="763">
        <f>L113*D114</f>
        <v>0</v>
      </c>
      <c r="M115" s="763">
        <f>M113*D114</f>
        <v>0</v>
      </c>
    </row>
    <row r="116" spans="1:13">
      <c r="A116" s="43"/>
      <c r="B116" s="44"/>
      <c r="C116" s="45" t="s">
        <v>30</v>
      </c>
      <c r="D116" s="760"/>
      <c r="E116" s="761"/>
      <c r="F116" s="762"/>
      <c r="G116" s="762"/>
      <c r="H116" s="763">
        <f>H115+H62</f>
        <v>0</v>
      </c>
      <c r="I116" s="763"/>
      <c r="J116" s="763">
        <f>J115+J62</f>
        <v>0</v>
      </c>
      <c r="K116" s="763"/>
      <c r="L116" s="763">
        <f>L115+L62</f>
        <v>0</v>
      </c>
      <c r="M116" s="763">
        <f>M115+M62</f>
        <v>0</v>
      </c>
    </row>
    <row r="117" spans="1:13">
      <c r="A117" s="107"/>
      <c r="B117" s="47"/>
      <c r="C117" s="108" t="s">
        <v>27</v>
      </c>
      <c r="D117" s="764">
        <v>0</v>
      </c>
      <c r="E117" s="765"/>
      <c r="F117" s="766"/>
      <c r="G117" s="766"/>
      <c r="H117" s="767"/>
      <c r="I117" s="766"/>
      <c r="J117" s="767"/>
      <c r="K117" s="766"/>
      <c r="L117" s="767"/>
      <c r="M117" s="767">
        <f>H116*D117</f>
        <v>0</v>
      </c>
    </row>
    <row r="118" spans="1:13">
      <c r="A118" s="107"/>
      <c r="B118" s="42"/>
      <c r="C118" s="48" t="s">
        <v>2</v>
      </c>
      <c r="D118" s="768"/>
      <c r="E118" s="769"/>
      <c r="F118" s="770"/>
      <c r="G118" s="770"/>
      <c r="H118" s="771"/>
      <c r="I118" s="772"/>
      <c r="J118" s="771"/>
      <c r="K118" s="772"/>
      <c r="L118" s="771"/>
      <c r="M118" s="771">
        <f>M62+M117</f>
        <v>0</v>
      </c>
    </row>
    <row r="119" spans="1:13">
      <c r="A119" s="107"/>
      <c r="B119" s="42"/>
      <c r="C119" s="109" t="s">
        <v>28</v>
      </c>
      <c r="D119" s="773">
        <v>0</v>
      </c>
      <c r="E119" s="765"/>
      <c r="F119" s="766"/>
      <c r="G119" s="766"/>
      <c r="H119" s="774"/>
      <c r="I119" s="774"/>
      <c r="J119" s="774"/>
      <c r="K119" s="774"/>
      <c r="L119" s="774"/>
      <c r="M119" s="767">
        <f>M118*D119</f>
        <v>0</v>
      </c>
    </row>
    <row r="120" spans="1:13">
      <c r="A120" s="107"/>
      <c r="B120" s="42"/>
      <c r="C120" s="48" t="s">
        <v>2</v>
      </c>
      <c r="D120" s="768"/>
      <c r="E120" s="769"/>
      <c r="F120" s="770"/>
      <c r="G120" s="770"/>
      <c r="H120" s="772"/>
      <c r="I120" s="772"/>
      <c r="J120" s="772"/>
      <c r="K120" s="772"/>
      <c r="L120" s="772"/>
      <c r="M120" s="771">
        <f>M118+M119</f>
        <v>0</v>
      </c>
    </row>
    <row r="121" spans="1:13">
      <c r="A121" s="107"/>
      <c r="B121" s="42"/>
      <c r="C121" s="109" t="s">
        <v>29</v>
      </c>
      <c r="D121" s="764">
        <v>0</v>
      </c>
      <c r="E121" s="765"/>
      <c r="F121" s="766"/>
      <c r="G121" s="766"/>
      <c r="H121" s="774"/>
      <c r="I121" s="774"/>
      <c r="J121" s="774"/>
      <c r="K121" s="774"/>
      <c r="L121" s="774"/>
      <c r="M121" s="767">
        <f>M120*D121</f>
        <v>0</v>
      </c>
    </row>
    <row r="122" spans="1:13">
      <c r="A122" s="107"/>
      <c r="B122" s="42"/>
      <c r="C122" s="48" t="s">
        <v>30</v>
      </c>
      <c r="D122" s="770"/>
      <c r="E122" s="769"/>
      <c r="F122" s="770"/>
      <c r="G122" s="770"/>
      <c r="H122" s="772"/>
      <c r="I122" s="772"/>
      <c r="J122" s="772"/>
      <c r="K122" s="772"/>
      <c r="L122" s="772"/>
      <c r="M122" s="771">
        <f>M120+M121</f>
        <v>0</v>
      </c>
    </row>
    <row r="123" spans="1:13">
      <c r="A123" s="113"/>
      <c r="B123" s="112"/>
      <c r="D123" s="775"/>
      <c r="E123" s="775"/>
      <c r="F123" s="775"/>
      <c r="G123" s="775"/>
      <c r="H123" s="775"/>
      <c r="I123" s="775"/>
      <c r="J123" s="775"/>
      <c r="K123" s="775"/>
      <c r="L123" s="775"/>
      <c r="M123" s="775"/>
    </row>
    <row r="124" spans="1:13">
      <c r="A124" s="113"/>
      <c r="B124" s="112"/>
      <c r="D124" s="775"/>
      <c r="E124" s="775"/>
      <c r="F124" s="775"/>
      <c r="G124" s="775"/>
      <c r="H124" s="775"/>
      <c r="I124" s="775"/>
      <c r="J124" s="775"/>
      <c r="K124" s="775"/>
      <c r="L124" s="775"/>
      <c r="M124" s="775"/>
    </row>
    <row r="125" spans="1:13">
      <c r="A125" s="113"/>
      <c r="B125" s="112"/>
      <c r="D125" s="775"/>
      <c r="E125" s="775"/>
      <c r="F125" s="775"/>
      <c r="G125" s="775"/>
      <c r="H125" s="775"/>
      <c r="I125" s="775"/>
      <c r="J125" s="775"/>
      <c r="K125" s="775"/>
      <c r="L125" s="775"/>
      <c r="M125" s="775"/>
    </row>
    <row r="126" spans="1:13">
      <c r="A126" s="113"/>
      <c r="B126" s="112"/>
      <c r="D126" s="775"/>
      <c r="E126" s="775"/>
      <c r="F126" s="775"/>
      <c r="G126" s="775"/>
      <c r="H126" s="775"/>
      <c r="I126" s="775"/>
      <c r="J126" s="775"/>
      <c r="K126" s="775"/>
      <c r="L126" s="775"/>
      <c r="M126" s="775"/>
    </row>
  </sheetData>
  <sheetProtection algorithmName="SHA-512" hashValue="1nRv3YBGDzghkj7NYqbAflSMVQ5N1qN+nV041gR6bolyz+IVO9vVMagU21hhUcW1uhGepYJ91cgKXAGKHhELYA==" saltValue="jJDCT8iax2yOQxWGxfXJlQ==" spinCount="100000" sheet="1" objects="1" scenarios="1"/>
  <mergeCells count="17">
    <mergeCell ref="E7:E8"/>
    <mergeCell ref="F7:F8"/>
    <mergeCell ref="A10:M10"/>
    <mergeCell ref="A63:M63"/>
    <mergeCell ref="C6:K6"/>
    <mergeCell ref="G7:H7"/>
    <mergeCell ref="I7:J7"/>
    <mergeCell ref="K7:L7"/>
    <mergeCell ref="A7:A8"/>
    <mergeCell ref="B7:B8"/>
    <mergeCell ref="C7:C8"/>
    <mergeCell ref="D7:D8"/>
    <mergeCell ref="A1:M1"/>
    <mergeCell ref="A2:F2"/>
    <mergeCell ref="A3:M3"/>
    <mergeCell ref="A4:M4"/>
    <mergeCell ref="B5:G5"/>
  </mergeCells>
  <conditionalFormatting sqref="C53:C54 C59">
    <cfRule type="cellIs" dxfId="299" priority="25" stopIfTrue="1" operator="equal">
      <formula>8223.307275</formula>
    </cfRule>
  </conditionalFormatting>
  <conditionalFormatting sqref="C56:C58">
    <cfRule type="cellIs" dxfId="298" priority="24" stopIfTrue="1" operator="equal">
      <formula>8223.307275</formula>
    </cfRule>
  </conditionalFormatting>
  <conditionalFormatting sqref="B53">
    <cfRule type="cellIs" dxfId="297" priority="23" stopIfTrue="1" operator="equal">
      <formula>8223.307275</formula>
    </cfRule>
  </conditionalFormatting>
  <conditionalFormatting sqref="D53:D55 D59">
    <cfRule type="cellIs" dxfId="296" priority="22" stopIfTrue="1" operator="equal">
      <formula>8223.307275</formula>
    </cfRule>
  </conditionalFormatting>
  <conditionalFormatting sqref="D56:D58">
    <cfRule type="cellIs" dxfId="295" priority="21" stopIfTrue="1" operator="equal">
      <formula>8223.307275</formula>
    </cfRule>
  </conditionalFormatting>
  <conditionalFormatting sqref="F53:F55 F59">
    <cfRule type="cellIs" dxfId="294" priority="19" stopIfTrue="1" operator="equal">
      <formula>8223.307275</formula>
    </cfRule>
  </conditionalFormatting>
  <conditionalFormatting sqref="C46">
    <cfRule type="cellIs" dxfId="293" priority="20" stopIfTrue="1" operator="equal">
      <formula>8223.307275</formula>
    </cfRule>
  </conditionalFormatting>
  <conditionalFormatting sqref="E56:E58">
    <cfRule type="cellIs" dxfId="292" priority="16" stopIfTrue="1" operator="equal">
      <formula>8223.307275</formula>
    </cfRule>
  </conditionalFormatting>
  <conditionalFormatting sqref="E53:E55 E59">
    <cfRule type="cellIs" dxfId="291" priority="18" stopIfTrue="1" operator="equal">
      <formula>8223.307275</formula>
    </cfRule>
  </conditionalFormatting>
  <conditionalFormatting sqref="F56:F58">
    <cfRule type="cellIs" dxfId="290" priority="17" stopIfTrue="1" operator="equal">
      <formula>8223.307275</formula>
    </cfRule>
  </conditionalFormatting>
  <conditionalFormatting sqref="E48:E52">
    <cfRule type="cellIs" dxfId="289" priority="15" stopIfTrue="1" operator="equal">
      <formula>8223.307275</formula>
    </cfRule>
  </conditionalFormatting>
  <conditionalFormatting sqref="C106:C107 C112">
    <cfRule type="cellIs" dxfId="288" priority="11" stopIfTrue="1" operator="equal">
      <formula>8223.307275</formula>
    </cfRule>
  </conditionalFormatting>
  <conditionalFormatting sqref="C109:C111">
    <cfRule type="cellIs" dxfId="287" priority="10" stopIfTrue="1" operator="equal">
      <formula>8223.307275</formula>
    </cfRule>
  </conditionalFormatting>
  <conditionalFormatting sqref="B106">
    <cfRule type="cellIs" dxfId="286" priority="9" stopIfTrue="1" operator="equal">
      <formula>8223.307275</formula>
    </cfRule>
  </conditionalFormatting>
  <conditionalFormatting sqref="D106:D108 D112">
    <cfRule type="cellIs" dxfId="285" priority="8" stopIfTrue="1" operator="equal">
      <formula>8223.307275</formula>
    </cfRule>
  </conditionalFormatting>
  <conditionalFormatting sqref="D109:D111">
    <cfRule type="cellIs" dxfId="284" priority="7" stopIfTrue="1" operator="equal">
      <formula>8223.307275</formula>
    </cfRule>
  </conditionalFormatting>
  <conditionalFormatting sqref="F106:F108 F112">
    <cfRule type="cellIs" dxfId="283" priority="5" stopIfTrue="1" operator="equal">
      <formula>8223.307275</formula>
    </cfRule>
  </conditionalFormatting>
  <conditionalFormatting sqref="C99">
    <cfRule type="cellIs" dxfId="282" priority="6" stopIfTrue="1" operator="equal">
      <formula>8223.307275</formula>
    </cfRule>
  </conditionalFormatting>
  <conditionalFormatting sqref="E109:E111">
    <cfRule type="cellIs" dxfId="281" priority="2" stopIfTrue="1" operator="equal">
      <formula>8223.307275</formula>
    </cfRule>
  </conditionalFormatting>
  <conditionalFormatting sqref="E106:E108 E112">
    <cfRule type="cellIs" dxfId="280" priority="4" stopIfTrue="1" operator="equal">
      <formula>8223.307275</formula>
    </cfRule>
  </conditionalFormatting>
  <conditionalFormatting sqref="F109:F111">
    <cfRule type="cellIs" dxfId="279" priority="3" stopIfTrue="1" operator="equal">
      <formula>8223.307275</formula>
    </cfRule>
  </conditionalFormatting>
  <conditionalFormatting sqref="E101:E105">
    <cfRule type="cellIs" dxfId="278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68" orientation="landscape" horizontalDpi="4294967293" verticalDpi="4294967293" r:id="rId1"/>
  <rowBreaks count="2" manualBreakCount="2">
    <brk id="46" max="12" man="1"/>
    <brk id="9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6"/>
  <sheetViews>
    <sheetView view="pageBreakPreview" topLeftCell="A51" zoomScale="80" zoomScaleNormal="100" zoomScaleSheetLayoutView="80" workbookViewId="0">
      <selection activeCell="D65" sqref="D65"/>
    </sheetView>
  </sheetViews>
  <sheetFormatPr defaultColWidth="9.109375" defaultRowHeight="14.4"/>
  <cols>
    <col min="1" max="1" width="4.88671875" style="112" customWidth="1"/>
    <col min="2" max="2" width="12" style="113" customWidth="1"/>
    <col min="3" max="3" width="66.88671875" style="112" customWidth="1"/>
    <col min="4" max="7" width="10.6640625" style="112" customWidth="1"/>
    <col min="8" max="8" width="12.44140625" style="112" customWidth="1"/>
    <col min="9" max="12" width="10.6640625" style="112" customWidth="1"/>
    <col min="13" max="13" width="11.109375" style="112" customWidth="1"/>
    <col min="14" max="16384" width="9.109375" style="112"/>
  </cols>
  <sheetData>
    <row r="1" spans="1:13" ht="16.2">
      <c r="A1" s="684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ht="16.2">
      <c r="A2" s="685" t="s">
        <v>1</v>
      </c>
      <c r="B2" s="685"/>
      <c r="C2" s="685"/>
      <c r="D2" s="685"/>
      <c r="E2" s="685"/>
      <c r="F2" s="685"/>
      <c r="G2" s="102" t="str">
        <f>B!B14</f>
        <v>B-4</v>
      </c>
      <c r="H2" s="102"/>
      <c r="I2" s="102"/>
      <c r="J2" s="102"/>
      <c r="K2" s="102"/>
      <c r="L2" s="102"/>
      <c r="M2" s="102"/>
    </row>
    <row r="3" spans="1:13">
      <c r="A3" s="686" t="str">
        <f>B!C14</f>
        <v>წყალსადენის არმატურები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</row>
    <row r="5" spans="1:13">
      <c r="A5" s="179"/>
      <c r="B5" s="688">
        <f>gan.barat!B34</f>
        <v>0</v>
      </c>
      <c r="C5" s="688"/>
      <c r="D5" s="688"/>
      <c r="E5" s="688"/>
      <c r="F5" s="688"/>
      <c r="G5" s="688"/>
      <c r="H5" s="179"/>
      <c r="I5" s="179"/>
      <c r="J5" s="179"/>
      <c r="K5" s="179"/>
      <c r="L5" s="179"/>
      <c r="M5" s="179"/>
    </row>
    <row r="6" spans="1:13">
      <c r="A6" s="35"/>
      <c r="B6" s="114"/>
      <c r="C6" s="683"/>
      <c r="D6" s="683"/>
      <c r="E6" s="683"/>
      <c r="F6" s="683"/>
      <c r="G6" s="683"/>
      <c r="H6" s="683"/>
      <c r="I6" s="683"/>
      <c r="J6" s="683"/>
      <c r="K6" s="683"/>
      <c r="L6" s="115"/>
      <c r="M6" s="115"/>
    </row>
    <row r="7" spans="1:13">
      <c r="A7" s="680" t="s">
        <v>9</v>
      </c>
      <c r="B7" s="682" t="s">
        <v>10</v>
      </c>
      <c r="C7" s="680" t="s">
        <v>11</v>
      </c>
      <c r="D7" s="680" t="s">
        <v>12</v>
      </c>
      <c r="E7" s="680" t="s">
        <v>13</v>
      </c>
      <c r="F7" s="680" t="s">
        <v>14</v>
      </c>
      <c r="G7" s="679" t="s">
        <v>15</v>
      </c>
      <c r="H7" s="679"/>
      <c r="I7" s="679" t="s">
        <v>16</v>
      </c>
      <c r="J7" s="679"/>
      <c r="K7" s="680" t="s">
        <v>17</v>
      </c>
      <c r="L7" s="681"/>
      <c r="M7" s="36" t="s">
        <v>0</v>
      </c>
    </row>
    <row r="8" spans="1:13">
      <c r="A8" s="680"/>
      <c r="B8" s="682"/>
      <c r="C8" s="680"/>
      <c r="D8" s="680"/>
      <c r="E8" s="680"/>
      <c r="F8" s="680"/>
      <c r="G8" s="177" t="s">
        <v>18</v>
      </c>
      <c r="H8" s="37" t="s">
        <v>2</v>
      </c>
      <c r="I8" s="177" t="s">
        <v>18</v>
      </c>
      <c r="J8" s="37" t="s">
        <v>2</v>
      </c>
      <c r="K8" s="177" t="s">
        <v>18</v>
      </c>
      <c r="L8" s="38" t="s">
        <v>2</v>
      </c>
      <c r="M8" s="39" t="s">
        <v>19</v>
      </c>
    </row>
    <row r="9" spans="1:13">
      <c r="A9" s="178">
        <v>1</v>
      </c>
      <c r="B9" s="40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  <c r="L9" s="178">
        <v>12</v>
      </c>
      <c r="M9" s="178">
        <v>13</v>
      </c>
    </row>
    <row r="10" spans="1:13" ht="15">
      <c r="A10" s="93">
        <v>1</v>
      </c>
      <c r="B10" s="50" t="s">
        <v>130</v>
      </c>
      <c r="C10" s="89" t="s">
        <v>173</v>
      </c>
      <c r="D10" s="82" t="s">
        <v>65</v>
      </c>
      <c r="E10" s="82"/>
      <c r="F10" s="51">
        <v>10</v>
      </c>
      <c r="G10" s="799"/>
      <c r="H10" s="809"/>
      <c r="I10" s="809"/>
      <c r="J10" s="809"/>
      <c r="K10" s="809"/>
      <c r="L10" s="809"/>
      <c r="M10" s="810">
        <f>SUM(M11:M14)</f>
        <v>0</v>
      </c>
    </row>
    <row r="11" spans="1:13" ht="15">
      <c r="A11" s="106"/>
      <c r="B11" s="55"/>
      <c r="C11" s="104" t="s">
        <v>92</v>
      </c>
      <c r="D11" s="110" t="s">
        <v>66</v>
      </c>
      <c r="E11" s="86">
        <v>3.54</v>
      </c>
      <c r="F11" s="117">
        <f>F10*E11</f>
        <v>35.4</v>
      </c>
      <c r="G11" s="811"/>
      <c r="H11" s="812"/>
      <c r="I11" s="781">
        <v>0</v>
      </c>
      <c r="J11" s="809">
        <f>F11*I11</f>
        <v>0</v>
      </c>
      <c r="K11" s="809"/>
      <c r="L11" s="809"/>
      <c r="M11" s="809">
        <f>L11+J11+H11</f>
        <v>0</v>
      </c>
    </row>
    <row r="12" spans="1:13" ht="15">
      <c r="A12" s="106"/>
      <c r="B12" s="56"/>
      <c r="C12" s="104" t="s">
        <v>71</v>
      </c>
      <c r="D12" s="110" t="s">
        <v>7</v>
      </c>
      <c r="E12" s="86">
        <v>1.53</v>
      </c>
      <c r="F12" s="117">
        <f>F10*E12</f>
        <v>15.3</v>
      </c>
      <c r="G12" s="809"/>
      <c r="H12" s="809"/>
      <c r="I12" s="809"/>
      <c r="J12" s="809"/>
      <c r="K12" s="809">
        <v>0</v>
      </c>
      <c r="L12" s="809">
        <f>K12*F12</f>
        <v>0</v>
      </c>
      <c r="M12" s="809">
        <f t="shared" ref="M12:M14" si="0">L12+J12+H12</f>
        <v>0</v>
      </c>
    </row>
    <row r="13" spans="1:13" ht="15">
      <c r="A13" s="106"/>
      <c r="B13" s="57" t="s">
        <v>203</v>
      </c>
      <c r="C13" s="104" t="s">
        <v>175</v>
      </c>
      <c r="D13" s="110" t="s">
        <v>65</v>
      </c>
      <c r="E13" s="86">
        <v>1</v>
      </c>
      <c r="F13" s="117">
        <f>E13*F10</f>
        <v>10</v>
      </c>
      <c r="G13" s="809">
        <v>0</v>
      </c>
      <c r="H13" s="809">
        <f t="shared" ref="H13" si="1">G13*F13</f>
        <v>0</v>
      </c>
      <c r="I13" s="809"/>
      <c r="J13" s="809"/>
      <c r="K13" s="809"/>
      <c r="L13" s="809"/>
      <c r="M13" s="809">
        <f t="shared" si="0"/>
        <v>0</v>
      </c>
    </row>
    <row r="14" spans="1:13" ht="15">
      <c r="A14" s="106"/>
      <c r="B14" s="56"/>
      <c r="C14" s="104" t="s">
        <v>60</v>
      </c>
      <c r="D14" s="110" t="s">
        <v>7</v>
      </c>
      <c r="E14" s="86">
        <v>1.36</v>
      </c>
      <c r="F14" s="117">
        <f>F10*E14</f>
        <v>13.600000000000001</v>
      </c>
      <c r="G14" s="809">
        <v>0</v>
      </c>
      <c r="H14" s="809">
        <f>G14*F14</f>
        <v>0</v>
      </c>
      <c r="I14" s="809"/>
      <c r="J14" s="809"/>
      <c r="K14" s="809"/>
      <c r="L14" s="809"/>
      <c r="M14" s="809">
        <f t="shared" si="0"/>
        <v>0</v>
      </c>
    </row>
    <row r="15" spans="1:13" ht="15">
      <c r="A15" s="93">
        <v>2</v>
      </c>
      <c r="B15" s="50" t="s">
        <v>113</v>
      </c>
      <c r="C15" s="89" t="s">
        <v>174</v>
      </c>
      <c r="D15" s="82" t="s">
        <v>65</v>
      </c>
      <c r="E15" s="82"/>
      <c r="F15" s="51">
        <v>4</v>
      </c>
      <c r="G15" s="799"/>
      <c r="H15" s="809"/>
      <c r="I15" s="809"/>
      <c r="J15" s="809"/>
      <c r="K15" s="809"/>
      <c r="L15" s="809"/>
      <c r="M15" s="810">
        <f>SUM(M16:M19)</f>
        <v>0</v>
      </c>
    </row>
    <row r="16" spans="1:13" ht="15">
      <c r="A16" s="106"/>
      <c r="B16" s="55"/>
      <c r="C16" s="104" t="s">
        <v>92</v>
      </c>
      <c r="D16" s="110" t="s">
        <v>66</v>
      </c>
      <c r="E16" s="86">
        <v>2.78</v>
      </c>
      <c r="F16" s="117">
        <f>F15*E16</f>
        <v>11.12</v>
      </c>
      <c r="G16" s="811"/>
      <c r="H16" s="812"/>
      <c r="I16" s="781">
        <v>0</v>
      </c>
      <c r="J16" s="809">
        <f>F16*I16</f>
        <v>0</v>
      </c>
      <c r="K16" s="809"/>
      <c r="L16" s="809"/>
      <c r="M16" s="809">
        <f>L16+J16+H16</f>
        <v>0</v>
      </c>
    </row>
    <row r="17" spans="1:13" ht="15">
      <c r="A17" s="106"/>
      <c r="B17" s="56"/>
      <c r="C17" s="104" t="s">
        <v>71</v>
      </c>
      <c r="D17" s="110" t="s">
        <v>7</v>
      </c>
      <c r="E17" s="86">
        <v>0.12</v>
      </c>
      <c r="F17" s="117">
        <f>F15*E17</f>
        <v>0.48</v>
      </c>
      <c r="G17" s="809"/>
      <c r="H17" s="809"/>
      <c r="I17" s="809"/>
      <c r="J17" s="809"/>
      <c r="K17" s="809">
        <v>0</v>
      </c>
      <c r="L17" s="809">
        <f>K17*F17</f>
        <v>0</v>
      </c>
      <c r="M17" s="809">
        <f t="shared" ref="M17:M19" si="2">L17+J17+H17</f>
        <v>0</v>
      </c>
    </row>
    <row r="18" spans="1:13" ht="15">
      <c r="A18" s="106"/>
      <c r="B18" s="57" t="s">
        <v>132</v>
      </c>
      <c r="C18" s="104" t="s">
        <v>176</v>
      </c>
      <c r="D18" s="110" t="s">
        <v>65</v>
      </c>
      <c r="E18" s="86">
        <v>1</v>
      </c>
      <c r="F18" s="117">
        <f>E18*F15</f>
        <v>4</v>
      </c>
      <c r="G18" s="809">
        <v>0</v>
      </c>
      <c r="H18" s="809">
        <f t="shared" ref="H18" si="3">G18*F18</f>
        <v>0</v>
      </c>
      <c r="I18" s="809"/>
      <c r="J18" s="809"/>
      <c r="K18" s="809"/>
      <c r="L18" s="809"/>
      <c r="M18" s="809">
        <f t="shared" si="2"/>
        <v>0</v>
      </c>
    </row>
    <row r="19" spans="1:13" ht="15">
      <c r="A19" s="106"/>
      <c r="B19" s="56"/>
      <c r="C19" s="104" t="s">
        <v>60</v>
      </c>
      <c r="D19" s="110" t="s">
        <v>7</v>
      </c>
      <c r="E19" s="86">
        <v>1.25</v>
      </c>
      <c r="F19" s="117">
        <f>F15*E19</f>
        <v>5</v>
      </c>
      <c r="G19" s="809">
        <v>0</v>
      </c>
      <c r="H19" s="809">
        <f>G19*F19</f>
        <v>0</v>
      </c>
      <c r="I19" s="809"/>
      <c r="J19" s="809"/>
      <c r="K19" s="809"/>
      <c r="L19" s="809"/>
      <c r="M19" s="809">
        <f t="shared" si="2"/>
        <v>0</v>
      </c>
    </row>
    <row r="20" spans="1:13" ht="15">
      <c r="A20" s="93">
        <v>3</v>
      </c>
      <c r="B20" s="50" t="s">
        <v>184</v>
      </c>
      <c r="C20" s="89" t="s">
        <v>183</v>
      </c>
      <c r="D20" s="82" t="s">
        <v>65</v>
      </c>
      <c r="E20" s="82"/>
      <c r="F20" s="51">
        <v>1</v>
      </c>
      <c r="G20" s="799"/>
      <c r="H20" s="809"/>
      <c r="I20" s="809"/>
      <c r="J20" s="809"/>
      <c r="K20" s="809"/>
      <c r="L20" s="809"/>
      <c r="M20" s="810">
        <f>SUM(M21:M24)</f>
        <v>0</v>
      </c>
    </row>
    <row r="21" spans="1:13" ht="15">
      <c r="A21" s="106"/>
      <c r="B21" s="55"/>
      <c r="C21" s="104" t="s">
        <v>92</v>
      </c>
      <c r="D21" s="110" t="s">
        <v>66</v>
      </c>
      <c r="E21" s="86">
        <v>1.01</v>
      </c>
      <c r="F21" s="117">
        <f>F20*E21</f>
        <v>1.01</v>
      </c>
      <c r="G21" s="811"/>
      <c r="H21" s="812"/>
      <c r="I21" s="781">
        <v>0</v>
      </c>
      <c r="J21" s="809">
        <f>F21*I21</f>
        <v>0</v>
      </c>
      <c r="K21" s="809"/>
      <c r="L21" s="809"/>
      <c r="M21" s="809">
        <f>L21+J21+H21</f>
        <v>0</v>
      </c>
    </row>
    <row r="22" spans="1:13" ht="15">
      <c r="A22" s="106"/>
      <c r="B22" s="56"/>
      <c r="C22" s="104" t="s">
        <v>71</v>
      </c>
      <c r="D22" s="110" t="s">
        <v>7</v>
      </c>
      <c r="E22" s="86">
        <v>0.02</v>
      </c>
      <c r="F22" s="117">
        <f>F20*E22</f>
        <v>0.02</v>
      </c>
      <c r="G22" s="809"/>
      <c r="H22" s="809"/>
      <c r="I22" s="809"/>
      <c r="J22" s="809"/>
      <c r="K22" s="809">
        <v>0</v>
      </c>
      <c r="L22" s="809">
        <f>K22*F22</f>
        <v>0</v>
      </c>
      <c r="M22" s="809">
        <f t="shared" ref="M22:M24" si="4">L22+J22+H22</f>
        <v>0</v>
      </c>
    </row>
    <row r="23" spans="1:13" ht="15">
      <c r="A23" s="106"/>
      <c r="B23" s="57" t="s">
        <v>203</v>
      </c>
      <c r="C23" s="104" t="s">
        <v>185</v>
      </c>
      <c r="D23" s="110" t="s">
        <v>65</v>
      </c>
      <c r="E23" s="86">
        <v>1</v>
      </c>
      <c r="F23" s="117">
        <f>E23*F20</f>
        <v>1</v>
      </c>
      <c r="G23" s="809">
        <v>0</v>
      </c>
      <c r="H23" s="809">
        <f t="shared" ref="H23" si="5">G23*F23</f>
        <v>0</v>
      </c>
      <c r="I23" s="809"/>
      <c r="J23" s="809"/>
      <c r="K23" s="809"/>
      <c r="L23" s="809"/>
      <c r="M23" s="809">
        <f t="shared" si="4"/>
        <v>0</v>
      </c>
    </row>
    <row r="24" spans="1:13" ht="15">
      <c r="A24" s="106"/>
      <c r="B24" s="56"/>
      <c r="C24" s="104" t="s">
        <v>60</v>
      </c>
      <c r="D24" s="110" t="s">
        <v>7</v>
      </c>
      <c r="E24" s="86">
        <v>0.49</v>
      </c>
      <c r="F24" s="117">
        <f>F20*E24</f>
        <v>0.49</v>
      </c>
      <c r="G24" s="809">
        <v>0</v>
      </c>
      <c r="H24" s="809">
        <f>G24*F24</f>
        <v>0</v>
      </c>
      <c r="I24" s="809"/>
      <c r="J24" s="809"/>
      <c r="K24" s="809"/>
      <c r="L24" s="809"/>
      <c r="M24" s="809">
        <f t="shared" si="4"/>
        <v>0</v>
      </c>
    </row>
    <row r="25" spans="1:13" ht="15">
      <c r="A25" s="93">
        <v>4</v>
      </c>
      <c r="B25" s="50" t="s">
        <v>186</v>
      </c>
      <c r="C25" s="89" t="s">
        <v>187</v>
      </c>
      <c r="D25" s="82" t="s">
        <v>65</v>
      </c>
      <c r="E25" s="82"/>
      <c r="F25" s="51">
        <v>1</v>
      </c>
      <c r="G25" s="799"/>
      <c r="H25" s="809"/>
      <c r="I25" s="809"/>
      <c r="J25" s="809"/>
      <c r="K25" s="809"/>
      <c r="L25" s="809"/>
      <c r="M25" s="810">
        <f>SUM(M26:M29)</f>
        <v>0</v>
      </c>
    </row>
    <row r="26" spans="1:13" ht="15">
      <c r="A26" s="106"/>
      <c r="B26" s="55"/>
      <c r="C26" s="104" t="s">
        <v>92</v>
      </c>
      <c r="D26" s="110" t="s">
        <v>66</v>
      </c>
      <c r="E26" s="86">
        <v>2.08</v>
      </c>
      <c r="F26" s="117">
        <f>F25*E26</f>
        <v>2.08</v>
      </c>
      <c r="G26" s="811"/>
      <c r="H26" s="812"/>
      <c r="I26" s="781">
        <v>0</v>
      </c>
      <c r="J26" s="809">
        <f>F26*I26</f>
        <v>0</v>
      </c>
      <c r="K26" s="809"/>
      <c r="L26" s="809"/>
      <c r="M26" s="809">
        <f>L26+J26+H26</f>
        <v>0</v>
      </c>
    </row>
    <row r="27" spans="1:13" ht="15">
      <c r="A27" s="106"/>
      <c r="B27" s="56"/>
      <c r="C27" s="104" t="s">
        <v>71</v>
      </c>
      <c r="D27" s="110" t="s">
        <v>7</v>
      </c>
      <c r="E27" s="86">
        <v>0.2</v>
      </c>
      <c r="F27" s="117">
        <f>F25*E27</f>
        <v>0.2</v>
      </c>
      <c r="G27" s="809"/>
      <c r="H27" s="809"/>
      <c r="I27" s="809"/>
      <c r="J27" s="809"/>
      <c r="K27" s="809">
        <v>0</v>
      </c>
      <c r="L27" s="809">
        <f>K27*F27</f>
        <v>0</v>
      </c>
      <c r="M27" s="809">
        <f t="shared" ref="M27:M29" si="6">L27+J27+H27</f>
        <v>0</v>
      </c>
    </row>
    <row r="28" spans="1:13" ht="15">
      <c r="A28" s="106"/>
      <c r="B28" s="57" t="s">
        <v>204</v>
      </c>
      <c r="C28" s="104" t="s">
        <v>188</v>
      </c>
      <c r="D28" s="110" t="s">
        <v>65</v>
      </c>
      <c r="E28" s="86">
        <v>1</v>
      </c>
      <c r="F28" s="117">
        <f>E28*F25</f>
        <v>1</v>
      </c>
      <c r="G28" s="809">
        <v>0</v>
      </c>
      <c r="H28" s="809">
        <f t="shared" ref="H28" si="7">G28*F28</f>
        <v>0</v>
      </c>
      <c r="I28" s="809"/>
      <c r="J28" s="809"/>
      <c r="K28" s="809"/>
      <c r="L28" s="809"/>
      <c r="M28" s="809">
        <f t="shared" si="6"/>
        <v>0</v>
      </c>
    </row>
    <row r="29" spans="1:13" ht="15">
      <c r="A29" s="106"/>
      <c r="B29" s="56"/>
      <c r="C29" s="104" t="s">
        <v>60</v>
      </c>
      <c r="D29" s="110" t="s">
        <v>7</v>
      </c>
      <c r="E29" s="86">
        <v>0.44</v>
      </c>
      <c r="F29" s="117">
        <f>F25*E29</f>
        <v>0.44</v>
      </c>
      <c r="G29" s="809">
        <v>0</v>
      </c>
      <c r="H29" s="809">
        <f>G29*F29</f>
        <v>0</v>
      </c>
      <c r="I29" s="809"/>
      <c r="J29" s="809"/>
      <c r="K29" s="809"/>
      <c r="L29" s="809"/>
      <c r="M29" s="809">
        <f t="shared" si="6"/>
        <v>0</v>
      </c>
    </row>
    <row r="30" spans="1:13">
      <c r="A30" s="52">
        <v>5</v>
      </c>
      <c r="B30" s="153" t="s">
        <v>177</v>
      </c>
      <c r="C30" s="187" t="s">
        <v>193</v>
      </c>
      <c r="D30" s="188" t="s">
        <v>65</v>
      </c>
      <c r="E30" s="188"/>
      <c r="F30" s="190">
        <f>SUM(F34:F35)</f>
        <v>6</v>
      </c>
      <c r="G30" s="793"/>
      <c r="H30" s="793"/>
      <c r="I30" s="793"/>
      <c r="J30" s="793"/>
      <c r="K30" s="793"/>
      <c r="L30" s="793"/>
      <c r="M30" s="793">
        <f>SUM(M31:M36)</f>
        <v>0</v>
      </c>
    </row>
    <row r="31" spans="1:13">
      <c r="A31" s="52"/>
      <c r="B31" s="77" t="s">
        <v>93</v>
      </c>
      <c r="C31" s="191" t="s">
        <v>92</v>
      </c>
      <c r="D31" s="76" t="s">
        <v>5</v>
      </c>
      <c r="E31" s="76">
        <f>(5.84/10)*1.15</f>
        <v>0.67159999999999986</v>
      </c>
      <c r="F31" s="75">
        <f>F30*E31</f>
        <v>4.0295999999999994</v>
      </c>
      <c r="G31" s="796"/>
      <c r="H31" s="796"/>
      <c r="I31" s="796">
        <v>0</v>
      </c>
      <c r="J31" s="796">
        <f>F31*I31</f>
        <v>0</v>
      </c>
      <c r="K31" s="796"/>
      <c r="L31" s="796"/>
      <c r="M31" s="796">
        <f>H31+J31+L31</f>
        <v>0</v>
      </c>
    </row>
    <row r="32" spans="1:13">
      <c r="A32" s="52"/>
      <c r="B32" s="77"/>
      <c r="C32" s="191" t="s">
        <v>71</v>
      </c>
      <c r="D32" s="77" t="s">
        <v>7</v>
      </c>
      <c r="E32" s="76">
        <f>(2.27/10)*1.15</f>
        <v>0.26105</v>
      </c>
      <c r="F32" s="53">
        <f>E32*F30</f>
        <v>1.5663</v>
      </c>
      <c r="G32" s="796"/>
      <c r="H32" s="796"/>
      <c r="I32" s="796"/>
      <c r="J32" s="796"/>
      <c r="K32" s="796">
        <v>0</v>
      </c>
      <c r="L32" s="796">
        <f>F32*K32</f>
        <v>0</v>
      </c>
      <c r="M32" s="796">
        <f t="shared" ref="M32:M36" si="8">H32+J32+L32</f>
        <v>0</v>
      </c>
    </row>
    <row r="33" spans="1:13">
      <c r="A33" s="170"/>
      <c r="B33" s="192"/>
      <c r="C33" s="77" t="s">
        <v>149</v>
      </c>
      <c r="D33" s="77"/>
      <c r="E33" s="77"/>
      <c r="F33" s="74"/>
      <c r="G33" s="783"/>
      <c r="H33" s="783"/>
      <c r="I33" s="796"/>
      <c r="J33" s="783"/>
      <c r="K33" s="783"/>
      <c r="L33" s="783"/>
      <c r="M33" s="796"/>
    </row>
    <row r="34" spans="1:13">
      <c r="A34" s="170"/>
      <c r="B34" s="192" t="s">
        <v>178</v>
      </c>
      <c r="C34" s="193" t="s">
        <v>179</v>
      </c>
      <c r="D34" s="77" t="s">
        <v>72</v>
      </c>
      <c r="E34" s="77"/>
      <c r="F34" s="194">
        <v>5</v>
      </c>
      <c r="G34" s="783">
        <v>0</v>
      </c>
      <c r="H34" s="783">
        <f t="shared" ref="H34:H35" si="9">F34*G34</f>
        <v>0</v>
      </c>
      <c r="I34" s="796"/>
      <c r="J34" s="783"/>
      <c r="K34" s="783"/>
      <c r="L34" s="783"/>
      <c r="M34" s="796">
        <f t="shared" ref="M34:M35" si="10">H34+J34+L34</f>
        <v>0</v>
      </c>
    </row>
    <row r="35" spans="1:13">
      <c r="A35" s="170"/>
      <c r="B35" s="192" t="s">
        <v>178</v>
      </c>
      <c r="C35" s="193" t="s">
        <v>180</v>
      </c>
      <c r="D35" s="77" t="s">
        <v>72</v>
      </c>
      <c r="E35" s="77"/>
      <c r="F35" s="194">
        <v>1</v>
      </c>
      <c r="G35" s="783">
        <v>0</v>
      </c>
      <c r="H35" s="783">
        <f t="shared" si="9"/>
        <v>0</v>
      </c>
      <c r="I35" s="796"/>
      <c r="J35" s="783"/>
      <c r="K35" s="783"/>
      <c r="L35" s="783"/>
      <c r="M35" s="796">
        <f t="shared" si="10"/>
        <v>0</v>
      </c>
    </row>
    <row r="36" spans="1:13">
      <c r="A36" s="170"/>
      <c r="B36" s="192"/>
      <c r="C36" s="78" t="s">
        <v>94</v>
      </c>
      <c r="D36" s="77" t="s">
        <v>7</v>
      </c>
      <c r="E36" s="77">
        <f>(0.24/10)*1.15</f>
        <v>2.76E-2</v>
      </c>
      <c r="F36" s="160">
        <f>E36*F30</f>
        <v>0.1656</v>
      </c>
      <c r="G36" s="783">
        <v>0</v>
      </c>
      <c r="H36" s="783">
        <f>F36*G36</f>
        <v>0</v>
      </c>
      <c r="I36" s="796"/>
      <c r="J36" s="783"/>
      <c r="K36" s="783"/>
      <c r="L36" s="783"/>
      <c r="M36" s="796">
        <f t="shared" si="8"/>
        <v>0</v>
      </c>
    </row>
    <row r="37" spans="1:13">
      <c r="A37" s="52">
        <v>6</v>
      </c>
      <c r="B37" s="153" t="s">
        <v>177</v>
      </c>
      <c r="C37" s="187" t="s">
        <v>181</v>
      </c>
      <c r="D37" s="188" t="s">
        <v>65</v>
      </c>
      <c r="E37" s="188"/>
      <c r="F37" s="190">
        <f>SUM(F41:F41)</f>
        <v>1</v>
      </c>
      <c r="G37" s="793"/>
      <c r="H37" s="793"/>
      <c r="I37" s="793"/>
      <c r="J37" s="793"/>
      <c r="K37" s="793"/>
      <c r="L37" s="793"/>
      <c r="M37" s="793">
        <f>SUM(M38:M42)</f>
        <v>0</v>
      </c>
    </row>
    <row r="38" spans="1:13">
      <c r="A38" s="52"/>
      <c r="B38" s="77" t="s">
        <v>93</v>
      </c>
      <c r="C38" s="191" t="s">
        <v>92</v>
      </c>
      <c r="D38" s="76" t="s">
        <v>5</v>
      </c>
      <c r="E38" s="76">
        <f>(5.84/10)*1.15</f>
        <v>0.67159999999999986</v>
      </c>
      <c r="F38" s="75">
        <f>F37*E38</f>
        <v>0.67159999999999986</v>
      </c>
      <c r="G38" s="796"/>
      <c r="H38" s="796"/>
      <c r="I38" s="796">
        <v>0</v>
      </c>
      <c r="J38" s="796">
        <f>F38*I38</f>
        <v>0</v>
      </c>
      <c r="K38" s="796"/>
      <c r="L38" s="796"/>
      <c r="M38" s="796">
        <f>H38+J38+L38</f>
        <v>0</v>
      </c>
    </row>
    <row r="39" spans="1:13">
      <c r="A39" s="52"/>
      <c r="B39" s="77"/>
      <c r="C39" s="191" t="s">
        <v>71</v>
      </c>
      <c r="D39" s="77" t="s">
        <v>7</v>
      </c>
      <c r="E39" s="76">
        <f>(2.27/10)*1.15</f>
        <v>0.26105</v>
      </c>
      <c r="F39" s="53">
        <f>E39*F37</f>
        <v>0.26105</v>
      </c>
      <c r="G39" s="796"/>
      <c r="H39" s="796"/>
      <c r="I39" s="796"/>
      <c r="J39" s="796"/>
      <c r="K39" s="796">
        <v>0</v>
      </c>
      <c r="L39" s="796">
        <f>F39*K39</f>
        <v>0</v>
      </c>
      <c r="M39" s="796">
        <f t="shared" ref="M39" si="11">H39+J39+L39</f>
        <v>0</v>
      </c>
    </row>
    <row r="40" spans="1:13">
      <c r="A40" s="170"/>
      <c r="B40" s="192"/>
      <c r="C40" s="77" t="s">
        <v>149</v>
      </c>
      <c r="D40" s="77"/>
      <c r="E40" s="77"/>
      <c r="F40" s="74"/>
      <c r="G40" s="783"/>
      <c r="H40" s="783"/>
      <c r="I40" s="796"/>
      <c r="J40" s="783"/>
      <c r="K40" s="783"/>
      <c r="L40" s="783"/>
      <c r="M40" s="796"/>
    </row>
    <row r="41" spans="1:13">
      <c r="A41" s="170"/>
      <c r="B41" s="192" t="s">
        <v>178</v>
      </c>
      <c r="C41" s="193" t="s">
        <v>182</v>
      </c>
      <c r="D41" s="77" t="s">
        <v>72</v>
      </c>
      <c r="E41" s="77"/>
      <c r="F41" s="194">
        <v>1</v>
      </c>
      <c r="G41" s="783">
        <v>0</v>
      </c>
      <c r="H41" s="783">
        <f t="shared" ref="H41" si="12">F41*G41</f>
        <v>0</v>
      </c>
      <c r="I41" s="796"/>
      <c r="J41" s="783"/>
      <c r="K41" s="783"/>
      <c r="L41" s="783"/>
      <c r="M41" s="796">
        <f t="shared" ref="M41:M42" si="13">H41+J41+L41</f>
        <v>0</v>
      </c>
    </row>
    <row r="42" spans="1:13">
      <c r="A42" s="170"/>
      <c r="B42" s="192"/>
      <c r="C42" s="78" t="s">
        <v>94</v>
      </c>
      <c r="D42" s="77" t="s">
        <v>7</v>
      </c>
      <c r="E42" s="77">
        <f>(0.24/10)*1.15</f>
        <v>2.76E-2</v>
      </c>
      <c r="F42" s="160">
        <f>E42*F37</f>
        <v>2.76E-2</v>
      </c>
      <c r="G42" s="783">
        <v>0</v>
      </c>
      <c r="H42" s="783">
        <f>F42*G42</f>
        <v>0</v>
      </c>
      <c r="I42" s="796"/>
      <c r="J42" s="783"/>
      <c r="K42" s="783"/>
      <c r="L42" s="783"/>
      <c r="M42" s="796">
        <f t="shared" si="13"/>
        <v>0</v>
      </c>
    </row>
    <row r="43" spans="1:13">
      <c r="A43" s="52">
        <v>7</v>
      </c>
      <c r="B43" s="153" t="s">
        <v>177</v>
      </c>
      <c r="C43" s="187" t="s">
        <v>194</v>
      </c>
      <c r="D43" s="188" t="s">
        <v>65</v>
      </c>
      <c r="E43" s="188"/>
      <c r="F43" s="190">
        <f>SUM(F47:F49)</f>
        <v>37</v>
      </c>
      <c r="G43" s="793"/>
      <c r="H43" s="793"/>
      <c r="I43" s="793"/>
      <c r="J43" s="793"/>
      <c r="K43" s="793"/>
      <c r="L43" s="793"/>
      <c r="M43" s="793">
        <f>SUM(M44:M50)</f>
        <v>0</v>
      </c>
    </row>
    <row r="44" spans="1:13">
      <c r="A44" s="52"/>
      <c r="B44" s="77" t="s">
        <v>93</v>
      </c>
      <c r="C44" s="191" t="s">
        <v>92</v>
      </c>
      <c r="D44" s="76" t="s">
        <v>5</v>
      </c>
      <c r="E44" s="76">
        <f>(5.84/10)*1.15</f>
        <v>0.67159999999999986</v>
      </c>
      <c r="F44" s="75">
        <f>F43*E44</f>
        <v>24.849199999999996</v>
      </c>
      <c r="G44" s="796"/>
      <c r="H44" s="796"/>
      <c r="I44" s="796">
        <v>0</v>
      </c>
      <c r="J44" s="796">
        <f>F44*I44</f>
        <v>0</v>
      </c>
      <c r="K44" s="796"/>
      <c r="L44" s="796"/>
      <c r="M44" s="796">
        <f>H44+J44+L44</f>
        <v>0</v>
      </c>
    </row>
    <row r="45" spans="1:13">
      <c r="A45" s="52"/>
      <c r="B45" s="77"/>
      <c r="C45" s="191" t="s">
        <v>71</v>
      </c>
      <c r="D45" s="77" t="s">
        <v>7</v>
      </c>
      <c r="E45" s="76">
        <f>(2.27/10)*1.15</f>
        <v>0.26105</v>
      </c>
      <c r="F45" s="53">
        <f>E45*F43</f>
        <v>9.658850000000001</v>
      </c>
      <c r="G45" s="796"/>
      <c r="H45" s="796"/>
      <c r="I45" s="796"/>
      <c r="J45" s="796"/>
      <c r="K45" s="796">
        <v>0</v>
      </c>
      <c r="L45" s="796">
        <f>F45*K45</f>
        <v>0</v>
      </c>
      <c r="M45" s="796">
        <f t="shared" ref="M45" si="14">H45+J45+L45</f>
        <v>0</v>
      </c>
    </row>
    <row r="46" spans="1:13">
      <c r="A46" s="170"/>
      <c r="B46" s="192"/>
      <c r="C46" s="77" t="s">
        <v>149</v>
      </c>
      <c r="D46" s="77"/>
      <c r="E46" s="77"/>
      <c r="F46" s="74"/>
      <c r="G46" s="783"/>
      <c r="H46" s="783"/>
      <c r="I46" s="796"/>
      <c r="J46" s="783"/>
      <c r="K46" s="783"/>
      <c r="L46" s="783"/>
      <c r="M46" s="796"/>
    </row>
    <row r="47" spans="1:13">
      <c r="A47" s="170"/>
      <c r="B47" s="192" t="s">
        <v>178</v>
      </c>
      <c r="C47" s="193" t="s">
        <v>189</v>
      </c>
      <c r="D47" s="77" t="s">
        <v>72</v>
      </c>
      <c r="E47" s="77"/>
      <c r="F47" s="194">
        <v>34</v>
      </c>
      <c r="G47" s="783">
        <v>0</v>
      </c>
      <c r="H47" s="783">
        <f t="shared" ref="H47:H49" si="15">F47*G47</f>
        <v>0</v>
      </c>
      <c r="I47" s="796"/>
      <c r="J47" s="783"/>
      <c r="K47" s="783"/>
      <c r="L47" s="783"/>
      <c r="M47" s="796">
        <f t="shared" ref="M47:M50" si="16">H47+J47+L47</f>
        <v>0</v>
      </c>
    </row>
    <row r="48" spans="1:13">
      <c r="A48" s="170"/>
      <c r="B48" s="192" t="s">
        <v>191</v>
      </c>
      <c r="C48" s="193" t="s">
        <v>190</v>
      </c>
      <c r="D48" s="77" t="s">
        <v>72</v>
      </c>
      <c r="E48" s="77"/>
      <c r="F48" s="194">
        <v>2</v>
      </c>
      <c r="G48" s="783">
        <v>0</v>
      </c>
      <c r="H48" s="783">
        <f t="shared" ref="H48" si="17">F48*G48</f>
        <v>0</v>
      </c>
      <c r="I48" s="796"/>
      <c r="J48" s="783"/>
      <c r="K48" s="783"/>
      <c r="L48" s="783"/>
      <c r="M48" s="796">
        <f t="shared" ref="M48" si="18">H48+J48+L48</f>
        <v>0</v>
      </c>
    </row>
    <row r="49" spans="1:13">
      <c r="A49" s="170"/>
      <c r="B49" s="192" t="s">
        <v>178</v>
      </c>
      <c r="C49" s="193" t="s">
        <v>192</v>
      </c>
      <c r="D49" s="77" t="s">
        <v>72</v>
      </c>
      <c r="E49" s="77"/>
      <c r="F49" s="194">
        <v>1</v>
      </c>
      <c r="G49" s="783">
        <v>0</v>
      </c>
      <c r="H49" s="783">
        <f t="shared" si="15"/>
        <v>0</v>
      </c>
      <c r="I49" s="796"/>
      <c r="J49" s="783"/>
      <c r="K49" s="783"/>
      <c r="L49" s="783"/>
      <c r="M49" s="796">
        <f t="shared" si="16"/>
        <v>0</v>
      </c>
    </row>
    <row r="50" spans="1:13">
      <c r="A50" s="170"/>
      <c r="B50" s="192"/>
      <c r="C50" s="78" t="s">
        <v>94</v>
      </c>
      <c r="D50" s="77" t="s">
        <v>7</v>
      </c>
      <c r="E50" s="77">
        <f>(0.24/10)*1.15</f>
        <v>2.76E-2</v>
      </c>
      <c r="F50" s="160">
        <f>E50*F43</f>
        <v>1.0211999999999999</v>
      </c>
      <c r="G50" s="783">
        <v>0</v>
      </c>
      <c r="H50" s="783">
        <f>F50*G50</f>
        <v>0</v>
      </c>
      <c r="I50" s="796"/>
      <c r="J50" s="783"/>
      <c r="K50" s="783"/>
      <c r="L50" s="783"/>
      <c r="M50" s="796">
        <f t="shared" si="16"/>
        <v>0</v>
      </c>
    </row>
    <row r="51" spans="1:13">
      <c r="A51" s="52">
        <v>8</v>
      </c>
      <c r="B51" s="153" t="s">
        <v>177</v>
      </c>
      <c r="C51" s="187" t="s">
        <v>195</v>
      </c>
      <c r="D51" s="188" t="s">
        <v>65</v>
      </c>
      <c r="E51" s="188"/>
      <c r="F51" s="190">
        <f>SUM(F55:F57)</f>
        <v>40</v>
      </c>
      <c r="G51" s="793"/>
      <c r="H51" s="793"/>
      <c r="I51" s="793"/>
      <c r="J51" s="793"/>
      <c r="K51" s="793"/>
      <c r="L51" s="793"/>
      <c r="M51" s="793">
        <f>SUM(M52:M58)</f>
        <v>0</v>
      </c>
    </row>
    <row r="52" spans="1:13">
      <c r="A52" s="52"/>
      <c r="B52" s="77" t="s">
        <v>93</v>
      </c>
      <c r="C52" s="191" t="s">
        <v>92</v>
      </c>
      <c r="D52" s="76" t="s">
        <v>5</v>
      </c>
      <c r="E52" s="76">
        <f>(5.84/10)*1.15</f>
        <v>0.67159999999999986</v>
      </c>
      <c r="F52" s="75">
        <f>F51*E52</f>
        <v>26.863999999999994</v>
      </c>
      <c r="G52" s="796"/>
      <c r="H52" s="796"/>
      <c r="I52" s="796">
        <v>0</v>
      </c>
      <c r="J52" s="796">
        <f>F52*I52</f>
        <v>0</v>
      </c>
      <c r="K52" s="796"/>
      <c r="L52" s="796"/>
      <c r="M52" s="796">
        <f>H52+J52+L52</f>
        <v>0</v>
      </c>
    </row>
    <row r="53" spans="1:13">
      <c r="A53" s="52"/>
      <c r="B53" s="77"/>
      <c r="C53" s="191" t="s">
        <v>71</v>
      </c>
      <c r="D53" s="77" t="s">
        <v>7</v>
      </c>
      <c r="E53" s="76">
        <f>(2.27/10)*1.15</f>
        <v>0.26105</v>
      </c>
      <c r="F53" s="53">
        <f>E53*F51</f>
        <v>10.442</v>
      </c>
      <c r="G53" s="796"/>
      <c r="H53" s="796"/>
      <c r="I53" s="796"/>
      <c r="J53" s="796"/>
      <c r="K53" s="796">
        <v>0</v>
      </c>
      <c r="L53" s="796">
        <f>F53*K53</f>
        <v>0</v>
      </c>
      <c r="M53" s="796">
        <f t="shared" ref="M53" si="19">H53+J53+L53</f>
        <v>0</v>
      </c>
    </row>
    <row r="54" spans="1:13">
      <c r="A54" s="170"/>
      <c r="B54" s="192"/>
      <c r="C54" s="77" t="s">
        <v>149</v>
      </c>
      <c r="D54" s="77"/>
      <c r="E54" s="77"/>
      <c r="F54" s="74"/>
      <c r="G54" s="783"/>
      <c r="H54" s="783"/>
      <c r="I54" s="796"/>
      <c r="J54" s="783"/>
      <c r="K54" s="783"/>
      <c r="L54" s="783"/>
      <c r="M54" s="796"/>
    </row>
    <row r="55" spans="1:13">
      <c r="A55" s="170"/>
      <c r="B55" s="192" t="s">
        <v>178</v>
      </c>
      <c r="C55" s="193" t="s">
        <v>196</v>
      </c>
      <c r="D55" s="77" t="s">
        <v>72</v>
      </c>
      <c r="E55" s="77"/>
      <c r="F55" s="194">
        <v>37</v>
      </c>
      <c r="G55" s="783">
        <v>0</v>
      </c>
      <c r="H55" s="783">
        <f t="shared" ref="H55:H57" si="20">F55*G55</f>
        <v>0</v>
      </c>
      <c r="I55" s="796"/>
      <c r="J55" s="783"/>
      <c r="K55" s="783"/>
      <c r="L55" s="783"/>
      <c r="M55" s="796">
        <f t="shared" ref="M55:M58" si="21">H55+J55+L55</f>
        <v>0</v>
      </c>
    </row>
    <row r="56" spans="1:13">
      <c r="A56" s="170"/>
      <c r="B56" s="192" t="s">
        <v>191</v>
      </c>
      <c r="C56" s="193" t="s">
        <v>197</v>
      </c>
      <c r="D56" s="77" t="s">
        <v>72</v>
      </c>
      <c r="E56" s="77"/>
      <c r="F56" s="194">
        <v>2</v>
      </c>
      <c r="G56" s="783">
        <v>0</v>
      </c>
      <c r="H56" s="783">
        <f t="shared" si="20"/>
        <v>0</v>
      </c>
      <c r="I56" s="796"/>
      <c r="J56" s="783"/>
      <c r="K56" s="783"/>
      <c r="L56" s="783"/>
      <c r="M56" s="796">
        <f t="shared" si="21"/>
        <v>0</v>
      </c>
    </row>
    <row r="57" spans="1:13">
      <c r="A57" s="170"/>
      <c r="B57" s="192" t="s">
        <v>178</v>
      </c>
      <c r="C57" s="193" t="s">
        <v>198</v>
      </c>
      <c r="D57" s="77" t="s">
        <v>72</v>
      </c>
      <c r="E57" s="77"/>
      <c r="F57" s="194">
        <v>1</v>
      </c>
      <c r="G57" s="783">
        <v>0</v>
      </c>
      <c r="H57" s="783">
        <f t="shared" si="20"/>
        <v>0</v>
      </c>
      <c r="I57" s="796"/>
      <c r="J57" s="783"/>
      <c r="K57" s="783"/>
      <c r="L57" s="783"/>
      <c r="M57" s="796">
        <f t="shared" si="21"/>
        <v>0</v>
      </c>
    </row>
    <row r="58" spans="1:13">
      <c r="A58" s="170"/>
      <c r="B58" s="192"/>
      <c r="C58" s="78" t="s">
        <v>94</v>
      </c>
      <c r="D58" s="77" t="s">
        <v>7</v>
      </c>
      <c r="E58" s="77">
        <f>(0.24/10)*1.15</f>
        <v>2.76E-2</v>
      </c>
      <c r="F58" s="160">
        <f>E58*F51</f>
        <v>1.1040000000000001</v>
      </c>
      <c r="G58" s="783">
        <v>0</v>
      </c>
      <c r="H58" s="783">
        <f>F58*G58</f>
        <v>0</v>
      </c>
      <c r="I58" s="796"/>
      <c r="J58" s="783"/>
      <c r="K58" s="783"/>
      <c r="L58" s="783"/>
      <c r="M58" s="796">
        <f t="shared" si="21"/>
        <v>0</v>
      </c>
    </row>
    <row r="59" spans="1:13" ht="30">
      <c r="A59" s="82">
        <v>9</v>
      </c>
      <c r="B59" s="92" t="s">
        <v>117</v>
      </c>
      <c r="C59" s="89" t="s">
        <v>114</v>
      </c>
      <c r="D59" s="90" t="s">
        <v>65</v>
      </c>
      <c r="E59" s="90"/>
      <c r="F59" s="91">
        <f>F62+F64</f>
        <v>35</v>
      </c>
      <c r="G59" s="813"/>
      <c r="H59" s="814"/>
      <c r="I59" s="815"/>
      <c r="J59" s="814"/>
      <c r="K59" s="815"/>
      <c r="L59" s="814"/>
      <c r="M59" s="814">
        <f>SUM(M60:M65)</f>
        <v>0</v>
      </c>
    </row>
    <row r="60" spans="1:13" ht="15">
      <c r="A60" s="82"/>
      <c r="B60" s="86" t="s">
        <v>93</v>
      </c>
      <c r="C60" s="104" t="s">
        <v>92</v>
      </c>
      <c r="D60" s="84" t="s">
        <v>5</v>
      </c>
      <c r="E60" s="84">
        <v>0.62</v>
      </c>
      <c r="F60" s="83">
        <f>F59*E60</f>
        <v>21.7</v>
      </c>
      <c r="G60" s="816"/>
      <c r="H60" s="799"/>
      <c r="I60" s="781">
        <v>0</v>
      </c>
      <c r="J60" s="799">
        <f>F60*I60</f>
        <v>0</v>
      </c>
      <c r="K60" s="816"/>
      <c r="L60" s="799"/>
      <c r="M60" s="799">
        <f>H60+J60+L60</f>
        <v>0</v>
      </c>
    </row>
    <row r="61" spans="1:13" ht="15">
      <c r="A61" s="82"/>
      <c r="B61" s="86"/>
      <c r="C61" s="104" t="s">
        <v>71</v>
      </c>
      <c r="D61" s="86" t="s">
        <v>7</v>
      </c>
      <c r="E61" s="84">
        <v>0.41</v>
      </c>
      <c r="F61" s="85">
        <f>E61*F59</f>
        <v>14.35</v>
      </c>
      <c r="G61" s="816"/>
      <c r="H61" s="799"/>
      <c r="I61" s="816"/>
      <c r="J61" s="799"/>
      <c r="K61" s="816">
        <v>0</v>
      </c>
      <c r="L61" s="799">
        <f>F61*K61</f>
        <v>0</v>
      </c>
      <c r="M61" s="799">
        <f t="shared" ref="M61:M65" si="22">H61+J61+L61</f>
        <v>0</v>
      </c>
    </row>
    <row r="62" spans="1:13" ht="15">
      <c r="A62" s="93"/>
      <c r="B62" s="88" t="s">
        <v>134</v>
      </c>
      <c r="C62" s="105" t="s">
        <v>202</v>
      </c>
      <c r="D62" s="86" t="s">
        <v>72</v>
      </c>
      <c r="E62" s="86"/>
      <c r="F62" s="54">
        <v>34</v>
      </c>
      <c r="G62" s="798">
        <v>0</v>
      </c>
      <c r="H62" s="798">
        <f t="shared" ref="H62:H64" si="23">F62*G62</f>
        <v>0</v>
      </c>
      <c r="I62" s="816"/>
      <c r="J62" s="798"/>
      <c r="K62" s="806"/>
      <c r="L62" s="798"/>
      <c r="M62" s="799">
        <f t="shared" si="22"/>
        <v>0</v>
      </c>
    </row>
    <row r="63" spans="1:13" ht="15">
      <c r="A63" s="93"/>
      <c r="B63" s="88" t="s">
        <v>199</v>
      </c>
      <c r="C63" s="105" t="s">
        <v>201</v>
      </c>
      <c r="D63" s="86" t="s">
        <v>72</v>
      </c>
      <c r="E63" s="86"/>
      <c r="F63" s="54">
        <v>2</v>
      </c>
      <c r="G63" s="798">
        <v>0</v>
      </c>
      <c r="H63" s="798">
        <f t="shared" ref="H63" si="24">F63*G63</f>
        <v>0</v>
      </c>
      <c r="I63" s="816"/>
      <c r="J63" s="798"/>
      <c r="K63" s="806"/>
      <c r="L63" s="798"/>
      <c r="M63" s="799">
        <f t="shared" ref="M63" si="25">H63+J63+L63</f>
        <v>0</v>
      </c>
    </row>
    <row r="64" spans="1:13" ht="15">
      <c r="A64" s="93"/>
      <c r="B64" s="88" t="s">
        <v>135</v>
      </c>
      <c r="C64" s="105" t="s">
        <v>200</v>
      </c>
      <c r="D64" s="86" t="s">
        <v>72</v>
      </c>
      <c r="E64" s="86"/>
      <c r="F64" s="54">
        <v>1</v>
      </c>
      <c r="G64" s="798">
        <v>0</v>
      </c>
      <c r="H64" s="798">
        <f t="shared" si="23"/>
        <v>0</v>
      </c>
      <c r="I64" s="816"/>
      <c r="J64" s="798"/>
      <c r="K64" s="806"/>
      <c r="L64" s="798"/>
      <c r="M64" s="799">
        <f t="shared" si="22"/>
        <v>0</v>
      </c>
    </row>
    <row r="65" spans="1:13" ht="15">
      <c r="A65" s="93"/>
      <c r="B65" s="88"/>
      <c r="C65" s="79" t="s">
        <v>94</v>
      </c>
      <c r="D65" s="86" t="s">
        <v>7</v>
      </c>
      <c r="E65" s="86">
        <v>0.04</v>
      </c>
      <c r="F65" s="87">
        <f>E65*F59</f>
        <v>1.4000000000000001</v>
      </c>
      <c r="G65" s="806">
        <v>0</v>
      </c>
      <c r="H65" s="817">
        <f>F65*G65</f>
        <v>0</v>
      </c>
      <c r="I65" s="816"/>
      <c r="J65" s="798"/>
      <c r="K65" s="806"/>
      <c r="L65" s="798"/>
      <c r="M65" s="799">
        <f t="shared" si="22"/>
        <v>0</v>
      </c>
    </row>
    <row r="66" spans="1:13">
      <c r="A66" s="43"/>
      <c r="B66" s="44"/>
      <c r="C66" s="45" t="s">
        <v>2</v>
      </c>
      <c r="D66" s="760"/>
      <c r="E66" s="761"/>
      <c r="F66" s="762"/>
      <c r="G66" s="762"/>
      <c r="H66" s="763">
        <f>SUM(H10:H65)</f>
        <v>0</v>
      </c>
      <c r="I66" s="763"/>
      <c r="J66" s="763">
        <f>SUM(J10:J65)</f>
        <v>0</v>
      </c>
      <c r="K66" s="763"/>
      <c r="L66" s="763">
        <f>SUM(L10:L65)</f>
        <v>0</v>
      </c>
      <c r="M66" s="763">
        <f>SUM(M10:M65)/2</f>
        <v>0</v>
      </c>
    </row>
    <row r="67" spans="1:13">
      <c r="A67" s="107"/>
      <c r="B67" s="47"/>
      <c r="C67" s="108" t="s">
        <v>27</v>
      </c>
      <c r="D67" s="764">
        <v>0</v>
      </c>
      <c r="E67" s="765"/>
      <c r="F67" s="766"/>
      <c r="G67" s="766"/>
      <c r="H67" s="767"/>
      <c r="I67" s="766"/>
      <c r="J67" s="767"/>
      <c r="K67" s="766"/>
      <c r="L67" s="767"/>
      <c r="M67" s="767">
        <f>H66*D67</f>
        <v>0</v>
      </c>
    </row>
    <row r="68" spans="1:13">
      <c r="A68" s="107"/>
      <c r="B68" s="42"/>
      <c r="C68" s="48" t="s">
        <v>2</v>
      </c>
      <c r="D68" s="768"/>
      <c r="E68" s="769"/>
      <c r="F68" s="770"/>
      <c r="G68" s="770"/>
      <c r="H68" s="771"/>
      <c r="I68" s="772"/>
      <c r="J68" s="771"/>
      <c r="K68" s="772"/>
      <c r="L68" s="771"/>
      <c r="M68" s="771">
        <f>M66+M67</f>
        <v>0</v>
      </c>
    </row>
    <row r="69" spans="1:13">
      <c r="A69" s="107"/>
      <c r="B69" s="42"/>
      <c r="C69" s="109" t="s">
        <v>28</v>
      </c>
      <c r="D69" s="773">
        <v>0</v>
      </c>
      <c r="E69" s="765"/>
      <c r="F69" s="766"/>
      <c r="G69" s="766"/>
      <c r="H69" s="774"/>
      <c r="I69" s="774"/>
      <c r="J69" s="774"/>
      <c r="K69" s="774"/>
      <c r="L69" s="774"/>
      <c r="M69" s="767">
        <f>M68*D69</f>
        <v>0</v>
      </c>
    </row>
    <row r="70" spans="1:13">
      <c r="A70" s="107"/>
      <c r="B70" s="42"/>
      <c r="C70" s="48" t="s">
        <v>2</v>
      </c>
      <c r="D70" s="768"/>
      <c r="E70" s="769"/>
      <c r="F70" s="770"/>
      <c r="G70" s="770"/>
      <c r="H70" s="772"/>
      <c r="I70" s="772"/>
      <c r="J70" s="772"/>
      <c r="K70" s="772"/>
      <c r="L70" s="772"/>
      <c r="M70" s="771">
        <f>M68+M69</f>
        <v>0</v>
      </c>
    </row>
    <row r="71" spans="1:13">
      <c r="A71" s="107"/>
      <c r="B71" s="42"/>
      <c r="C71" s="109" t="s">
        <v>29</v>
      </c>
      <c r="D71" s="764">
        <v>0</v>
      </c>
      <c r="E71" s="765"/>
      <c r="F71" s="766"/>
      <c r="G71" s="766"/>
      <c r="H71" s="774"/>
      <c r="I71" s="774"/>
      <c r="J71" s="774"/>
      <c r="K71" s="774"/>
      <c r="L71" s="774"/>
      <c r="M71" s="767">
        <f>M70*D71</f>
        <v>0</v>
      </c>
    </row>
    <row r="72" spans="1:13">
      <c r="A72" s="107"/>
      <c r="B72" s="42"/>
      <c r="C72" s="48" t="s">
        <v>30</v>
      </c>
      <c r="D72" s="770"/>
      <c r="E72" s="769"/>
      <c r="F72" s="770"/>
      <c r="G72" s="770"/>
      <c r="H72" s="772"/>
      <c r="I72" s="772"/>
      <c r="J72" s="772"/>
      <c r="K72" s="772"/>
      <c r="L72" s="772"/>
      <c r="M72" s="771">
        <f>M70+M71</f>
        <v>0</v>
      </c>
    </row>
    <row r="73" spans="1:13">
      <c r="A73" s="113"/>
      <c r="B73" s="112"/>
      <c r="D73" s="775"/>
      <c r="E73" s="775"/>
      <c r="F73" s="775"/>
      <c r="G73" s="775"/>
      <c r="H73" s="775"/>
      <c r="I73" s="775"/>
      <c r="J73" s="775"/>
      <c r="K73" s="775"/>
      <c r="L73" s="775"/>
      <c r="M73" s="775"/>
    </row>
    <row r="74" spans="1:13">
      <c r="A74" s="113"/>
      <c r="B74" s="112"/>
      <c r="D74" s="775"/>
      <c r="E74" s="775"/>
      <c r="F74" s="775"/>
      <c r="G74" s="775"/>
      <c r="H74" s="775"/>
      <c r="I74" s="775"/>
      <c r="J74" s="775"/>
      <c r="K74" s="775"/>
      <c r="L74" s="775"/>
      <c r="M74" s="775"/>
    </row>
    <row r="75" spans="1:13">
      <c r="A75" s="113"/>
      <c r="B75" s="112"/>
      <c r="D75" s="775"/>
      <c r="E75" s="775"/>
      <c r="F75" s="775"/>
      <c r="G75" s="775"/>
      <c r="H75" s="775"/>
      <c r="I75" s="775"/>
      <c r="J75" s="775"/>
      <c r="K75" s="775"/>
      <c r="L75" s="775"/>
      <c r="M75" s="775"/>
    </row>
    <row r="76" spans="1:13">
      <c r="A76" s="113"/>
      <c r="B76" s="112"/>
      <c r="D76" s="775"/>
      <c r="E76" s="775"/>
      <c r="F76" s="775"/>
      <c r="G76" s="775"/>
      <c r="H76" s="775"/>
      <c r="I76" s="775"/>
      <c r="J76" s="775"/>
      <c r="K76" s="775"/>
      <c r="L76" s="775"/>
      <c r="M76" s="775"/>
    </row>
  </sheetData>
  <sheetProtection algorithmName="SHA-512" hashValue="KHLsEFj9xSXt+Frudn9YYNE9tdjPB+qCgZkFqcCPXtqCQKfePJrO5o68b2H29VWGfULZUClrgM6XDHDmhYQAOg==" saltValue="ke5UrHAYLzt1a4m71yr+XA==" spinCount="100000" sheet="1" objects="1" scenarios="1"/>
  <mergeCells count="15">
    <mergeCell ref="C6:K6"/>
    <mergeCell ref="A1:M1"/>
    <mergeCell ref="A2:F2"/>
    <mergeCell ref="A3:M3"/>
    <mergeCell ref="A4:M4"/>
    <mergeCell ref="B5:G5"/>
    <mergeCell ref="G7:H7"/>
    <mergeCell ref="I7:J7"/>
    <mergeCell ref="K7:L7"/>
    <mergeCell ref="A7:A8"/>
    <mergeCell ref="B7:B8"/>
    <mergeCell ref="C7:C8"/>
    <mergeCell ref="D7:D8"/>
    <mergeCell ref="E7:E8"/>
    <mergeCell ref="F7:F8"/>
  </mergeCells>
  <phoneticPr fontId="45" type="noConversion"/>
  <conditionalFormatting sqref="B59 B62:B64">
    <cfRule type="cellIs" dxfId="277" priority="1" stopIfTrue="1" operator="equal">
      <formula>8223.307275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59" orientation="landscape" horizontalDpi="4294967293" verticalDpi="4294967293" r:id="rId1"/>
  <rowBreaks count="1" manualBreakCount="1">
    <brk id="5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view="pageBreakPreview" zoomScaleNormal="100" zoomScaleSheetLayoutView="100" workbookViewId="0">
      <selection activeCell="E10" sqref="E10:J18"/>
    </sheetView>
  </sheetViews>
  <sheetFormatPr defaultColWidth="9.109375" defaultRowHeight="14.4"/>
  <cols>
    <col min="1" max="1" width="5.88671875" style="58" customWidth="1"/>
    <col min="2" max="2" width="8" style="58" customWidth="1"/>
    <col min="3" max="3" width="54.44140625" style="58" customWidth="1"/>
    <col min="4" max="4" width="6" style="58" customWidth="1"/>
    <col min="5" max="5" width="14.44140625" style="58" customWidth="1"/>
    <col min="6" max="9" width="15.88671875" style="58" customWidth="1"/>
    <col min="10" max="10" width="12.5546875" style="58" customWidth="1"/>
    <col min="11" max="16384" width="9.109375" style="58"/>
  </cols>
  <sheetData>
    <row r="1" spans="1:13" ht="16.2">
      <c r="B1" s="698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C1" s="698"/>
      <c r="D1" s="698"/>
      <c r="E1" s="698"/>
      <c r="F1" s="698"/>
      <c r="G1" s="698"/>
      <c r="H1" s="698"/>
      <c r="I1" s="698"/>
      <c r="J1" s="207"/>
    </row>
    <row r="2" spans="1:13">
      <c r="B2" s="699" t="s">
        <v>215</v>
      </c>
      <c r="C2" s="699"/>
      <c r="D2" s="699"/>
      <c r="E2" s="699"/>
      <c r="F2" s="195" t="str">
        <f>B!B15</f>
        <v>B-5</v>
      </c>
      <c r="G2" s="195"/>
      <c r="H2" s="195"/>
      <c r="I2" s="195"/>
      <c r="J2" s="195"/>
    </row>
    <row r="3" spans="1:13">
      <c r="B3" s="658" t="str">
        <f>B!C15</f>
        <v>რკ/ბეტონის 500 მ3 რეზერვუარი</v>
      </c>
      <c r="C3" s="658"/>
      <c r="D3" s="658"/>
      <c r="E3" s="658"/>
      <c r="F3" s="658"/>
      <c r="G3" s="658"/>
      <c r="H3" s="658"/>
      <c r="I3" s="658"/>
    </row>
    <row r="4" spans="1:13">
      <c r="B4" s="208"/>
      <c r="C4" s="208"/>
      <c r="D4" s="208"/>
      <c r="E4" s="208"/>
      <c r="F4" s="208"/>
      <c r="G4" s="208"/>
      <c r="H4" s="208"/>
      <c r="I4" s="208"/>
    </row>
    <row r="5" spans="1:13" ht="50.25" customHeight="1">
      <c r="B5" s="639">
        <f>gan.barat!B34</f>
        <v>0</v>
      </c>
      <c r="C5" s="639"/>
      <c r="D5" s="639"/>
      <c r="E5" s="639"/>
      <c r="F5" s="639"/>
      <c r="G5" s="16"/>
      <c r="H5" s="16"/>
      <c r="I5" s="16"/>
      <c r="J5" s="16"/>
      <c r="K5" s="196"/>
      <c r="L5" s="196"/>
      <c r="M5" s="196"/>
    </row>
    <row r="6" spans="1:13">
      <c r="B6" s="197"/>
      <c r="C6" s="198"/>
      <c r="D6" s="198"/>
      <c r="E6" s="198"/>
      <c r="F6" s="198"/>
      <c r="G6" s="700"/>
      <c r="H6" s="700"/>
      <c r="I6" s="700"/>
      <c r="J6" s="700"/>
    </row>
    <row r="7" spans="1:13" ht="15.75" customHeight="1">
      <c r="A7" s="701" t="s">
        <v>1</v>
      </c>
      <c r="B7" s="701"/>
      <c r="C7" s="702" t="s">
        <v>208</v>
      </c>
      <c r="D7" s="703"/>
      <c r="E7" s="692" t="s">
        <v>209</v>
      </c>
      <c r="F7" s="706"/>
      <c r="G7" s="706"/>
      <c r="H7" s="706"/>
      <c r="I7" s="693"/>
      <c r="J7" s="691" t="s">
        <v>210</v>
      </c>
    </row>
    <row r="8" spans="1:13" ht="28.8">
      <c r="A8" s="701"/>
      <c r="B8" s="701"/>
      <c r="C8" s="704"/>
      <c r="D8" s="705"/>
      <c r="E8" s="199" t="s">
        <v>211</v>
      </c>
      <c r="F8" s="199" t="s">
        <v>212</v>
      </c>
      <c r="G8" s="199" t="s">
        <v>213</v>
      </c>
      <c r="H8" s="199" t="s">
        <v>214</v>
      </c>
      <c r="I8" s="199" t="s">
        <v>0</v>
      </c>
      <c r="J8" s="707"/>
    </row>
    <row r="9" spans="1:13">
      <c r="A9" s="691">
        <v>1</v>
      </c>
      <c r="B9" s="691"/>
      <c r="C9" s="692">
        <v>2</v>
      </c>
      <c r="D9" s="693"/>
      <c r="E9" s="199">
        <v>3</v>
      </c>
      <c r="F9" s="199">
        <v>4</v>
      </c>
      <c r="G9" s="199">
        <v>5</v>
      </c>
      <c r="H9" s="199">
        <v>6</v>
      </c>
      <c r="I9" s="199">
        <v>7</v>
      </c>
      <c r="J9" s="199">
        <v>8</v>
      </c>
    </row>
    <row r="10" spans="1:13">
      <c r="A10" s="200">
        <v>1</v>
      </c>
      <c r="B10" s="199" t="s">
        <v>376</v>
      </c>
      <c r="C10" s="201" t="s">
        <v>111</v>
      </c>
      <c r="D10" s="202"/>
      <c r="E10" s="818">
        <f>'B-5.1'!M68</f>
        <v>0</v>
      </c>
      <c r="F10" s="819"/>
      <c r="G10" s="819"/>
      <c r="H10" s="819"/>
      <c r="I10" s="818">
        <f>E10+F10+G10+H10</f>
        <v>0</v>
      </c>
      <c r="J10" s="819"/>
    </row>
    <row r="11" spans="1:13">
      <c r="A11" s="200">
        <v>2</v>
      </c>
      <c r="B11" s="199" t="s">
        <v>378</v>
      </c>
      <c r="C11" s="201" t="s">
        <v>216</v>
      </c>
      <c r="D11" s="202"/>
      <c r="E11" s="818">
        <f>'B-5.2'!M183</f>
        <v>0</v>
      </c>
      <c r="F11" s="819"/>
      <c r="G11" s="819"/>
      <c r="H11" s="819"/>
      <c r="I11" s="818">
        <f>E11+F11+G11+H11</f>
        <v>0</v>
      </c>
      <c r="J11" s="819"/>
    </row>
    <row r="12" spans="1:13">
      <c r="A12" s="694"/>
      <c r="B12" s="695"/>
      <c r="C12" s="696" t="s">
        <v>2</v>
      </c>
      <c r="D12" s="697"/>
      <c r="E12" s="819"/>
      <c r="F12" s="819"/>
      <c r="G12" s="819"/>
      <c r="H12" s="819"/>
      <c r="I12" s="818">
        <f>SUM(I10:I11)</f>
        <v>0</v>
      </c>
      <c r="J12" s="819"/>
    </row>
    <row r="13" spans="1:13">
      <c r="B13" s="197"/>
      <c r="C13" s="203"/>
      <c r="D13" s="203"/>
      <c r="E13" s="820"/>
      <c r="F13" s="820"/>
      <c r="G13" s="820"/>
      <c r="H13" s="820"/>
      <c r="I13" s="820"/>
      <c r="J13" s="821"/>
    </row>
    <row r="14" spans="1:13">
      <c r="B14" s="197"/>
      <c r="C14" s="203"/>
      <c r="D14" s="203"/>
      <c r="E14" s="820"/>
      <c r="F14" s="820"/>
      <c r="G14" s="820"/>
      <c r="H14" s="820"/>
      <c r="I14" s="820"/>
      <c r="J14" s="821"/>
    </row>
    <row r="15" spans="1:13">
      <c r="B15" s="197"/>
      <c r="C15" s="209"/>
      <c r="D15" s="209"/>
      <c r="E15" s="822"/>
      <c r="F15" s="822"/>
      <c r="G15" s="823"/>
      <c r="H15" s="824"/>
      <c r="I15" s="821"/>
      <c r="J15" s="825"/>
    </row>
    <row r="16" spans="1:13">
      <c r="B16" s="204"/>
      <c r="C16" s="205"/>
      <c r="D16" s="205"/>
      <c r="E16" s="826"/>
      <c r="F16" s="826"/>
      <c r="G16" s="826"/>
      <c r="H16" s="826"/>
      <c r="I16" s="826"/>
      <c r="J16" s="826"/>
    </row>
    <row r="17" spans="2:10">
      <c r="B17" s="205"/>
      <c r="C17" s="206"/>
      <c r="D17" s="206"/>
      <c r="E17" s="826"/>
      <c r="F17" s="826"/>
      <c r="G17" s="826"/>
      <c r="H17" s="826"/>
      <c r="I17" s="826"/>
      <c r="J17" s="826"/>
    </row>
    <row r="18" spans="2:10">
      <c r="B18" s="205"/>
      <c r="C18" s="206"/>
      <c r="D18" s="206"/>
      <c r="E18" s="826"/>
      <c r="F18" s="826"/>
      <c r="G18" s="827"/>
      <c r="H18" s="827"/>
      <c r="I18" s="827"/>
      <c r="J18" s="826"/>
    </row>
  </sheetData>
  <sheetProtection algorithmName="SHA-512" hashValue="QAaSWgqC3rMOLskSzs6CQcJpvaROq503VICNd6zqAbIASL2Evys/TmJWjr6jvaEpAS1TqGspiW1U/wcHJSYrpQ==" saltValue="4XivhQz+1QqzCqZU4goNtw==" spinCount="100000" sheet="1" objects="1" scenarios="1"/>
  <mergeCells count="13">
    <mergeCell ref="A9:B9"/>
    <mergeCell ref="C9:D9"/>
    <mergeCell ref="A12:B12"/>
    <mergeCell ref="C12:D12"/>
    <mergeCell ref="B1:I1"/>
    <mergeCell ref="B2:E2"/>
    <mergeCell ref="B3:I3"/>
    <mergeCell ref="B5:F5"/>
    <mergeCell ref="G6:J6"/>
    <mergeCell ref="A7:B8"/>
    <mergeCell ref="C7:D8"/>
    <mergeCell ref="E7:I7"/>
    <mergeCell ref="J7:J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3"/>
  <sheetViews>
    <sheetView view="pageBreakPreview" topLeftCell="A33" zoomScaleNormal="100" zoomScaleSheetLayoutView="100" workbookViewId="0">
      <selection activeCell="M73" sqref="G11:M73"/>
    </sheetView>
  </sheetViews>
  <sheetFormatPr defaultColWidth="9.109375" defaultRowHeight="14.4"/>
  <cols>
    <col min="1" max="1" width="4" style="243" customWidth="1"/>
    <col min="2" max="2" width="13.33203125" style="243" customWidth="1"/>
    <col min="3" max="3" width="55.5546875" style="210" customWidth="1"/>
    <col min="4" max="5" width="10.6640625" style="210" customWidth="1"/>
    <col min="6" max="6" width="11.88671875" style="210" customWidth="1"/>
    <col min="7" max="12" width="10.6640625" style="210" customWidth="1"/>
    <col min="13" max="13" width="11.6640625" style="210" customWidth="1"/>
    <col min="14" max="14" width="9.5546875" style="210" bestFit="1" customWidth="1"/>
    <col min="15" max="15" width="10.6640625" style="210" bestFit="1" customWidth="1"/>
    <col min="16" max="16" width="14.88671875" style="210" customWidth="1"/>
    <col min="17" max="17" width="15.44140625" style="210" customWidth="1"/>
    <col min="18" max="16384" width="9.109375" style="210"/>
  </cols>
  <sheetData>
    <row r="1" spans="1:15" ht="16.2">
      <c r="A1" s="709" t="str">
        <f>[1]gan.barat!A11</f>
        <v>დმანისის მუნიციპალიტეტის სოფელ ირგანჩაის წყალმომარაგების ქსელის რეაბილიტაცია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</row>
    <row r="2" spans="1:15" ht="16.2">
      <c r="A2" s="710" t="s">
        <v>1</v>
      </c>
      <c r="B2" s="710"/>
      <c r="C2" s="710"/>
      <c r="D2" s="710"/>
      <c r="E2" s="710"/>
      <c r="F2" s="710"/>
      <c r="G2" s="211" t="str">
        <f>'B-5'!B10</f>
        <v>B-5.1</v>
      </c>
      <c r="H2" s="211"/>
      <c r="I2" s="211"/>
      <c r="J2" s="211"/>
      <c r="K2" s="211"/>
      <c r="L2" s="211"/>
      <c r="M2" s="211"/>
    </row>
    <row r="3" spans="1:15">
      <c r="A3" s="711" t="str">
        <f>'B-5'!C10</f>
        <v>მიწის სამუშაოები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</row>
    <row r="4" spans="1:15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</row>
    <row r="5" spans="1:15">
      <c r="A5" s="212"/>
      <c r="B5" s="713" t="e">
        <f>#REF!</f>
        <v>#REF!</v>
      </c>
      <c r="C5" s="713"/>
      <c r="D5" s="713"/>
      <c r="E5" s="713"/>
      <c r="F5" s="713"/>
      <c r="G5" s="713"/>
      <c r="H5" s="601"/>
      <c r="I5" s="601"/>
      <c r="J5" s="601"/>
      <c r="K5" s="601"/>
      <c r="L5" s="601"/>
      <c r="M5" s="601"/>
    </row>
    <row r="6" spans="1:15">
      <c r="A6" s="213"/>
      <c r="B6" s="214"/>
      <c r="C6" s="708"/>
      <c r="D6" s="708"/>
      <c r="E6" s="708"/>
      <c r="F6" s="708"/>
      <c r="G6" s="708"/>
      <c r="H6" s="708"/>
      <c r="I6" s="708"/>
      <c r="J6" s="708"/>
      <c r="K6" s="708"/>
      <c r="L6" s="215"/>
      <c r="M6" s="215"/>
    </row>
    <row r="7" spans="1:15">
      <c r="A7" s="716" t="s">
        <v>9</v>
      </c>
      <c r="B7" s="717" t="s">
        <v>10</v>
      </c>
      <c r="C7" s="718" t="s">
        <v>11</v>
      </c>
      <c r="D7" s="718" t="s">
        <v>12</v>
      </c>
      <c r="E7" s="718" t="s">
        <v>13</v>
      </c>
      <c r="F7" s="718" t="s">
        <v>14</v>
      </c>
      <c r="G7" s="719" t="s">
        <v>15</v>
      </c>
      <c r="H7" s="719"/>
      <c r="I7" s="719" t="s">
        <v>16</v>
      </c>
      <c r="J7" s="719"/>
      <c r="K7" s="718" t="s">
        <v>17</v>
      </c>
      <c r="L7" s="720"/>
      <c r="M7" s="216" t="s">
        <v>0</v>
      </c>
    </row>
    <row r="8" spans="1:15">
      <c r="A8" s="716"/>
      <c r="B8" s="717"/>
      <c r="C8" s="718"/>
      <c r="D8" s="718"/>
      <c r="E8" s="718"/>
      <c r="F8" s="718"/>
      <c r="G8" s="597" t="s">
        <v>18</v>
      </c>
      <c r="H8" s="217" t="s">
        <v>2</v>
      </c>
      <c r="I8" s="597" t="s">
        <v>18</v>
      </c>
      <c r="J8" s="217" t="s">
        <v>2</v>
      </c>
      <c r="K8" s="597" t="s">
        <v>18</v>
      </c>
      <c r="L8" s="218" t="s">
        <v>2</v>
      </c>
      <c r="M8" s="219" t="s">
        <v>19</v>
      </c>
    </row>
    <row r="9" spans="1:15">
      <c r="A9" s="599">
        <v>1</v>
      </c>
      <c r="B9" s="599">
        <v>2</v>
      </c>
      <c r="C9" s="598">
        <v>3</v>
      </c>
      <c r="D9" s="598">
        <v>4</v>
      </c>
      <c r="E9" s="598">
        <v>5</v>
      </c>
      <c r="F9" s="598">
        <v>6</v>
      </c>
      <c r="G9" s="598">
        <v>7</v>
      </c>
      <c r="H9" s="598">
        <v>8</v>
      </c>
      <c r="I9" s="598">
        <v>9</v>
      </c>
      <c r="J9" s="598">
        <v>10</v>
      </c>
      <c r="K9" s="598">
        <v>11</v>
      </c>
      <c r="L9" s="598">
        <v>12</v>
      </c>
      <c r="M9" s="598">
        <v>13</v>
      </c>
    </row>
    <row r="10" spans="1:15" ht="15">
      <c r="A10" s="220"/>
      <c r="B10" s="220"/>
      <c r="C10" s="220" t="s">
        <v>218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5" ht="27.6">
      <c r="A11" s="608" t="s">
        <v>44</v>
      </c>
      <c r="B11" s="103" t="s">
        <v>52</v>
      </c>
      <c r="C11" s="609" t="s">
        <v>32</v>
      </c>
      <c r="D11" s="221" t="s">
        <v>25</v>
      </c>
      <c r="E11" s="221"/>
      <c r="F11" s="610">
        <v>592.995</v>
      </c>
      <c r="G11" s="844"/>
      <c r="H11" s="844"/>
      <c r="I11" s="844"/>
      <c r="J11" s="844"/>
      <c r="K11" s="844"/>
      <c r="L11" s="844"/>
      <c r="M11" s="845">
        <f>SUM(M12:M13)</f>
        <v>0</v>
      </c>
    </row>
    <row r="12" spans="1:15" ht="15">
      <c r="A12" s="611"/>
      <c r="B12" s="612"/>
      <c r="C12" s="613" t="s">
        <v>24</v>
      </c>
      <c r="D12" s="80" t="s">
        <v>40</v>
      </c>
      <c r="E12" s="80">
        <f>21.5/1000</f>
        <v>2.1499999999999998E-2</v>
      </c>
      <c r="F12" s="84">
        <f>F11*E12</f>
        <v>12.749392499999999</v>
      </c>
      <c r="G12" s="846"/>
      <c r="H12" s="846"/>
      <c r="I12" s="816">
        <v>0</v>
      </c>
      <c r="J12" s="816">
        <f>I12*F12</f>
        <v>0</v>
      </c>
      <c r="K12" s="846"/>
      <c r="L12" s="846"/>
      <c r="M12" s="799">
        <f>L12+J12+H12</f>
        <v>0</v>
      </c>
      <c r="O12" s="223"/>
    </row>
    <row r="13" spans="1:15" ht="15">
      <c r="A13" s="611"/>
      <c r="B13" s="149" t="s">
        <v>136</v>
      </c>
      <c r="C13" s="613" t="s">
        <v>33</v>
      </c>
      <c r="D13" s="80" t="s">
        <v>41</v>
      </c>
      <c r="E13" s="80">
        <f>48.2/1000</f>
        <v>4.82E-2</v>
      </c>
      <c r="F13" s="83">
        <f>E13*F11</f>
        <v>28.582359</v>
      </c>
      <c r="G13" s="799"/>
      <c r="H13" s="799"/>
      <c r="I13" s="799"/>
      <c r="J13" s="799"/>
      <c r="K13" s="783">
        <v>0</v>
      </c>
      <c r="L13" s="799">
        <f>F13*K13</f>
        <v>0</v>
      </c>
      <c r="M13" s="799">
        <f>L13+J13+H13</f>
        <v>0</v>
      </c>
    </row>
    <row r="14" spans="1:15" ht="30">
      <c r="A14" s="95">
        <v>2</v>
      </c>
      <c r="B14" s="95" t="s">
        <v>50</v>
      </c>
      <c r="C14" s="220" t="s">
        <v>219</v>
      </c>
      <c r="D14" s="95" t="s">
        <v>220</v>
      </c>
      <c r="E14" s="95"/>
      <c r="F14" s="95">
        <v>35</v>
      </c>
      <c r="G14" s="844"/>
      <c r="H14" s="844"/>
      <c r="I14" s="844"/>
      <c r="J14" s="844"/>
      <c r="K14" s="844"/>
      <c r="L14" s="844"/>
      <c r="M14" s="845">
        <f>M15</f>
        <v>0</v>
      </c>
      <c r="O14" s="223"/>
    </row>
    <row r="15" spans="1:15" ht="15">
      <c r="A15" s="84"/>
      <c r="B15" s="224"/>
      <c r="C15" s="79" t="s">
        <v>58</v>
      </c>
      <c r="D15" s="84" t="s">
        <v>5</v>
      </c>
      <c r="E15" s="84">
        <f>299*0.01</f>
        <v>2.99</v>
      </c>
      <c r="F15" s="84">
        <f>E15*F14</f>
        <v>104.65</v>
      </c>
      <c r="G15" s="846"/>
      <c r="H15" s="846"/>
      <c r="I15" s="816">
        <v>0</v>
      </c>
      <c r="J15" s="816">
        <f>I15*F15</f>
        <v>0</v>
      </c>
      <c r="K15" s="846"/>
      <c r="L15" s="846"/>
      <c r="M15" s="799">
        <f>L15+J15+H15</f>
        <v>0</v>
      </c>
    </row>
    <row r="16" spans="1:15" ht="15">
      <c r="A16" s="95">
        <v>3</v>
      </c>
      <c r="B16" s="95" t="s">
        <v>221</v>
      </c>
      <c r="C16" s="220" t="s">
        <v>222</v>
      </c>
      <c r="D16" s="95" t="s">
        <v>6</v>
      </c>
      <c r="E16" s="95"/>
      <c r="F16" s="95">
        <v>80</v>
      </c>
      <c r="G16" s="844"/>
      <c r="H16" s="844"/>
      <c r="I16" s="844"/>
      <c r="J16" s="844"/>
      <c r="K16" s="844"/>
      <c r="L16" s="844"/>
      <c r="M16" s="845">
        <f>SUM(M17:M18)</f>
        <v>0</v>
      </c>
    </row>
    <row r="17" spans="1:13" ht="15">
      <c r="A17" s="84"/>
      <c r="B17" s="224"/>
      <c r="C17" s="79" t="s">
        <v>58</v>
      </c>
      <c r="D17" s="84" t="s">
        <v>5</v>
      </c>
      <c r="E17" s="83">
        <v>1.78</v>
      </c>
      <c r="F17" s="83">
        <f>E17*F16</f>
        <v>142.4</v>
      </c>
      <c r="G17" s="846"/>
      <c r="H17" s="846"/>
      <c r="I17" s="816">
        <v>0</v>
      </c>
      <c r="J17" s="816">
        <f>I17*F17</f>
        <v>0</v>
      </c>
      <c r="K17" s="846"/>
      <c r="L17" s="846"/>
      <c r="M17" s="799">
        <f>L17+J17+H17</f>
        <v>0</v>
      </c>
    </row>
    <row r="18" spans="1:13" ht="15">
      <c r="A18" s="84"/>
      <c r="B18" s="224" t="s">
        <v>365</v>
      </c>
      <c r="C18" s="79" t="s">
        <v>223</v>
      </c>
      <c r="D18" s="84" t="s">
        <v>6</v>
      </c>
      <c r="E18" s="83">
        <v>1.1000000000000001</v>
      </c>
      <c r="F18" s="614">
        <f>E18*F16</f>
        <v>88</v>
      </c>
      <c r="G18" s="816">
        <v>0</v>
      </c>
      <c r="H18" s="847">
        <f>F18*G18</f>
        <v>0</v>
      </c>
      <c r="I18" s="816"/>
      <c r="J18" s="816"/>
      <c r="K18" s="846"/>
      <c r="L18" s="846"/>
      <c r="M18" s="799">
        <f>L18+J18+H18</f>
        <v>0</v>
      </c>
    </row>
    <row r="19" spans="1:13" ht="17.399999999999999">
      <c r="A19" s="95">
        <v>4</v>
      </c>
      <c r="B19" s="95" t="s">
        <v>224</v>
      </c>
      <c r="C19" s="220" t="s">
        <v>225</v>
      </c>
      <c r="D19" s="95" t="s">
        <v>220</v>
      </c>
      <c r="E19" s="95"/>
      <c r="F19" s="95">
        <v>90</v>
      </c>
      <c r="G19" s="844"/>
      <c r="H19" s="844"/>
      <c r="I19" s="844"/>
      <c r="J19" s="844"/>
      <c r="K19" s="844"/>
      <c r="L19" s="844"/>
      <c r="M19" s="845">
        <f>M20</f>
        <v>0</v>
      </c>
    </row>
    <row r="20" spans="1:13" ht="15">
      <c r="A20" s="84"/>
      <c r="B20" s="224"/>
      <c r="C20" s="79" t="s">
        <v>58</v>
      </c>
      <c r="D20" s="84" t="s">
        <v>5</v>
      </c>
      <c r="E20" s="84">
        <v>1.21</v>
      </c>
      <c r="F20" s="84">
        <f>E20*F19</f>
        <v>108.89999999999999</v>
      </c>
      <c r="G20" s="846"/>
      <c r="H20" s="846"/>
      <c r="I20" s="816">
        <v>0</v>
      </c>
      <c r="J20" s="816">
        <f>I20*F20</f>
        <v>0</v>
      </c>
      <c r="K20" s="846"/>
      <c r="L20" s="846"/>
      <c r="M20" s="799">
        <f>L20+J20+H20</f>
        <v>0</v>
      </c>
    </row>
    <row r="21" spans="1:13" ht="30">
      <c r="A21" s="95">
        <v>5</v>
      </c>
      <c r="B21" s="95" t="s">
        <v>226</v>
      </c>
      <c r="C21" s="220" t="s">
        <v>227</v>
      </c>
      <c r="D21" s="95" t="s">
        <v>6</v>
      </c>
      <c r="E21" s="95"/>
      <c r="F21" s="95">
        <v>100</v>
      </c>
      <c r="G21" s="844"/>
      <c r="H21" s="844"/>
      <c r="I21" s="844"/>
      <c r="J21" s="844"/>
      <c r="K21" s="844"/>
      <c r="L21" s="844"/>
      <c r="M21" s="845">
        <f>M22</f>
        <v>0</v>
      </c>
    </row>
    <row r="22" spans="1:13" ht="15">
      <c r="A22" s="84"/>
      <c r="B22" s="176" t="s">
        <v>366</v>
      </c>
      <c r="C22" s="225" t="s">
        <v>228</v>
      </c>
      <c r="D22" s="84" t="s">
        <v>229</v>
      </c>
      <c r="E22" s="84">
        <f>(5.13)*0.001</f>
        <v>5.13E-3</v>
      </c>
      <c r="F22" s="83">
        <f>E22*F21</f>
        <v>0.51300000000000001</v>
      </c>
      <c r="G22" s="799"/>
      <c r="H22" s="848"/>
      <c r="I22" s="799"/>
      <c r="J22" s="799"/>
      <c r="K22" s="799">
        <v>0</v>
      </c>
      <c r="L22" s="799">
        <f>F22*K22</f>
        <v>0</v>
      </c>
      <c r="M22" s="799">
        <f>L22+J22+H22</f>
        <v>0</v>
      </c>
    </row>
    <row r="23" spans="1:13" ht="15">
      <c r="A23" s="608" t="s">
        <v>91</v>
      </c>
      <c r="B23" s="615" t="s">
        <v>57</v>
      </c>
      <c r="C23" s="609" t="s">
        <v>39</v>
      </c>
      <c r="D23" s="221" t="s">
        <v>25</v>
      </c>
      <c r="E23" s="616"/>
      <c r="F23" s="617">
        <f>F21</f>
        <v>100</v>
      </c>
      <c r="G23" s="849"/>
      <c r="H23" s="792"/>
      <c r="I23" s="849"/>
      <c r="J23" s="793"/>
      <c r="K23" s="849"/>
      <c r="L23" s="792"/>
      <c r="M23" s="850">
        <f>SUM(M24:M25)</f>
        <v>0</v>
      </c>
    </row>
    <row r="24" spans="1:13" ht="15">
      <c r="A24" s="611"/>
      <c r="B24" s="618"/>
      <c r="C24" s="613" t="s">
        <v>24</v>
      </c>
      <c r="D24" s="80" t="s">
        <v>40</v>
      </c>
      <c r="E24" s="619">
        <f>13.4/100</f>
        <v>0.13400000000000001</v>
      </c>
      <c r="F24" s="81">
        <f>E24*F23</f>
        <v>13.4</v>
      </c>
      <c r="G24" s="797"/>
      <c r="H24" s="783"/>
      <c r="I24" s="816">
        <v>0</v>
      </c>
      <c r="J24" s="796">
        <f>F24*I24</f>
        <v>0</v>
      </c>
      <c r="K24" s="797"/>
      <c r="L24" s="783"/>
      <c r="M24" s="796">
        <f>L24+J24+H24</f>
        <v>0</v>
      </c>
    </row>
    <row r="25" spans="1:13" ht="27.6">
      <c r="A25" s="611"/>
      <c r="B25" s="103" t="s">
        <v>137</v>
      </c>
      <c r="C25" s="613" t="s">
        <v>99</v>
      </c>
      <c r="D25" s="80" t="s">
        <v>43</v>
      </c>
      <c r="E25" s="619">
        <f>13/100</f>
        <v>0.13</v>
      </c>
      <c r="F25" s="81">
        <f>F23*E25</f>
        <v>13</v>
      </c>
      <c r="G25" s="797"/>
      <c r="H25" s="783"/>
      <c r="I25" s="797"/>
      <c r="J25" s="796"/>
      <c r="K25" s="797">
        <v>0</v>
      </c>
      <c r="L25" s="851">
        <f>K25*F25</f>
        <v>0</v>
      </c>
      <c r="M25" s="796">
        <f>L25+J25+H25</f>
        <v>0</v>
      </c>
    </row>
    <row r="26" spans="1:13" ht="30">
      <c r="A26" s="95">
        <v>7</v>
      </c>
      <c r="B26" s="95" t="s">
        <v>230</v>
      </c>
      <c r="C26" s="220" t="s">
        <v>231</v>
      </c>
      <c r="D26" s="95" t="s">
        <v>6</v>
      </c>
      <c r="E26" s="95"/>
      <c r="F26" s="95">
        <v>400</v>
      </c>
      <c r="G26" s="844"/>
      <c r="H26" s="844"/>
      <c r="I26" s="844"/>
      <c r="J26" s="844"/>
      <c r="K26" s="844"/>
      <c r="L26" s="844"/>
      <c r="M26" s="845">
        <f>SUM(M27:M28)</f>
        <v>0</v>
      </c>
    </row>
    <row r="27" spans="1:13" ht="15">
      <c r="A27" s="84"/>
      <c r="B27" s="224"/>
      <c r="C27" s="79" t="s">
        <v>58</v>
      </c>
      <c r="D27" s="84" t="s">
        <v>5</v>
      </c>
      <c r="E27" s="84">
        <f>13.7*0.001</f>
        <v>1.37E-2</v>
      </c>
      <c r="F27" s="84">
        <f>F26*E27</f>
        <v>5.48</v>
      </c>
      <c r="G27" s="846"/>
      <c r="H27" s="846"/>
      <c r="I27" s="816">
        <v>0</v>
      </c>
      <c r="J27" s="816">
        <f>I27*F27</f>
        <v>0</v>
      </c>
      <c r="K27" s="846"/>
      <c r="L27" s="846"/>
      <c r="M27" s="799">
        <f t="shared" ref="M27:M31" si="0">L27+J27+H27</f>
        <v>0</v>
      </c>
    </row>
    <row r="28" spans="1:13" ht="15">
      <c r="A28" s="84"/>
      <c r="B28" s="149" t="s">
        <v>367</v>
      </c>
      <c r="C28" s="79" t="s">
        <v>232</v>
      </c>
      <c r="D28" s="84" t="s">
        <v>229</v>
      </c>
      <c r="E28" s="84">
        <f>30.8*0.001</f>
        <v>3.0800000000000001E-2</v>
      </c>
      <c r="F28" s="83">
        <f>E28*F26</f>
        <v>12.32</v>
      </c>
      <c r="G28" s="799"/>
      <c r="H28" s="799"/>
      <c r="I28" s="799"/>
      <c r="J28" s="799"/>
      <c r="K28" s="799">
        <v>0</v>
      </c>
      <c r="L28" s="799">
        <f>F28*K28</f>
        <v>0</v>
      </c>
      <c r="M28" s="799">
        <f t="shared" si="0"/>
        <v>0</v>
      </c>
    </row>
    <row r="29" spans="1:13" ht="15">
      <c r="A29" s="95">
        <v>8</v>
      </c>
      <c r="B29" s="95" t="s">
        <v>233</v>
      </c>
      <c r="C29" s="220" t="s">
        <v>234</v>
      </c>
      <c r="D29" s="95" t="s">
        <v>6</v>
      </c>
      <c r="E29" s="95"/>
      <c r="F29" s="95">
        <v>120</v>
      </c>
      <c r="G29" s="844"/>
      <c r="H29" s="844"/>
      <c r="I29" s="844"/>
      <c r="J29" s="844"/>
      <c r="K29" s="844"/>
      <c r="L29" s="844"/>
      <c r="M29" s="845">
        <f>SUM(M30:M31)</f>
        <v>0</v>
      </c>
    </row>
    <row r="30" spans="1:13" ht="15">
      <c r="A30" s="84"/>
      <c r="B30" s="84" t="s">
        <v>368</v>
      </c>
      <c r="C30" s="79" t="s">
        <v>97</v>
      </c>
      <c r="D30" s="620" t="s">
        <v>6</v>
      </c>
      <c r="E30" s="620">
        <v>1.1000000000000001</v>
      </c>
      <c r="F30" s="621">
        <f>1.1*F29</f>
        <v>132</v>
      </c>
      <c r="G30" s="816">
        <v>0</v>
      </c>
      <c r="H30" s="848">
        <f>F30*G30</f>
        <v>0</v>
      </c>
      <c r="I30" s="799"/>
      <c r="J30" s="799"/>
      <c r="K30" s="799"/>
      <c r="L30" s="799"/>
      <c r="M30" s="799">
        <f t="shared" si="0"/>
        <v>0</v>
      </c>
    </row>
    <row r="31" spans="1:13" ht="15">
      <c r="A31" s="84"/>
      <c r="B31" s="176" t="s">
        <v>366</v>
      </c>
      <c r="C31" s="225" t="s">
        <v>228</v>
      </c>
      <c r="D31" s="84" t="s">
        <v>229</v>
      </c>
      <c r="E31" s="84">
        <f>5.13*0.001</f>
        <v>5.13E-3</v>
      </c>
      <c r="F31" s="83">
        <f>E31*F29</f>
        <v>0.61560000000000004</v>
      </c>
      <c r="G31" s="799"/>
      <c r="H31" s="848"/>
      <c r="I31" s="799"/>
      <c r="J31" s="799"/>
      <c r="K31" s="799">
        <v>0</v>
      </c>
      <c r="L31" s="799">
        <f>F31*K31</f>
        <v>0</v>
      </c>
      <c r="M31" s="799">
        <f t="shared" si="0"/>
        <v>0</v>
      </c>
    </row>
    <row r="32" spans="1:13" ht="15">
      <c r="A32" s="608" t="s">
        <v>49</v>
      </c>
      <c r="B32" s="615" t="s">
        <v>57</v>
      </c>
      <c r="C32" s="609" t="s">
        <v>235</v>
      </c>
      <c r="D32" s="221" t="s">
        <v>25</v>
      </c>
      <c r="E32" s="616"/>
      <c r="F32" s="617">
        <f>F29</f>
        <v>120</v>
      </c>
      <c r="G32" s="849"/>
      <c r="H32" s="792"/>
      <c r="I32" s="849"/>
      <c r="J32" s="793"/>
      <c r="K32" s="849"/>
      <c r="L32" s="792"/>
      <c r="M32" s="850">
        <f>SUM(M33:M34)</f>
        <v>0</v>
      </c>
    </row>
    <row r="33" spans="1:17" ht="15">
      <c r="A33" s="611"/>
      <c r="B33" s="618"/>
      <c r="C33" s="613" t="s">
        <v>24</v>
      </c>
      <c r="D33" s="80" t="s">
        <v>40</v>
      </c>
      <c r="E33" s="619">
        <f>13.4/100</f>
        <v>0.13400000000000001</v>
      </c>
      <c r="F33" s="81">
        <f>E33*F32</f>
        <v>16.080000000000002</v>
      </c>
      <c r="G33" s="797"/>
      <c r="H33" s="783"/>
      <c r="I33" s="816">
        <v>0</v>
      </c>
      <c r="J33" s="796">
        <f>F33*I33</f>
        <v>0</v>
      </c>
      <c r="K33" s="797"/>
      <c r="L33" s="783"/>
      <c r="M33" s="796">
        <f>L33+J33+H33</f>
        <v>0</v>
      </c>
    </row>
    <row r="34" spans="1:17" ht="27.6">
      <c r="A34" s="611"/>
      <c r="B34" s="103" t="s">
        <v>137</v>
      </c>
      <c r="C34" s="613" t="s">
        <v>99</v>
      </c>
      <c r="D34" s="80" t="s">
        <v>43</v>
      </c>
      <c r="E34" s="619">
        <f>13/100</f>
        <v>0.13</v>
      </c>
      <c r="F34" s="81">
        <f>F32*E34</f>
        <v>15.600000000000001</v>
      </c>
      <c r="G34" s="797"/>
      <c r="H34" s="783"/>
      <c r="I34" s="797"/>
      <c r="J34" s="796"/>
      <c r="K34" s="797">
        <v>0</v>
      </c>
      <c r="L34" s="851">
        <f>K34*F34</f>
        <v>0</v>
      </c>
      <c r="M34" s="796">
        <f>L34+J34+H34</f>
        <v>0</v>
      </c>
    </row>
    <row r="35" spans="1:17" ht="45">
      <c r="A35" s="95">
        <v>10</v>
      </c>
      <c r="B35" s="95" t="s">
        <v>236</v>
      </c>
      <c r="C35" s="220" t="s">
        <v>237</v>
      </c>
      <c r="D35" s="95" t="s">
        <v>6</v>
      </c>
      <c r="E35" s="95"/>
      <c r="F35" s="95">
        <v>749.95</v>
      </c>
      <c r="G35" s="844"/>
      <c r="H35" s="844"/>
      <c r="I35" s="844"/>
      <c r="J35" s="844"/>
      <c r="K35" s="844"/>
      <c r="L35" s="844"/>
      <c r="M35" s="845">
        <f>SUM(M36:M39)</f>
        <v>0</v>
      </c>
    </row>
    <row r="36" spans="1:17" ht="15">
      <c r="A36" s="84"/>
      <c r="B36" s="224"/>
      <c r="C36" s="79" t="s">
        <v>58</v>
      </c>
      <c r="D36" s="84" t="s">
        <v>5</v>
      </c>
      <c r="E36" s="84">
        <f>16.8*0.001</f>
        <v>1.6800000000000002E-2</v>
      </c>
      <c r="F36" s="84">
        <f>F35*E36</f>
        <v>12.599160000000003</v>
      </c>
      <c r="G36" s="846"/>
      <c r="H36" s="846"/>
      <c r="I36" s="816">
        <v>0</v>
      </c>
      <c r="J36" s="816">
        <f>I36*F36</f>
        <v>0</v>
      </c>
      <c r="K36" s="846"/>
      <c r="L36" s="846"/>
      <c r="M36" s="799">
        <f>L36+J36+H36</f>
        <v>0</v>
      </c>
    </row>
    <row r="37" spans="1:17" ht="15">
      <c r="A37" s="84"/>
      <c r="B37" s="149" t="s">
        <v>367</v>
      </c>
      <c r="C37" s="222" t="s">
        <v>232</v>
      </c>
      <c r="D37" s="84" t="s">
        <v>229</v>
      </c>
      <c r="E37" s="84">
        <f>37.6*0.001</f>
        <v>3.7600000000000001E-2</v>
      </c>
      <c r="F37" s="83">
        <f>E37*F35</f>
        <v>28.198120000000003</v>
      </c>
      <c r="G37" s="799"/>
      <c r="H37" s="799"/>
      <c r="I37" s="799"/>
      <c r="J37" s="799"/>
      <c r="K37" s="799">
        <v>0</v>
      </c>
      <c r="L37" s="799">
        <f>F37*K37</f>
        <v>0</v>
      </c>
      <c r="M37" s="799">
        <f>L37+J37+H37</f>
        <v>0</v>
      </c>
    </row>
    <row r="38" spans="1:17" ht="15">
      <c r="A38" s="84"/>
      <c r="B38" s="84"/>
      <c r="C38" s="79" t="s">
        <v>64</v>
      </c>
      <c r="D38" s="84" t="s">
        <v>69</v>
      </c>
      <c r="E38" s="84">
        <f>2.24*0.001</f>
        <v>2.2400000000000002E-3</v>
      </c>
      <c r="F38" s="83">
        <f>E38*F35</f>
        <v>1.6798880000000003</v>
      </c>
      <c r="G38" s="816"/>
      <c r="H38" s="816"/>
      <c r="I38" s="799"/>
      <c r="J38" s="799"/>
      <c r="K38" s="799">
        <v>0</v>
      </c>
      <c r="L38" s="799">
        <f>F38*K38</f>
        <v>0</v>
      </c>
      <c r="M38" s="799">
        <f>L38+J38+H38</f>
        <v>0</v>
      </c>
      <c r="O38" s="223"/>
    </row>
    <row r="39" spans="1:17" ht="15">
      <c r="A39" s="84"/>
      <c r="B39" s="84" t="s">
        <v>368</v>
      </c>
      <c r="C39" s="79" t="s">
        <v>97</v>
      </c>
      <c r="D39" s="84" t="s">
        <v>6</v>
      </c>
      <c r="E39" s="84">
        <f>0.06*0.001</f>
        <v>6.0000000000000002E-5</v>
      </c>
      <c r="F39" s="83">
        <f>E39*F35</f>
        <v>4.4997000000000002E-2</v>
      </c>
      <c r="G39" s="816">
        <v>0</v>
      </c>
      <c r="H39" s="799">
        <f>F39*G39</f>
        <v>0</v>
      </c>
      <c r="I39" s="799"/>
      <c r="J39" s="799"/>
      <c r="K39" s="799"/>
      <c r="L39" s="799"/>
      <c r="M39" s="799">
        <f>L39+J39+H39</f>
        <v>0</v>
      </c>
    </row>
    <row r="40" spans="1:17" ht="15">
      <c r="A40" s="95">
        <v>11</v>
      </c>
      <c r="B40" s="95"/>
      <c r="C40" s="220" t="s">
        <v>364</v>
      </c>
      <c r="D40" s="95" t="s">
        <v>67</v>
      </c>
      <c r="E40" s="95"/>
      <c r="F40" s="95">
        <f>F35*1.9</f>
        <v>1424.905</v>
      </c>
      <c r="G40" s="844"/>
      <c r="H40" s="844"/>
      <c r="I40" s="844"/>
      <c r="J40" s="844"/>
      <c r="K40" s="844"/>
      <c r="L40" s="844"/>
      <c r="M40" s="845">
        <f>M41</f>
        <v>0</v>
      </c>
      <c r="N40" s="226"/>
      <c r="O40" s="227"/>
      <c r="P40" s="227"/>
      <c r="Q40" s="227"/>
    </row>
    <row r="41" spans="1:17" ht="15">
      <c r="A41" s="95"/>
      <c r="B41" s="95" t="s">
        <v>238</v>
      </c>
      <c r="C41" s="228" t="s">
        <v>364</v>
      </c>
      <c r="D41" s="94"/>
      <c r="E41" s="94">
        <v>1</v>
      </c>
      <c r="F41" s="94">
        <f>F40*E41</f>
        <v>1424.905</v>
      </c>
      <c r="G41" s="852"/>
      <c r="H41" s="852"/>
      <c r="I41" s="852"/>
      <c r="J41" s="852"/>
      <c r="K41" s="852">
        <v>0</v>
      </c>
      <c r="L41" s="852">
        <f>F41*K41</f>
        <v>0</v>
      </c>
      <c r="M41" s="853">
        <f>L41+J41+H41</f>
        <v>0</v>
      </c>
      <c r="N41" s="714" t="s">
        <v>239</v>
      </c>
      <c r="O41" s="715"/>
      <c r="P41" s="715"/>
      <c r="Q41" s="715"/>
    </row>
    <row r="42" spans="1:17" ht="30">
      <c r="A42" s="95">
        <v>12</v>
      </c>
      <c r="B42" s="95" t="s">
        <v>230</v>
      </c>
      <c r="C42" s="220" t="s">
        <v>240</v>
      </c>
      <c r="D42" s="95" t="s">
        <v>6</v>
      </c>
      <c r="E42" s="95"/>
      <c r="F42" s="95">
        <v>790</v>
      </c>
      <c r="G42" s="844"/>
      <c r="H42" s="844"/>
      <c r="I42" s="844"/>
      <c r="J42" s="844"/>
      <c r="K42" s="844"/>
      <c r="L42" s="844"/>
      <c r="M42" s="845">
        <f>SUM(M43:M44)</f>
        <v>0</v>
      </c>
    </row>
    <row r="43" spans="1:17" ht="15">
      <c r="A43" s="84"/>
      <c r="B43" s="224"/>
      <c r="C43" s="79" t="s">
        <v>58</v>
      </c>
      <c r="D43" s="84" t="s">
        <v>5</v>
      </c>
      <c r="E43" s="84">
        <f>13.7*0.001</f>
        <v>1.37E-2</v>
      </c>
      <c r="F43" s="84">
        <f>F42*E43</f>
        <v>10.823</v>
      </c>
      <c r="G43" s="846"/>
      <c r="H43" s="846"/>
      <c r="I43" s="816">
        <v>0</v>
      </c>
      <c r="J43" s="816">
        <f>I43*F43</f>
        <v>0</v>
      </c>
      <c r="K43" s="846"/>
      <c r="L43" s="846"/>
      <c r="M43" s="799">
        <f>L43+J43+H43</f>
        <v>0</v>
      </c>
    </row>
    <row r="44" spans="1:17" ht="15">
      <c r="A44" s="84"/>
      <c r="B44" s="149" t="s">
        <v>367</v>
      </c>
      <c r="C44" s="79" t="s">
        <v>232</v>
      </c>
      <c r="D44" s="84" t="s">
        <v>229</v>
      </c>
      <c r="E44" s="84">
        <f>30.8*0.001</f>
        <v>3.0800000000000001E-2</v>
      </c>
      <c r="F44" s="83">
        <f>E44*F42</f>
        <v>24.332000000000001</v>
      </c>
      <c r="G44" s="799"/>
      <c r="H44" s="799"/>
      <c r="I44" s="799"/>
      <c r="J44" s="799"/>
      <c r="K44" s="799">
        <v>0</v>
      </c>
      <c r="L44" s="799">
        <f>F44*K44</f>
        <v>0</v>
      </c>
      <c r="M44" s="799">
        <f>L44+J44+H44</f>
        <v>0</v>
      </c>
    </row>
    <row r="45" spans="1:17" ht="15">
      <c r="A45" s="608" t="s">
        <v>241</v>
      </c>
      <c r="B45" s="615" t="s">
        <v>57</v>
      </c>
      <c r="C45" s="609" t="s">
        <v>39</v>
      </c>
      <c r="D45" s="221" t="s">
        <v>25</v>
      </c>
      <c r="E45" s="616"/>
      <c r="F45" s="617">
        <f>F42</f>
        <v>790</v>
      </c>
      <c r="G45" s="849"/>
      <c r="H45" s="792"/>
      <c r="I45" s="849"/>
      <c r="J45" s="793"/>
      <c r="K45" s="849"/>
      <c r="L45" s="792"/>
      <c r="M45" s="850">
        <f>SUM(M46:M47)</f>
        <v>0</v>
      </c>
    </row>
    <row r="46" spans="1:17" ht="15">
      <c r="A46" s="611"/>
      <c r="B46" s="618"/>
      <c r="C46" s="613" t="s">
        <v>24</v>
      </c>
      <c r="D46" s="80" t="s">
        <v>40</v>
      </c>
      <c r="E46" s="619">
        <f>13.4/100</f>
        <v>0.13400000000000001</v>
      </c>
      <c r="F46" s="81">
        <f>E46*F45</f>
        <v>105.86</v>
      </c>
      <c r="G46" s="797"/>
      <c r="H46" s="783"/>
      <c r="I46" s="816">
        <v>0</v>
      </c>
      <c r="J46" s="796">
        <f>F46*I46</f>
        <v>0</v>
      </c>
      <c r="K46" s="797"/>
      <c r="L46" s="783"/>
      <c r="M46" s="796">
        <f>L46+J46+H46</f>
        <v>0</v>
      </c>
    </row>
    <row r="47" spans="1:17" ht="27.6">
      <c r="A47" s="611"/>
      <c r="B47" s="103" t="s">
        <v>137</v>
      </c>
      <c r="C47" s="613" t="s">
        <v>99</v>
      </c>
      <c r="D47" s="80" t="s">
        <v>43</v>
      </c>
      <c r="E47" s="619">
        <f>13/100</f>
        <v>0.13</v>
      </c>
      <c r="F47" s="81">
        <f>F45*E47</f>
        <v>102.7</v>
      </c>
      <c r="G47" s="797"/>
      <c r="H47" s="783"/>
      <c r="I47" s="797"/>
      <c r="J47" s="796"/>
      <c r="K47" s="797">
        <v>0</v>
      </c>
      <c r="L47" s="851">
        <f>K47*F47</f>
        <v>0</v>
      </c>
      <c r="M47" s="796">
        <f>L47+J47+H47</f>
        <v>0</v>
      </c>
    </row>
    <row r="48" spans="1:17" ht="15">
      <c r="A48" s="95"/>
      <c r="B48" s="95"/>
      <c r="C48" s="220" t="s">
        <v>242</v>
      </c>
      <c r="D48" s="220"/>
      <c r="E48" s="220"/>
      <c r="F48" s="220"/>
      <c r="G48" s="854"/>
      <c r="H48" s="854"/>
      <c r="I48" s="854"/>
      <c r="J48" s="854"/>
      <c r="K48" s="854"/>
      <c r="L48" s="854"/>
      <c r="M48" s="855"/>
    </row>
    <row r="49" spans="1:17" ht="39" customHeight="1">
      <c r="A49" s="95">
        <v>14</v>
      </c>
      <c r="B49" s="95" t="s">
        <v>243</v>
      </c>
      <c r="C49" s="220" t="s">
        <v>244</v>
      </c>
      <c r="D49" s="95" t="s">
        <v>81</v>
      </c>
      <c r="E49" s="95"/>
      <c r="F49" s="95">
        <v>80.11</v>
      </c>
      <c r="G49" s="844"/>
      <c r="H49" s="844"/>
      <c r="I49" s="844"/>
      <c r="J49" s="844"/>
      <c r="K49" s="844"/>
      <c r="L49" s="844"/>
      <c r="M49" s="845">
        <f>SUM(M50:M59)</f>
        <v>0</v>
      </c>
      <c r="N49" s="721"/>
      <c r="O49" s="722"/>
      <c r="P49" s="722"/>
      <c r="Q49" s="722"/>
    </row>
    <row r="50" spans="1:17" ht="15">
      <c r="A50" s="84"/>
      <c r="B50" s="224"/>
      <c r="C50" s="79" t="s">
        <v>58</v>
      </c>
      <c r="D50" s="84" t="s">
        <v>5</v>
      </c>
      <c r="E50" s="84">
        <f>33/1000</f>
        <v>3.3000000000000002E-2</v>
      </c>
      <c r="F50" s="84">
        <f>F49*E50</f>
        <v>2.6436299999999999</v>
      </c>
      <c r="G50" s="846"/>
      <c r="H50" s="846"/>
      <c r="I50" s="816">
        <v>0</v>
      </c>
      <c r="J50" s="816">
        <f>I50*F50</f>
        <v>0</v>
      </c>
      <c r="K50" s="846"/>
      <c r="L50" s="846"/>
      <c r="M50" s="799">
        <f t="shared" ref="M50:M59" si="1">L50+J50+H50</f>
        <v>0</v>
      </c>
    </row>
    <row r="51" spans="1:17" ht="15">
      <c r="A51" s="84"/>
      <c r="B51" s="224" t="s">
        <v>370</v>
      </c>
      <c r="C51" s="79" t="s">
        <v>245</v>
      </c>
      <c r="D51" s="84" t="s">
        <v>5</v>
      </c>
      <c r="E51" s="84">
        <f>0.42/1000</f>
        <v>4.1999999999999996E-4</v>
      </c>
      <c r="F51" s="84">
        <f>E51*F49</f>
        <v>3.3646199999999994E-2</v>
      </c>
      <c r="G51" s="846"/>
      <c r="H51" s="846"/>
      <c r="I51" s="799"/>
      <c r="J51" s="856"/>
      <c r="K51" s="816">
        <v>0</v>
      </c>
      <c r="L51" s="799">
        <f t="shared" ref="L51:L56" si="2">F51*K51</f>
        <v>0</v>
      </c>
      <c r="M51" s="799">
        <f t="shared" si="1"/>
        <v>0</v>
      </c>
    </row>
    <row r="52" spans="1:17" ht="15">
      <c r="A52" s="84"/>
      <c r="B52" s="224" t="s">
        <v>371</v>
      </c>
      <c r="C52" s="79" t="s">
        <v>246</v>
      </c>
      <c r="D52" s="84"/>
      <c r="E52" s="229">
        <f>2.58/1000</f>
        <v>2.5800000000000003E-3</v>
      </c>
      <c r="F52" s="84">
        <f>F49*E52</f>
        <v>0.20668380000000003</v>
      </c>
      <c r="G52" s="846"/>
      <c r="H52" s="846"/>
      <c r="I52" s="799"/>
      <c r="J52" s="856"/>
      <c r="K52" s="816">
        <v>0</v>
      </c>
      <c r="L52" s="799">
        <f t="shared" si="2"/>
        <v>0</v>
      </c>
      <c r="M52" s="799">
        <f t="shared" si="1"/>
        <v>0</v>
      </c>
    </row>
    <row r="53" spans="1:17" ht="15">
      <c r="A53" s="84"/>
      <c r="B53" s="84" t="s">
        <v>372</v>
      </c>
      <c r="C53" s="230" t="s">
        <v>247</v>
      </c>
      <c r="D53" s="231" t="s">
        <v>229</v>
      </c>
      <c r="E53" s="229">
        <f>11.2/1000</f>
        <v>1.12E-2</v>
      </c>
      <c r="F53" s="83">
        <f>E53*F49</f>
        <v>0.89723200000000003</v>
      </c>
      <c r="G53" s="799"/>
      <c r="H53" s="799"/>
      <c r="I53" s="799"/>
      <c r="J53" s="856"/>
      <c r="K53" s="799">
        <v>0</v>
      </c>
      <c r="L53" s="799">
        <f t="shared" si="2"/>
        <v>0</v>
      </c>
      <c r="M53" s="799">
        <f t="shared" si="1"/>
        <v>0</v>
      </c>
    </row>
    <row r="54" spans="1:17" ht="15">
      <c r="A54" s="84"/>
      <c r="B54" s="84" t="s">
        <v>373</v>
      </c>
      <c r="C54" s="230" t="s">
        <v>248</v>
      </c>
      <c r="D54" s="231" t="s">
        <v>229</v>
      </c>
      <c r="E54" s="229">
        <f>24.8/1000</f>
        <v>2.4799999999999999E-2</v>
      </c>
      <c r="F54" s="83">
        <f>E54*F49</f>
        <v>1.9867279999999998</v>
      </c>
      <c r="G54" s="799"/>
      <c r="H54" s="799"/>
      <c r="I54" s="799"/>
      <c r="J54" s="856"/>
      <c r="K54" s="816">
        <v>0</v>
      </c>
      <c r="L54" s="799">
        <f t="shared" si="2"/>
        <v>0</v>
      </c>
      <c r="M54" s="799">
        <f t="shared" si="1"/>
        <v>0</v>
      </c>
    </row>
    <row r="55" spans="1:17" ht="15">
      <c r="A55" s="84"/>
      <c r="B55" s="84" t="s">
        <v>374</v>
      </c>
      <c r="C55" s="230" t="s">
        <v>249</v>
      </c>
      <c r="D55" s="231" t="s">
        <v>229</v>
      </c>
      <c r="E55" s="229">
        <f>4.14/1000</f>
        <v>4.1399999999999996E-3</v>
      </c>
      <c r="F55" s="83">
        <f>E55*F49</f>
        <v>0.33165539999999999</v>
      </c>
      <c r="G55" s="816"/>
      <c r="H55" s="816"/>
      <c r="I55" s="799"/>
      <c r="J55" s="816"/>
      <c r="K55" s="799">
        <v>0</v>
      </c>
      <c r="L55" s="799">
        <f t="shared" si="2"/>
        <v>0</v>
      </c>
      <c r="M55" s="799">
        <f t="shared" si="1"/>
        <v>0</v>
      </c>
    </row>
    <row r="56" spans="1:17" ht="30">
      <c r="A56" s="84"/>
      <c r="B56" s="86" t="s">
        <v>250</v>
      </c>
      <c r="C56" s="79" t="s">
        <v>251</v>
      </c>
      <c r="D56" s="84" t="s">
        <v>69</v>
      </c>
      <c r="E56" s="232">
        <f>2.24*0.001</f>
        <v>2.2400000000000002E-3</v>
      </c>
      <c r="F56" s="83">
        <f>E56*F49</f>
        <v>0.17944640000000001</v>
      </c>
      <c r="G56" s="816"/>
      <c r="H56" s="816"/>
      <c r="I56" s="799"/>
      <c r="J56" s="799"/>
      <c r="K56" s="799">
        <v>0</v>
      </c>
      <c r="L56" s="799">
        <f t="shared" si="2"/>
        <v>0</v>
      </c>
      <c r="M56" s="799">
        <f t="shared" si="1"/>
        <v>0</v>
      </c>
    </row>
    <row r="57" spans="1:17" ht="17.399999999999999">
      <c r="A57" s="84"/>
      <c r="B57" s="84" t="s">
        <v>368</v>
      </c>
      <c r="C57" s="225" t="s">
        <v>252</v>
      </c>
      <c r="D57" s="84" t="s">
        <v>253</v>
      </c>
      <c r="E57" s="85">
        <f>(189+12.6*5)/1000</f>
        <v>0.252</v>
      </c>
      <c r="F57" s="83">
        <f>E57*F49</f>
        <v>20.187719999999999</v>
      </c>
      <c r="G57" s="816">
        <v>0</v>
      </c>
      <c r="H57" s="799">
        <f>F57*G57</f>
        <v>0</v>
      </c>
      <c r="I57" s="799"/>
      <c r="J57" s="799"/>
      <c r="K57" s="799"/>
      <c r="L57" s="799"/>
      <c r="M57" s="799">
        <f t="shared" si="1"/>
        <v>0</v>
      </c>
    </row>
    <row r="58" spans="1:17" ht="17.399999999999999">
      <c r="A58" s="84"/>
      <c r="B58" s="84" t="s">
        <v>369</v>
      </c>
      <c r="C58" s="225" t="s">
        <v>254</v>
      </c>
      <c r="D58" s="84" t="s">
        <v>220</v>
      </c>
      <c r="E58" s="83">
        <f>15/1000</f>
        <v>1.4999999999999999E-2</v>
      </c>
      <c r="F58" s="83">
        <f>E58*F49</f>
        <v>1.2016499999999999</v>
      </c>
      <c r="G58" s="816">
        <v>0</v>
      </c>
      <c r="H58" s="799">
        <f>F58*G58</f>
        <v>0</v>
      </c>
      <c r="I58" s="799"/>
      <c r="J58" s="799"/>
      <c r="K58" s="799"/>
      <c r="L58" s="799"/>
      <c r="M58" s="799">
        <f t="shared" si="1"/>
        <v>0</v>
      </c>
    </row>
    <row r="59" spans="1:17" ht="17.399999999999999">
      <c r="A59" s="84"/>
      <c r="B59" s="189" t="s">
        <v>133</v>
      </c>
      <c r="C59" s="225" t="s">
        <v>61</v>
      </c>
      <c r="D59" s="84" t="s">
        <v>220</v>
      </c>
      <c r="E59" s="83">
        <f>30/1000</f>
        <v>0.03</v>
      </c>
      <c r="F59" s="83">
        <f>E59*F49</f>
        <v>2.4032999999999998</v>
      </c>
      <c r="G59" s="816">
        <v>0</v>
      </c>
      <c r="H59" s="799">
        <f>F59*G59</f>
        <v>0</v>
      </c>
      <c r="I59" s="799"/>
      <c r="J59" s="799"/>
      <c r="K59" s="799"/>
      <c r="L59" s="799"/>
      <c r="M59" s="799">
        <f t="shared" si="1"/>
        <v>0</v>
      </c>
      <c r="N59" s="714"/>
      <c r="O59" s="715"/>
      <c r="P59" s="715"/>
      <c r="Q59" s="715"/>
    </row>
    <row r="60" spans="1:17" ht="15">
      <c r="A60" s="95">
        <v>15</v>
      </c>
      <c r="B60" s="95" t="s">
        <v>256</v>
      </c>
      <c r="C60" s="220" t="s">
        <v>257</v>
      </c>
      <c r="D60" s="95" t="s">
        <v>81</v>
      </c>
      <c r="E60" s="95"/>
      <c r="F60" s="95">
        <v>801.09</v>
      </c>
      <c r="G60" s="844"/>
      <c r="H60" s="844"/>
      <c r="I60" s="844"/>
      <c r="J60" s="844"/>
      <c r="K60" s="844"/>
      <c r="L60" s="844"/>
      <c r="M60" s="845">
        <f>M61</f>
        <v>0</v>
      </c>
    </row>
    <row r="61" spans="1:17" ht="16.2">
      <c r="A61" s="84"/>
      <c r="B61" s="176" t="s">
        <v>366</v>
      </c>
      <c r="C61" s="225" t="s">
        <v>228</v>
      </c>
      <c r="D61" s="84" t="s">
        <v>229</v>
      </c>
      <c r="E61" s="84">
        <f>0.28*0.001</f>
        <v>2.8000000000000003E-4</v>
      </c>
      <c r="F61" s="83">
        <f>E61*F60</f>
        <v>0.22430520000000004</v>
      </c>
      <c r="G61" s="799"/>
      <c r="H61" s="848"/>
      <c r="I61" s="799"/>
      <c r="J61" s="799"/>
      <c r="K61" s="799">
        <v>0</v>
      </c>
      <c r="L61" s="799">
        <f>F61*K61</f>
        <v>0</v>
      </c>
      <c r="M61" s="799">
        <f t="shared" ref="M61" si="3">L61+J61+H61</f>
        <v>0</v>
      </c>
      <c r="N61" s="233"/>
      <c r="O61" s="233"/>
      <c r="P61" s="233"/>
      <c r="Q61" s="233"/>
    </row>
    <row r="62" spans="1:17" ht="16.2">
      <c r="A62" s="234"/>
      <c r="B62" s="235"/>
      <c r="C62" s="236" t="s">
        <v>2</v>
      </c>
      <c r="D62" s="828"/>
      <c r="E62" s="829"/>
      <c r="F62" s="830"/>
      <c r="G62" s="830"/>
      <c r="H62" s="831">
        <f>SUM(H10:H61)</f>
        <v>0</v>
      </c>
      <c r="I62" s="831"/>
      <c r="J62" s="831">
        <f>SUM(J10:J61)</f>
        <v>0</v>
      </c>
      <c r="K62" s="831"/>
      <c r="L62" s="831">
        <f>SUM(L10:L61)</f>
        <v>0</v>
      </c>
      <c r="M62" s="831">
        <f>SUM(M10:M61)/2</f>
        <v>0</v>
      </c>
      <c r="N62" s="237"/>
      <c r="O62" s="237"/>
      <c r="P62" s="233"/>
      <c r="Q62" s="233"/>
    </row>
    <row r="63" spans="1:17" ht="16.2">
      <c r="A63" s="238"/>
      <c r="B63" s="239"/>
      <c r="C63" s="240" t="s">
        <v>27</v>
      </c>
      <c r="D63" s="832">
        <v>0</v>
      </c>
      <c r="E63" s="833"/>
      <c r="F63" s="834"/>
      <c r="G63" s="834"/>
      <c r="H63" s="835"/>
      <c r="I63" s="834"/>
      <c r="J63" s="835"/>
      <c r="K63" s="834"/>
      <c r="L63" s="835"/>
      <c r="M63" s="835">
        <f>H62*D63</f>
        <v>0</v>
      </c>
      <c r="N63" s="237"/>
      <c r="O63" s="233"/>
      <c r="P63" s="233"/>
      <c r="Q63" s="233"/>
    </row>
    <row r="64" spans="1:17" ht="16.2">
      <c r="A64" s="238"/>
      <c r="B64" s="600"/>
      <c r="C64" s="241" t="s">
        <v>2</v>
      </c>
      <c r="D64" s="836"/>
      <c r="E64" s="837"/>
      <c r="F64" s="838"/>
      <c r="G64" s="838"/>
      <c r="H64" s="839"/>
      <c r="I64" s="840"/>
      <c r="J64" s="839"/>
      <c r="K64" s="840"/>
      <c r="L64" s="839"/>
      <c r="M64" s="839">
        <f>M62+M63</f>
        <v>0</v>
      </c>
      <c r="N64" s="233"/>
      <c r="O64" s="233"/>
      <c r="P64" s="233"/>
      <c r="Q64" s="233"/>
    </row>
    <row r="65" spans="1:17" ht="16.2">
      <c r="A65" s="238"/>
      <c r="B65" s="600"/>
      <c r="C65" s="242" t="s">
        <v>28</v>
      </c>
      <c r="D65" s="841">
        <v>0</v>
      </c>
      <c r="E65" s="833"/>
      <c r="F65" s="834"/>
      <c r="G65" s="834"/>
      <c r="H65" s="842"/>
      <c r="I65" s="842"/>
      <c r="J65" s="842"/>
      <c r="K65" s="842"/>
      <c r="L65" s="842"/>
      <c r="M65" s="835">
        <f>M64*D65</f>
        <v>0</v>
      </c>
      <c r="N65" s="233"/>
      <c r="O65" s="233"/>
      <c r="P65" s="233"/>
      <c r="Q65" s="233"/>
    </row>
    <row r="66" spans="1:17" ht="16.2">
      <c r="A66" s="238"/>
      <c r="B66" s="600"/>
      <c r="C66" s="241" t="s">
        <v>2</v>
      </c>
      <c r="D66" s="836"/>
      <c r="E66" s="837"/>
      <c r="F66" s="838"/>
      <c r="G66" s="838"/>
      <c r="H66" s="840"/>
      <c r="I66" s="840"/>
      <c r="J66" s="840"/>
      <c r="K66" s="840"/>
      <c r="L66" s="840"/>
      <c r="M66" s="839">
        <f>M64+M65</f>
        <v>0</v>
      </c>
      <c r="N66" s="233"/>
      <c r="O66" s="233"/>
      <c r="P66" s="233"/>
      <c r="Q66" s="233"/>
    </row>
    <row r="67" spans="1:17" ht="16.2">
      <c r="A67" s="238"/>
      <c r="B67" s="600"/>
      <c r="C67" s="242" t="s">
        <v>29</v>
      </c>
      <c r="D67" s="832">
        <v>0</v>
      </c>
      <c r="E67" s="833"/>
      <c r="F67" s="834"/>
      <c r="G67" s="834"/>
      <c r="H67" s="842"/>
      <c r="I67" s="842"/>
      <c r="J67" s="842"/>
      <c r="K67" s="842"/>
      <c r="L67" s="842"/>
      <c r="M67" s="835">
        <f>M66*D67</f>
        <v>0</v>
      </c>
      <c r="N67" s="233"/>
      <c r="O67" s="233"/>
      <c r="P67" s="233"/>
      <c r="Q67" s="233"/>
    </row>
    <row r="68" spans="1:17" ht="16.2">
      <c r="A68" s="238"/>
      <c r="B68" s="600"/>
      <c r="C68" s="241" t="s">
        <v>30</v>
      </c>
      <c r="D68" s="838"/>
      <c r="E68" s="837"/>
      <c r="F68" s="838"/>
      <c r="G68" s="838"/>
      <c r="H68" s="840"/>
      <c r="I68" s="840"/>
      <c r="J68" s="840"/>
      <c r="K68" s="840"/>
      <c r="L68" s="840"/>
      <c r="M68" s="839">
        <f>M66+M67</f>
        <v>0</v>
      </c>
      <c r="N68" s="233"/>
      <c r="O68" s="233"/>
      <c r="P68" s="233"/>
      <c r="Q68" s="233"/>
    </row>
    <row r="69" spans="1:17">
      <c r="D69" s="843"/>
      <c r="E69" s="843"/>
      <c r="F69" s="843"/>
      <c r="G69" s="843"/>
      <c r="H69" s="843"/>
      <c r="I69" s="843"/>
      <c r="J69" s="843"/>
      <c r="K69" s="843"/>
      <c r="L69" s="843"/>
      <c r="M69" s="843"/>
    </row>
    <row r="70" spans="1:17">
      <c r="D70" s="843"/>
      <c r="E70" s="843"/>
      <c r="F70" s="843"/>
      <c r="G70" s="843"/>
      <c r="H70" s="843"/>
      <c r="I70" s="843"/>
      <c r="J70" s="843"/>
      <c r="K70" s="843"/>
      <c r="L70" s="843"/>
      <c r="M70" s="843"/>
    </row>
    <row r="71" spans="1:17">
      <c r="D71" s="843"/>
      <c r="E71" s="843"/>
      <c r="F71" s="843"/>
      <c r="G71" s="843"/>
      <c r="H71" s="843"/>
      <c r="I71" s="843"/>
      <c r="J71" s="843"/>
      <c r="K71" s="843"/>
      <c r="L71" s="843"/>
      <c r="M71" s="843"/>
    </row>
    <row r="72" spans="1:17">
      <c r="D72" s="843"/>
      <c r="E72" s="843"/>
      <c r="F72" s="843"/>
      <c r="G72" s="843"/>
      <c r="H72" s="843"/>
      <c r="I72" s="843"/>
      <c r="J72" s="843"/>
      <c r="K72" s="843"/>
      <c r="L72" s="843"/>
      <c r="M72" s="843"/>
    </row>
    <row r="73" spans="1:17">
      <c r="D73" s="843"/>
      <c r="E73" s="843"/>
      <c r="F73" s="843"/>
      <c r="G73" s="843"/>
      <c r="H73" s="843"/>
      <c r="I73" s="843"/>
      <c r="J73" s="843"/>
      <c r="K73" s="843"/>
      <c r="L73" s="843"/>
      <c r="M73" s="843"/>
    </row>
  </sheetData>
  <sheetProtection algorithmName="SHA-512" hashValue="ouZK3Fq3t29QBSD507iIJ1lsxaR+Me7vvt7U0PqIh1r8svXrVSzxpNiUfEIWkqT3jwLijsZ6hverR/5PdzNZZA==" saltValue="KGW+OQx7iogVQpADB2Iosg==" spinCount="100000" sheet="1" objects="1" scenarios="1"/>
  <autoFilter ref="A9:M68"/>
  <mergeCells count="18">
    <mergeCell ref="N59:Q59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N41:Q41"/>
    <mergeCell ref="N49:Q49"/>
    <mergeCell ref="C6:K6"/>
    <mergeCell ref="A1:M1"/>
    <mergeCell ref="A2:F2"/>
    <mergeCell ref="A3:M3"/>
    <mergeCell ref="A4:M4"/>
    <mergeCell ref="B5:G5"/>
  </mergeCells>
  <conditionalFormatting sqref="A57 A51:M56 A50:H50 J50:M50">
    <cfRule type="cellIs" dxfId="276" priority="59" stopIfTrue="1" operator="equal">
      <formula>8223.307275</formula>
    </cfRule>
  </conditionalFormatting>
  <conditionalFormatting sqref="A10:M11">
    <cfRule type="cellIs" dxfId="275" priority="57" stopIfTrue="1" operator="equal">
      <formula>8223.307275</formula>
    </cfRule>
  </conditionalFormatting>
  <conditionalFormatting sqref="A12:M12 A22 A61 A13 L13:M13 A28 L28:M28 A30:A31 L31:M31 C13:J13 C22:J22 L22:M22 C28:J28 C31:J31 A38:M38 A37 C37:J37 A44 C44:J44 L37:M37 L44:M44 A39 A59:M59 A58 C61:J61 L61:M61 C30:M30 A15:M15 A17:M18 A20:M20 A27:M27 A36:M36 A43:M43 C39:M39 C57:M58">
    <cfRule type="cellIs" dxfId="274" priority="58" stopIfTrue="1" operator="equal">
      <formula>8223.307275</formula>
    </cfRule>
  </conditionalFormatting>
  <conditionalFormatting sqref="A40:B41 D40:M41">
    <cfRule type="cellIs" dxfId="273" priority="49" stopIfTrue="1" operator="equal">
      <formula>8223.307275</formula>
    </cfRule>
  </conditionalFormatting>
  <conditionalFormatting sqref="A14:M14">
    <cfRule type="cellIs" dxfId="272" priority="56" stopIfTrue="1" operator="equal">
      <formula>8223.307275</formula>
    </cfRule>
  </conditionalFormatting>
  <conditionalFormatting sqref="A19:M19">
    <cfRule type="cellIs" dxfId="271" priority="54" stopIfTrue="1" operator="equal">
      <formula>8223.307275</formula>
    </cfRule>
  </conditionalFormatting>
  <conditionalFormatting sqref="A21:M21">
    <cfRule type="cellIs" dxfId="270" priority="53" stopIfTrue="1" operator="equal">
      <formula>8223.307275</formula>
    </cfRule>
  </conditionalFormatting>
  <conditionalFormatting sqref="A16:M16">
    <cfRule type="cellIs" dxfId="269" priority="55" stopIfTrue="1" operator="equal">
      <formula>8223.307275</formula>
    </cfRule>
  </conditionalFormatting>
  <conditionalFormatting sqref="A26:M26">
    <cfRule type="cellIs" dxfId="268" priority="52" stopIfTrue="1" operator="equal">
      <formula>8223.307275</formula>
    </cfRule>
  </conditionalFormatting>
  <conditionalFormatting sqref="A35:M35">
    <cfRule type="cellIs" dxfId="267" priority="50" stopIfTrue="1" operator="equal">
      <formula>8223.307275</formula>
    </cfRule>
  </conditionalFormatting>
  <conditionalFormatting sqref="A29:M29">
    <cfRule type="cellIs" dxfId="266" priority="51" stopIfTrue="1" operator="equal">
      <formula>8223.307275</formula>
    </cfRule>
  </conditionalFormatting>
  <conditionalFormatting sqref="A42:M42">
    <cfRule type="cellIs" dxfId="265" priority="48" stopIfTrue="1" operator="equal">
      <formula>8223.307275</formula>
    </cfRule>
  </conditionalFormatting>
  <conditionalFormatting sqref="A48:M49">
    <cfRule type="cellIs" dxfId="264" priority="47" stopIfTrue="1" operator="equal">
      <formula>8223.307275</formula>
    </cfRule>
  </conditionalFormatting>
  <conditionalFormatting sqref="A60:M60">
    <cfRule type="cellIs" dxfId="263" priority="46" stopIfTrue="1" operator="equal">
      <formula>8223.307275</formula>
    </cfRule>
  </conditionalFormatting>
  <conditionalFormatting sqref="K28">
    <cfRule type="cellIs" dxfId="262" priority="45" stopIfTrue="1" operator="equal">
      <formula>8223.307275</formula>
    </cfRule>
  </conditionalFormatting>
  <conditionalFormatting sqref="B13">
    <cfRule type="cellIs" dxfId="261" priority="44" stopIfTrue="1" operator="equal">
      <formula>8223.307275</formula>
    </cfRule>
  </conditionalFormatting>
  <conditionalFormatting sqref="K13">
    <cfRule type="cellIs" dxfId="260" priority="43" stopIfTrue="1" operator="equal">
      <formula>8223.307275</formula>
    </cfRule>
  </conditionalFormatting>
  <conditionalFormatting sqref="B22">
    <cfRule type="cellIs" dxfId="259" priority="42" stopIfTrue="1" operator="equal">
      <formula>8223.307275</formula>
    </cfRule>
  </conditionalFormatting>
  <conditionalFormatting sqref="K22">
    <cfRule type="cellIs" dxfId="258" priority="41" stopIfTrue="1" operator="equal">
      <formula>8223.307275</formula>
    </cfRule>
  </conditionalFormatting>
  <conditionalFormatting sqref="B23">
    <cfRule type="cellIs" dxfId="257" priority="27" stopIfTrue="1" operator="equal">
      <formula>8223.307275</formula>
    </cfRule>
  </conditionalFormatting>
  <conditionalFormatting sqref="C24:C25">
    <cfRule type="cellIs" dxfId="256" priority="29" stopIfTrue="1" operator="equal">
      <formula>8223.307275</formula>
    </cfRule>
  </conditionalFormatting>
  <conditionalFormatting sqref="D23:M23 D25:L25 D24:H24 J24:L24">
    <cfRule type="cellIs" dxfId="255" priority="28" stopIfTrue="1" operator="equal">
      <formula>8223.307275</formula>
    </cfRule>
  </conditionalFormatting>
  <conditionalFormatting sqref="B32">
    <cfRule type="cellIs" dxfId="254" priority="24" stopIfTrue="1" operator="equal">
      <formula>8223.307275</formula>
    </cfRule>
  </conditionalFormatting>
  <conditionalFormatting sqref="C33:C34">
    <cfRule type="cellIs" dxfId="253" priority="26" stopIfTrue="1" operator="equal">
      <formula>8223.307275</formula>
    </cfRule>
  </conditionalFormatting>
  <conditionalFormatting sqref="D32:M32 D34:J34 D33:H33 J33:L33 L34">
    <cfRule type="cellIs" dxfId="252" priority="25" stopIfTrue="1" operator="equal">
      <formula>8223.307275</formula>
    </cfRule>
  </conditionalFormatting>
  <conditionalFormatting sqref="C40">
    <cfRule type="cellIs" dxfId="251" priority="23" stopIfTrue="1" operator="equal">
      <formula>8223.307275</formula>
    </cfRule>
  </conditionalFormatting>
  <conditionalFormatting sqref="C41">
    <cfRule type="cellIs" dxfId="250" priority="22" stopIfTrue="1" operator="equal">
      <formula>8223.307275</formula>
    </cfRule>
  </conditionalFormatting>
  <conditionalFormatting sqref="C46:C47">
    <cfRule type="cellIs" dxfId="249" priority="21" stopIfTrue="1" operator="equal">
      <formula>8223.307275</formula>
    </cfRule>
  </conditionalFormatting>
  <conditionalFormatting sqref="D45:M45 D47:J47 D46:H46 J46:L46 L47">
    <cfRule type="cellIs" dxfId="248" priority="20" stopIfTrue="1" operator="equal">
      <formula>8223.307275</formula>
    </cfRule>
  </conditionalFormatting>
  <conditionalFormatting sqref="B45">
    <cfRule type="cellIs" dxfId="247" priority="19" stopIfTrue="1" operator="equal">
      <formula>8223.307275</formula>
    </cfRule>
  </conditionalFormatting>
  <conditionalFormatting sqref="B30">
    <cfRule type="cellIs" dxfId="246" priority="18" stopIfTrue="1" operator="equal">
      <formula>8223.307275</formula>
    </cfRule>
  </conditionalFormatting>
  <conditionalFormatting sqref="I24">
    <cfRule type="cellIs" dxfId="245" priority="17" stopIfTrue="1" operator="equal">
      <formula>8223.307275</formula>
    </cfRule>
  </conditionalFormatting>
  <conditionalFormatting sqref="I33">
    <cfRule type="cellIs" dxfId="244" priority="16" stopIfTrue="1" operator="equal">
      <formula>8223.307275</formula>
    </cfRule>
  </conditionalFormatting>
  <conditionalFormatting sqref="I46">
    <cfRule type="cellIs" dxfId="243" priority="15" stopIfTrue="1" operator="equal">
      <formula>8223.307275</formula>
    </cfRule>
  </conditionalFormatting>
  <conditionalFormatting sqref="I50">
    <cfRule type="cellIs" dxfId="242" priority="14" stopIfTrue="1" operator="equal">
      <formula>8223.307275</formula>
    </cfRule>
  </conditionalFormatting>
  <conditionalFormatting sqref="B28">
    <cfRule type="cellIs" dxfId="241" priority="13" stopIfTrue="1" operator="equal">
      <formula>8223.307275</formula>
    </cfRule>
  </conditionalFormatting>
  <conditionalFormatting sqref="B31">
    <cfRule type="cellIs" dxfId="240" priority="12" stopIfTrue="1" operator="equal">
      <formula>8223.307275</formula>
    </cfRule>
  </conditionalFormatting>
  <conditionalFormatting sqref="K31">
    <cfRule type="cellIs" dxfId="239" priority="11" stopIfTrue="1" operator="equal">
      <formula>8223.307275</formula>
    </cfRule>
  </conditionalFormatting>
  <conditionalFormatting sqref="K34">
    <cfRule type="cellIs" dxfId="238" priority="10" stopIfTrue="1" operator="equal">
      <formula>8223.307275</formula>
    </cfRule>
  </conditionalFormatting>
  <conditionalFormatting sqref="B39">
    <cfRule type="cellIs" dxfId="237" priority="9" stopIfTrue="1" operator="equal">
      <formula>8223.307275</formula>
    </cfRule>
  </conditionalFormatting>
  <conditionalFormatting sqref="B37">
    <cfRule type="cellIs" dxfId="236" priority="8" stopIfTrue="1" operator="equal">
      <formula>8223.307275</formula>
    </cfRule>
  </conditionalFormatting>
  <conditionalFormatting sqref="K37">
    <cfRule type="cellIs" dxfId="235" priority="7" stopIfTrue="1" operator="equal">
      <formula>8223.307275</formula>
    </cfRule>
  </conditionalFormatting>
  <conditionalFormatting sqref="B44">
    <cfRule type="cellIs" dxfId="234" priority="6" stopIfTrue="1" operator="equal">
      <formula>8223.307275</formula>
    </cfRule>
  </conditionalFormatting>
  <conditionalFormatting sqref="K44">
    <cfRule type="cellIs" dxfId="233" priority="5" stopIfTrue="1" operator="equal">
      <formula>8223.307275</formula>
    </cfRule>
  </conditionalFormatting>
  <conditionalFormatting sqref="K47">
    <cfRule type="cellIs" dxfId="232" priority="4" stopIfTrue="1" operator="equal">
      <formula>8223.307275</formula>
    </cfRule>
  </conditionalFormatting>
  <conditionalFormatting sqref="B61">
    <cfRule type="cellIs" dxfId="231" priority="3" stopIfTrue="1" operator="equal">
      <formula>8223.307275</formula>
    </cfRule>
  </conditionalFormatting>
  <conditionalFormatting sqref="K61">
    <cfRule type="cellIs" dxfId="230" priority="2" stopIfTrue="1" operator="equal">
      <formula>8223.307275</formula>
    </cfRule>
  </conditionalFormatting>
  <conditionalFormatting sqref="B57:B58">
    <cfRule type="cellIs" dxfId="229" priority="1" stopIfTrue="1" operator="equal">
      <formula>8223.307275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72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8"/>
  <sheetViews>
    <sheetView view="pageBreakPreview" topLeftCell="A175" zoomScaleNormal="100" zoomScaleSheetLayoutView="100" workbookViewId="0">
      <selection activeCell="M188" sqref="G10:M188"/>
    </sheetView>
  </sheetViews>
  <sheetFormatPr defaultColWidth="9.109375" defaultRowHeight="14.4"/>
  <cols>
    <col min="1" max="1" width="6.6640625" style="257" customWidth="1"/>
    <col min="2" max="2" width="10.6640625" style="257" customWidth="1"/>
    <col min="3" max="3" width="54.109375" style="244" customWidth="1"/>
    <col min="4" max="13" width="10.6640625" style="244" customWidth="1"/>
    <col min="14" max="14" width="9.5546875" style="244" bestFit="1" customWidth="1"/>
    <col min="15" max="16" width="9.109375" style="244"/>
    <col min="17" max="17" width="13.88671875" style="244" customWidth="1"/>
    <col min="18" max="16384" width="9.109375" style="244"/>
  </cols>
  <sheetData>
    <row r="1" spans="1:17" ht="16.2">
      <c r="A1" s="709" t="str">
        <f>gan.barat!A11</f>
        <v>საგარეჯოს მუნიციპალიტეტის სოფელ იორმუღალოს მაგისტრალური მილსადენის რეაბილიტაცია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</row>
    <row r="2" spans="1:17" ht="16.2">
      <c r="A2" s="710" t="s">
        <v>1</v>
      </c>
      <c r="B2" s="710"/>
      <c r="C2" s="710"/>
      <c r="D2" s="710"/>
      <c r="E2" s="710"/>
      <c r="F2" s="710"/>
      <c r="G2" s="211" t="str">
        <f>'B-5'!B11</f>
        <v>B-5.2</v>
      </c>
      <c r="H2" s="211"/>
      <c r="I2" s="211"/>
      <c r="J2" s="211"/>
      <c r="K2" s="211"/>
      <c r="L2" s="211"/>
      <c r="M2" s="211"/>
    </row>
    <row r="3" spans="1:17">
      <c r="A3" s="711" t="str">
        <f>'B-5'!C11</f>
        <v>რეზერვუარის სამშენებლო სამუშაოები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</row>
    <row r="4" spans="1:17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</row>
    <row r="5" spans="1:17">
      <c r="A5" s="212"/>
      <c r="B5" s="713" t="str">
        <f>[1]gan.barat!B34</f>
        <v>ერთეული ფასები შედგენილია 2019 წლის IV კვარტლის სამშენებლო რესურსების ფასების მიხედვით და დღევანდელი საბაზრო ფასებით იმ მასალებზე რომლებიც არ არის სამშენებლო რეხურსების ფასების კრებულში და ხელფასებზე.</v>
      </c>
      <c r="C5" s="713"/>
      <c r="D5" s="713"/>
      <c r="E5" s="713"/>
      <c r="F5" s="713"/>
      <c r="G5" s="713"/>
      <c r="H5" s="601"/>
      <c r="I5" s="601"/>
      <c r="J5" s="601"/>
      <c r="K5" s="601"/>
      <c r="L5" s="601"/>
      <c r="M5" s="601"/>
    </row>
    <row r="6" spans="1:17">
      <c r="A6" s="213"/>
      <c r="B6" s="214"/>
      <c r="C6" s="708"/>
      <c r="D6" s="708"/>
      <c r="E6" s="708"/>
      <c r="F6" s="708"/>
      <c r="G6" s="708"/>
      <c r="H6" s="708"/>
      <c r="I6" s="708"/>
      <c r="J6" s="708"/>
      <c r="K6" s="708"/>
      <c r="L6" s="215"/>
      <c r="M6" s="215"/>
    </row>
    <row r="7" spans="1:17">
      <c r="A7" s="716" t="s">
        <v>9</v>
      </c>
      <c r="B7" s="717" t="s">
        <v>10</v>
      </c>
      <c r="C7" s="718" t="s">
        <v>11</v>
      </c>
      <c r="D7" s="718" t="s">
        <v>12</v>
      </c>
      <c r="E7" s="718" t="s">
        <v>13</v>
      </c>
      <c r="F7" s="718" t="s">
        <v>14</v>
      </c>
      <c r="G7" s="719" t="s">
        <v>15</v>
      </c>
      <c r="H7" s="719"/>
      <c r="I7" s="719" t="s">
        <v>16</v>
      </c>
      <c r="J7" s="719"/>
      <c r="K7" s="718" t="s">
        <v>17</v>
      </c>
      <c r="L7" s="720"/>
      <c r="M7" s="216" t="s">
        <v>0</v>
      </c>
      <c r="N7" s="245"/>
      <c r="O7" s="245"/>
      <c r="P7" s="245"/>
      <c r="Q7" s="245"/>
    </row>
    <row r="8" spans="1:17">
      <c r="A8" s="716"/>
      <c r="B8" s="717"/>
      <c r="C8" s="718"/>
      <c r="D8" s="718"/>
      <c r="E8" s="718"/>
      <c r="F8" s="718"/>
      <c r="G8" s="597" t="s">
        <v>18</v>
      </c>
      <c r="H8" s="217" t="s">
        <v>2</v>
      </c>
      <c r="I8" s="597" t="s">
        <v>18</v>
      </c>
      <c r="J8" s="217" t="s">
        <v>2</v>
      </c>
      <c r="K8" s="597" t="s">
        <v>18</v>
      </c>
      <c r="L8" s="218" t="s">
        <v>2</v>
      </c>
      <c r="M8" s="219" t="s">
        <v>19</v>
      </c>
      <c r="N8" s="245"/>
      <c r="O8" s="245"/>
      <c r="P8" s="245"/>
      <c r="Q8" s="245"/>
    </row>
    <row r="9" spans="1:17">
      <c r="A9" s="599">
        <v>1</v>
      </c>
      <c r="B9" s="599">
        <v>2</v>
      </c>
      <c r="C9" s="598">
        <v>3</v>
      </c>
      <c r="D9" s="598">
        <v>4</v>
      </c>
      <c r="E9" s="598">
        <v>5</v>
      </c>
      <c r="F9" s="598">
        <v>6</v>
      </c>
      <c r="G9" s="598">
        <v>7</v>
      </c>
      <c r="H9" s="598">
        <v>8</v>
      </c>
      <c r="I9" s="598">
        <v>9</v>
      </c>
      <c r="J9" s="598">
        <v>10</v>
      </c>
      <c r="K9" s="598">
        <v>11</v>
      </c>
      <c r="L9" s="598">
        <v>12</v>
      </c>
      <c r="M9" s="598">
        <v>13</v>
      </c>
      <c r="N9" s="245"/>
      <c r="O9" s="245"/>
      <c r="P9" s="245"/>
      <c r="Q9" s="245"/>
    </row>
    <row r="10" spans="1:17" s="247" customFormat="1" ht="16.2">
      <c r="A10" s="220"/>
      <c r="B10" s="220"/>
      <c r="C10" s="220" t="s">
        <v>258</v>
      </c>
      <c r="D10" s="220"/>
      <c r="E10" s="220"/>
      <c r="F10" s="220"/>
      <c r="G10" s="854"/>
      <c r="H10" s="854"/>
      <c r="I10" s="854"/>
      <c r="J10" s="854"/>
      <c r="K10" s="854"/>
      <c r="L10" s="854"/>
      <c r="M10" s="854"/>
      <c r="N10" s="246"/>
      <c r="O10" s="246"/>
      <c r="P10" s="246"/>
      <c r="Q10" s="246"/>
    </row>
    <row r="11" spans="1:17" s="247" customFormat="1" ht="16.2">
      <c r="A11" s="95">
        <v>1</v>
      </c>
      <c r="B11" s="95" t="s">
        <v>259</v>
      </c>
      <c r="C11" s="220" t="s">
        <v>260</v>
      </c>
      <c r="D11" s="95" t="s">
        <v>6</v>
      </c>
      <c r="E11" s="95"/>
      <c r="F11" s="95">
        <v>17</v>
      </c>
      <c r="G11" s="845"/>
      <c r="H11" s="845"/>
      <c r="I11" s="845"/>
      <c r="J11" s="845"/>
      <c r="K11" s="845"/>
      <c r="L11" s="845"/>
      <c r="M11" s="845">
        <f>SUM(M12:M14)</f>
        <v>0</v>
      </c>
      <c r="N11" s="246"/>
      <c r="O11" s="246"/>
      <c r="P11" s="246"/>
      <c r="Q11" s="246"/>
    </row>
    <row r="12" spans="1:17" s="247" customFormat="1" ht="16.2">
      <c r="A12" s="248"/>
      <c r="B12" s="248"/>
      <c r="C12" s="249" t="s">
        <v>58</v>
      </c>
      <c r="D12" s="248" t="s">
        <v>5</v>
      </c>
      <c r="E12" s="248">
        <v>2.9</v>
      </c>
      <c r="F12" s="248">
        <f>F11*E12</f>
        <v>49.3</v>
      </c>
      <c r="G12" s="809"/>
      <c r="H12" s="809"/>
      <c r="I12" s="809">
        <v>0</v>
      </c>
      <c r="J12" s="809">
        <f>I12*F12</f>
        <v>0</v>
      </c>
      <c r="K12" s="809"/>
      <c r="L12" s="809"/>
      <c r="M12" s="809">
        <f>L12+J12+H12</f>
        <v>0</v>
      </c>
      <c r="N12" s="246"/>
      <c r="O12" s="246"/>
      <c r="P12" s="246"/>
      <c r="Q12" s="246"/>
    </row>
    <row r="13" spans="1:17" s="247" customFormat="1" ht="16.2">
      <c r="A13" s="248"/>
      <c r="B13" s="250" t="s">
        <v>735</v>
      </c>
      <c r="C13" s="249" t="s">
        <v>261</v>
      </c>
      <c r="D13" s="248" t="s">
        <v>6</v>
      </c>
      <c r="E13" s="248">
        <v>1.02</v>
      </c>
      <c r="F13" s="248">
        <f>E13*F11</f>
        <v>17.34</v>
      </c>
      <c r="G13" s="809">
        <v>0</v>
      </c>
      <c r="H13" s="809">
        <f>G13*F13</f>
        <v>0</v>
      </c>
      <c r="I13" s="809"/>
      <c r="J13" s="809"/>
      <c r="K13" s="809"/>
      <c r="L13" s="809"/>
      <c r="M13" s="809">
        <f>H13+J13+L13</f>
        <v>0</v>
      </c>
      <c r="N13" s="246"/>
      <c r="O13" s="246"/>
      <c r="P13" s="246"/>
      <c r="Q13" s="246"/>
    </row>
    <row r="14" spans="1:17" s="247" customFormat="1" ht="16.2">
      <c r="A14" s="248"/>
      <c r="B14" s="250"/>
      <c r="C14" s="249" t="s">
        <v>94</v>
      </c>
      <c r="D14" s="248" t="s">
        <v>262</v>
      </c>
      <c r="E14" s="248">
        <v>0.88</v>
      </c>
      <c r="F14" s="248">
        <f>E14*F11</f>
        <v>14.96</v>
      </c>
      <c r="G14" s="809">
        <v>0</v>
      </c>
      <c r="H14" s="809">
        <f>F14*G14</f>
        <v>0</v>
      </c>
      <c r="I14" s="809"/>
      <c r="J14" s="809"/>
      <c r="K14" s="809"/>
      <c r="L14" s="809"/>
      <c r="M14" s="809">
        <f>H14+J14+L14</f>
        <v>0</v>
      </c>
      <c r="N14" s="246"/>
      <c r="O14" s="246"/>
      <c r="P14" s="246"/>
      <c r="Q14" s="246"/>
    </row>
    <row r="15" spans="1:17" s="247" customFormat="1" ht="28.8">
      <c r="A15" s="95">
        <v>2</v>
      </c>
      <c r="B15" s="622" t="s">
        <v>263</v>
      </c>
      <c r="C15" s="220" t="s">
        <v>264</v>
      </c>
      <c r="D15" s="95" t="s">
        <v>6</v>
      </c>
      <c r="E15" s="95"/>
      <c r="F15" s="95">
        <v>53.6</v>
      </c>
      <c r="G15" s="845"/>
      <c r="H15" s="845"/>
      <c r="I15" s="845"/>
      <c r="J15" s="845"/>
      <c r="K15" s="845"/>
      <c r="L15" s="845"/>
      <c r="M15" s="845">
        <f>SUM(M16:M24)</f>
        <v>0</v>
      </c>
      <c r="N15" s="251"/>
      <c r="O15" s="252"/>
      <c r="P15" s="252"/>
      <c r="Q15" s="252"/>
    </row>
    <row r="16" spans="1:17" s="247" customFormat="1" ht="16.2">
      <c r="A16" s="248"/>
      <c r="B16" s="250"/>
      <c r="C16" s="249" t="s">
        <v>58</v>
      </c>
      <c r="D16" s="248" t="s">
        <v>5</v>
      </c>
      <c r="E16" s="248">
        <v>12.7</v>
      </c>
      <c r="F16" s="248">
        <f>F15*E16</f>
        <v>680.72</v>
      </c>
      <c r="G16" s="809"/>
      <c r="H16" s="809"/>
      <c r="I16" s="809">
        <v>0</v>
      </c>
      <c r="J16" s="809">
        <f>I16*F16</f>
        <v>0</v>
      </c>
      <c r="K16" s="809"/>
      <c r="L16" s="809"/>
      <c r="M16" s="809">
        <f>L16+J16+H16</f>
        <v>0</v>
      </c>
      <c r="N16" s="253"/>
      <c r="O16" s="253"/>
      <c r="P16" s="253"/>
      <c r="Q16" s="253"/>
    </row>
    <row r="17" spans="1:17" s="247" customFormat="1" ht="16.2">
      <c r="A17" s="248"/>
      <c r="B17" s="250"/>
      <c r="C17" s="249" t="s">
        <v>64</v>
      </c>
      <c r="D17" s="248" t="s">
        <v>69</v>
      </c>
      <c r="E17" s="248">
        <v>1.08</v>
      </c>
      <c r="F17" s="248">
        <f>E17*F15</f>
        <v>57.888000000000005</v>
      </c>
      <c r="G17" s="809"/>
      <c r="H17" s="809"/>
      <c r="I17" s="809"/>
      <c r="J17" s="809"/>
      <c r="K17" s="809">
        <v>0</v>
      </c>
      <c r="L17" s="809">
        <f>F17*K17</f>
        <v>0</v>
      </c>
      <c r="M17" s="809">
        <f>L17+J17+H17</f>
        <v>0</v>
      </c>
      <c r="N17" s="253"/>
      <c r="O17" s="253"/>
      <c r="P17" s="253"/>
      <c r="Q17" s="253"/>
    </row>
    <row r="18" spans="1:17" s="247" customFormat="1" ht="16.2">
      <c r="A18" s="248"/>
      <c r="B18" s="250" t="s">
        <v>736</v>
      </c>
      <c r="C18" s="249" t="s">
        <v>265</v>
      </c>
      <c r="D18" s="248" t="s">
        <v>6</v>
      </c>
      <c r="E18" s="248">
        <v>1.0149999999999999</v>
      </c>
      <c r="F18" s="248">
        <f>E18*F15</f>
        <v>54.403999999999996</v>
      </c>
      <c r="G18" s="809">
        <v>0</v>
      </c>
      <c r="H18" s="809">
        <f>G18*F18</f>
        <v>0</v>
      </c>
      <c r="I18" s="809"/>
      <c r="J18" s="809"/>
      <c r="K18" s="809"/>
      <c r="L18" s="809"/>
      <c r="M18" s="809">
        <f t="shared" ref="M18:M24" si="0">H18+J18+L18</f>
        <v>0</v>
      </c>
      <c r="N18" s="253"/>
      <c r="O18" s="253"/>
      <c r="P18" s="253"/>
      <c r="Q18" s="253"/>
    </row>
    <row r="19" spans="1:17" s="247" customFormat="1" ht="16.2">
      <c r="A19" s="248"/>
      <c r="B19" s="250" t="s">
        <v>737</v>
      </c>
      <c r="C19" s="249" t="s">
        <v>266</v>
      </c>
      <c r="D19" s="248" t="s">
        <v>6</v>
      </c>
      <c r="E19" s="248">
        <f>10.2*0.01</f>
        <v>0.10199999999999999</v>
      </c>
      <c r="F19" s="248">
        <f>E19*F15</f>
        <v>5.4672000000000001</v>
      </c>
      <c r="G19" s="809">
        <v>0</v>
      </c>
      <c r="H19" s="809">
        <f>G19*F19</f>
        <v>0</v>
      </c>
      <c r="I19" s="809"/>
      <c r="J19" s="809"/>
      <c r="K19" s="809"/>
      <c r="L19" s="809"/>
      <c r="M19" s="809">
        <f t="shared" si="0"/>
        <v>0</v>
      </c>
      <c r="N19" s="253"/>
      <c r="O19" s="253"/>
      <c r="P19" s="253"/>
      <c r="Q19" s="253"/>
    </row>
    <row r="20" spans="1:17" s="247" customFormat="1" ht="16.2">
      <c r="A20" s="248"/>
      <c r="B20" s="250" t="s">
        <v>738</v>
      </c>
      <c r="C20" s="249" t="s">
        <v>267</v>
      </c>
      <c r="D20" s="248" t="s">
        <v>6</v>
      </c>
      <c r="E20" s="248">
        <f>7.3*0.01</f>
        <v>7.2999999999999995E-2</v>
      </c>
      <c r="F20" s="248">
        <f>E20*F15</f>
        <v>3.9127999999999998</v>
      </c>
      <c r="G20" s="809">
        <v>0</v>
      </c>
      <c r="H20" s="809">
        <f>G20*F20</f>
        <v>0</v>
      </c>
      <c r="I20" s="809"/>
      <c r="J20" s="809"/>
      <c r="K20" s="809"/>
      <c r="L20" s="809"/>
      <c r="M20" s="809">
        <f t="shared" si="0"/>
        <v>0</v>
      </c>
      <c r="N20" s="253"/>
      <c r="O20" s="253"/>
      <c r="P20" s="253"/>
      <c r="Q20" s="253"/>
    </row>
    <row r="21" spans="1:17" s="247" customFormat="1" ht="16.2">
      <c r="A21" s="248"/>
      <c r="B21" s="250" t="s">
        <v>739</v>
      </c>
      <c r="C21" s="249" t="s">
        <v>268</v>
      </c>
      <c r="D21" s="248" t="s">
        <v>70</v>
      </c>
      <c r="E21" s="248">
        <v>0.9</v>
      </c>
      <c r="F21" s="248">
        <f>E21*F15</f>
        <v>48.24</v>
      </c>
      <c r="G21" s="809">
        <v>0</v>
      </c>
      <c r="H21" s="809">
        <f>G21*F21</f>
        <v>0</v>
      </c>
      <c r="I21" s="809"/>
      <c r="J21" s="809"/>
      <c r="K21" s="809"/>
      <c r="L21" s="809"/>
      <c r="M21" s="809">
        <f t="shared" si="0"/>
        <v>0</v>
      </c>
      <c r="N21" s="253"/>
      <c r="O21" s="253"/>
      <c r="P21" s="253"/>
      <c r="Q21" s="253"/>
    </row>
    <row r="22" spans="1:17" s="247" customFormat="1" ht="16.2">
      <c r="A22" s="248"/>
      <c r="B22" s="250"/>
      <c r="C22" s="249" t="s">
        <v>94</v>
      </c>
      <c r="D22" s="248" t="s">
        <v>262</v>
      </c>
      <c r="E22" s="248">
        <v>1.67</v>
      </c>
      <c r="F22" s="248">
        <f>E22*F15</f>
        <v>89.512</v>
      </c>
      <c r="G22" s="809">
        <v>0</v>
      </c>
      <c r="H22" s="809">
        <f>F22*G22</f>
        <v>0</v>
      </c>
      <c r="I22" s="809"/>
      <c r="J22" s="809"/>
      <c r="K22" s="809"/>
      <c r="L22" s="809"/>
      <c r="M22" s="809">
        <f t="shared" si="0"/>
        <v>0</v>
      </c>
      <c r="N22" s="253"/>
      <c r="O22" s="253"/>
      <c r="P22" s="253"/>
      <c r="Q22" s="253"/>
    </row>
    <row r="23" spans="1:17" s="247" customFormat="1" ht="16.2">
      <c r="A23" s="248"/>
      <c r="B23" s="250" t="s">
        <v>439</v>
      </c>
      <c r="C23" s="249" t="s">
        <v>269</v>
      </c>
      <c r="D23" s="248" t="s">
        <v>70</v>
      </c>
      <c r="E23" s="248"/>
      <c r="F23" s="248">
        <f>6272+189.7+296</f>
        <v>6757.7</v>
      </c>
      <c r="G23" s="809">
        <v>0</v>
      </c>
      <c r="H23" s="809">
        <f>F23*G23</f>
        <v>0</v>
      </c>
      <c r="I23" s="809"/>
      <c r="J23" s="809"/>
      <c r="K23" s="809"/>
      <c r="L23" s="809"/>
      <c r="M23" s="809">
        <f t="shared" si="0"/>
        <v>0</v>
      </c>
      <c r="N23" s="253"/>
      <c r="O23" s="253"/>
      <c r="P23" s="253"/>
      <c r="Q23" s="253"/>
    </row>
    <row r="24" spans="1:17" s="247" customFormat="1" ht="16.2">
      <c r="A24" s="248"/>
      <c r="B24" s="250" t="s">
        <v>740</v>
      </c>
      <c r="C24" s="249" t="s">
        <v>270</v>
      </c>
      <c r="D24" s="248" t="s">
        <v>70</v>
      </c>
      <c r="E24" s="248"/>
      <c r="F24" s="248">
        <f>F23*10%</f>
        <v>675.77</v>
      </c>
      <c r="G24" s="809">
        <v>0</v>
      </c>
      <c r="H24" s="809">
        <f>F24*G24</f>
        <v>0</v>
      </c>
      <c r="I24" s="809"/>
      <c r="J24" s="809"/>
      <c r="K24" s="809"/>
      <c r="L24" s="809"/>
      <c r="M24" s="809">
        <f t="shared" si="0"/>
        <v>0</v>
      </c>
      <c r="N24" s="253"/>
      <c r="O24" s="253"/>
      <c r="P24" s="253"/>
      <c r="Q24" s="253"/>
    </row>
    <row r="25" spans="1:17" s="247" customFormat="1" ht="30">
      <c r="A25" s="95">
        <v>3</v>
      </c>
      <c r="B25" s="622" t="s">
        <v>263</v>
      </c>
      <c r="C25" s="220" t="s">
        <v>271</v>
      </c>
      <c r="D25" s="95" t="s">
        <v>6</v>
      </c>
      <c r="E25" s="95"/>
      <c r="F25" s="95">
        <v>62.2</v>
      </c>
      <c r="G25" s="855"/>
      <c r="H25" s="855"/>
      <c r="I25" s="855"/>
      <c r="J25" s="855"/>
      <c r="K25" s="855"/>
      <c r="L25" s="855"/>
      <c r="M25" s="845">
        <f>SUM(M26:M34)</f>
        <v>0</v>
      </c>
      <c r="N25" s="251"/>
      <c r="O25" s="252"/>
      <c r="P25" s="252"/>
      <c r="Q25" s="252"/>
    </row>
    <row r="26" spans="1:17" s="247" customFormat="1" ht="16.2">
      <c r="A26" s="248"/>
      <c r="B26" s="250"/>
      <c r="C26" s="249" t="s">
        <v>58</v>
      </c>
      <c r="D26" s="248" t="s">
        <v>5</v>
      </c>
      <c r="E26" s="248">
        <v>12.7</v>
      </c>
      <c r="F26" s="248">
        <f>F25*E26</f>
        <v>789.93999999999994</v>
      </c>
      <c r="G26" s="809"/>
      <c r="H26" s="809"/>
      <c r="I26" s="809">
        <v>0</v>
      </c>
      <c r="J26" s="809">
        <f>I26*F26</f>
        <v>0</v>
      </c>
      <c r="K26" s="809"/>
      <c r="L26" s="809"/>
      <c r="M26" s="809">
        <f>L26+J26+H26</f>
        <v>0</v>
      </c>
      <c r="N26" s="253"/>
      <c r="O26" s="253"/>
      <c r="P26" s="253"/>
      <c r="Q26" s="253"/>
    </row>
    <row r="27" spans="1:17" s="247" customFormat="1" ht="16.2">
      <c r="A27" s="248"/>
      <c r="B27" s="250"/>
      <c r="C27" s="249" t="s">
        <v>64</v>
      </c>
      <c r="D27" s="248" t="s">
        <v>69</v>
      </c>
      <c r="E27" s="248">
        <v>1.08</v>
      </c>
      <c r="F27" s="248">
        <f>E27*F25</f>
        <v>67.176000000000002</v>
      </c>
      <c r="G27" s="809"/>
      <c r="H27" s="809"/>
      <c r="I27" s="809"/>
      <c r="J27" s="809"/>
      <c r="K27" s="809">
        <v>0</v>
      </c>
      <c r="L27" s="809">
        <f>F27*K27</f>
        <v>0</v>
      </c>
      <c r="M27" s="809">
        <f>L27+J27+H27</f>
        <v>0</v>
      </c>
      <c r="N27" s="253"/>
      <c r="O27" s="253"/>
      <c r="P27" s="253"/>
      <c r="Q27" s="253"/>
    </row>
    <row r="28" spans="1:17" s="247" customFormat="1" ht="16.2">
      <c r="A28" s="248"/>
      <c r="B28" s="250" t="s">
        <v>736</v>
      </c>
      <c r="C28" s="249" t="s">
        <v>272</v>
      </c>
      <c r="D28" s="248" t="s">
        <v>6</v>
      </c>
      <c r="E28" s="248">
        <v>1.0149999999999999</v>
      </c>
      <c r="F28" s="248">
        <f>E28*F25</f>
        <v>63.132999999999996</v>
      </c>
      <c r="G28" s="809">
        <v>0</v>
      </c>
      <c r="H28" s="809">
        <f>G28*F28</f>
        <v>0</v>
      </c>
      <c r="I28" s="809"/>
      <c r="J28" s="809"/>
      <c r="K28" s="809"/>
      <c r="L28" s="809"/>
      <c r="M28" s="809">
        <f t="shared" ref="M28:M34" si="1">H28+J28+L28</f>
        <v>0</v>
      </c>
      <c r="N28" s="253"/>
      <c r="O28" s="253"/>
      <c r="P28" s="253"/>
      <c r="Q28" s="253"/>
    </row>
    <row r="29" spans="1:17" s="247" customFormat="1" ht="16.2">
      <c r="A29" s="248"/>
      <c r="B29" s="250" t="s">
        <v>737</v>
      </c>
      <c r="C29" s="249" t="s">
        <v>266</v>
      </c>
      <c r="D29" s="248" t="s">
        <v>6</v>
      </c>
      <c r="E29" s="248">
        <f>10.2*0.01</f>
        <v>0.10199999999999999</v>
      </c>
      <c r="F29" s="248">
        <f>E29*F25</f>
        <v>6.3444000000000003</v>
      </c>
      <c r="G29" s="809">
        <v>0</v>
      </c>
      <c r="H29" s="809">
        <f>G29*F29</f>
        <v>0</v>
      </c>
      <c r="I29" s="809"/>
      <c r="J29" s="809"/>
      <c r="K29" s="809"/>
      <c r="L29" s="809"/>
      <c r="M29" s="809">
        <f t="shared" si="1"/>
        <v>0</v>
      </c>
      <c r="N29" s="253"/>
      <c r="O29" s="253"/>
      <c r="P29" s="253"/>
      <c r="Q29" s="253"/>
    </row>
    <row r="30" spans="1:17" s="247" customFormat="1" ht="16.2">
      <c r="A30" s="248"/>
      <c r="B30" s="250" t="s">
        <v>738</v>
      </c>
      <c r="C30" s="249" t="s">
        <v>267</v>
      </c>
      <c r="D30" s="248" t="s">
        <v>6</v>
      </c>
      <c r="E30" s="248">
        <f>7.3*0.01</f>
        <v>7.2999999999999995E-2</v>
      </c>
      <c r="F30" s="248">
        <f>E30*F25</f>
        <v>4.5405999999999995</v>
      </c>
      <c r="G30" s="809">
        <v>0</v>
      </c>
      <c r="H30" s="809">
        <f>G30*F30</f>
        <v>0</v>
      </c>
      <c r="I30" s="809"/>
      <c r="J30" s="809"/>
      <c r="K30" s="809"/>
      <c r="L30" s="809"/>
      <c r="M30" s="809">
        <f t="shared" si="1"/>
        <v>0</v>
      </c>
      <c r="N30" s="253"/>
      <c r="O30" s="253"/>
      <c r="P30" s="253"/>
      <c r="Q30" s="253"/>
    </row>
    <row r="31" spans="1:17" s="247" customFormat="1" ht="16.2">
      <c r="A31" s="248"/>
      <c r="B31" s="250" t="s">
        <v>739</v>
      </c>
      <c r="C31" s="249" t="s">
        <v>268</v>
      </c>
      <c r="D31" s="248" t="s">
        <v>70</v>
      </c>
      <c r="E31" s="248">
        <v>0.9</v>
      </c>
      <c r="F31" s="248">
        <f>E31*F25</f>
        <v>55.980000000000004</v>
      </c>
      <c r="G31" s="809">
        <v>0</v>
      </c>
      <c r="H31" s="809">
        <f>G31*F31</f>
        <v>0</v>
      </c>
      <c r="I31" s="809"/>
      <c r="J31" s="809"/>
      <c r="K31" s="809"/>
      <c r="L31" s="809"/>
      <c r="M31" s="809">
        <f t="shared" si="1"/>
        <v>0</v>
      </c>
      <c r="N31" s="253"/>
      <c r="O31" s="253"/>
      <c r="P31" s="253"/>
      <c r="Q31" s="253"/>
    </row>
    <row r="32" spans="1:17" s="247" customFormat="1" ht="16.2">
      <c r="A32" s="248"/>
      <c r="B32" s="250"/>
      <c r="C32" s="249" t="s">
        <v>94</v>
      </c>
      <c r="D32" s="248" t="s">
        <v>262</v>
      </c>
      <c r="E32" s="248">
        <v>1.67</v>
      </c>
      <c r="F32" s="248">
        <f>E32*F25</f>
        <v>103.874</v>
      </c>
      <c r="G32" s="809">
        <v>0</v>
      </c>
      <c r="H32" s="809">
        <f>F32*G32</f>
        <v>0</v>
      </c>
      <c r="I32" s="809"/>
      <c r="J32" s="809"/>
      <c r="K32" s="809"/>
      <c r="L32" s="809"/>
      <c r="M32" s="809">
        <f t="shared" si="1"/>
        <v>0</v>
      </c>
      <c r="N32" s="253"/>
      <c r="O32" s="253"/>
      <c r="P32" s="253"/>
      <c r="Q32" s="253"/>
    </row>
    <row r="33" spans="1:17" s="247" customFormat="1" ht="16.2">
      <c r="A33" s="248"/>
      <c r="B33" s="250" t="s">
        <v>439</v>
      </c>
      <c r="C33" s="249" t="s">
        <v>269</v>
      </c>
      <c r="D33" s="248" t="s">
        <v>70</v>
      </c>
      <c r="E33" s="248"/>
      <c r="F33" s="248">
        <f>4287.7+937.73+809.86+937.73+809.86+684.13+684.13+61</f>
        <v>9212.14</v>
      </c>
      <c r="G33" s="809">
        <v>0</v>
      </c>
      <c r="H33" s="809">
        <f>F33*G33</f>
        <v>0</v>
      </c>
      <c r="I33" s="809"/>
      <c r="J33" s="809"/>
      <c r="K33" s="809"/>
      <c r="L33" s="809"/>
      <c r="M33" s="809">
        <f t="shared" si="1"/>
        <v>0</v>
      </c>
      <c r="N33" s="253"/>
      <c r="O33" s="635">
        <v>4717.1000000000004</v>
      </c>
      <c r="P33" s="253"/>
      <c r="Q33" s="253"/>
    </row>
    <row r="34" spans="1:17" s="247" customFormat="1" ht="16.2">
      <c r="A34" s="248"/>
      <c r="B34" s="250" t="s">
        <v>740</v>
      </c>
      <c r="C34" s="249" t="s">
        <v>270</v>
      </c>
      <c r="D34" s="248" t="s">
        <v>70</v>
      </c>
      <c r="E34" s="248"/>
      <c r="F34" s="248">
        <f>F33*10%</f>
        <v>921.21399999999994</v>
      </c>
      <c r="G34" s="809">
        <v>0</v>
      </c>
      <c r="H34" s="809">
        <f>F34*G34</f>
        <v>0</v>
      </c>
      <c r="I34" s="809"/>
      <c r="J34" s="809"/>
      <c r="K34" s="809"/>
      <c r="L34" s="809"/>
      <c r="M34" s="809">
        <f t="shared" si="1"/>
        <v>0</v>
      </c>
      <c r="N34" s="253"/>
      <c r="O34" s="253"/>
      <c r="P34" s="253"/>
      <c r="Q34" s="253"/>
    </row>
    <row r="35" spans="1:17" s="247" customFormat="1" ht="31.2">
      <c r="A35" s="95">
        <v>4</v>
      </c>
      <c r="B35" s="622" t="s">
        <v>273</v>
      </c>
      <c r="C35" s="98" t="s">
        <v>274</v>
      </c>
      <c r="D35" s="95" t="s">
        <v>6</v>
      </c>
      <c r="E35" s="95"/>
      <c r="F35" s="95">
        <v>31.5</v>
      </c>
      <c r="G35" s="845"/>
      <c r="H35" s="845"/>
      <c r="I35" s="845"/>
      <c r="J35" s="845"/>
      <c r="K35" s="845"/>
      <c r="L35" s="845"/>
      <c r="M35" s="845">
        <f>SUM(M36:M45)</f>
        <v>0</v>
      </c>
      <c r="N35" s="253"/>
      <c r="O35" s="253"/>
      <c r="P35" s="253"/>
      <c r="Q35" s="253"/>
    </row>
    <row r="36" spans="1:17" s="247" customFormat="1" ht="16.2">
      <c r="A36" s="248"/>
      <c r="B36" s="250"/>
      <c r="C36" s="249" t="s">
        <v>58</v>
      </c>
      <c r="D36" s="248" t="s">
        <v>5</v>
      </c>
      <c r="E36" s="248">
        <v>15.8</v>
      </c>
      <c r="F36" s="248">
        <f>F35*E36</f>
        <v>497.70000000000005</v>
      </c>
      <c r="G36" s="809"/>
      <c r="H36" s="809"/>
      <c r="I36" s="809">
        <v>0</v>
      </c>
      <c r="J36" s="809">
        <f>I36*F36</f>
        <v>0</v>
      </c>
      <c r="K36" s="809"/>
      <c r="L36" s="809"/>
      <c r="M36" s="809">
        <f>L36+J36+H36</f>
        <v>0</v>
      </c>
      <c r="N36" s="253"/>
      <c r="O36" s="253"/>
      <c r="P36" s="253"/>
      <c r="Q36" s="253"/>
    </row>
    <row r="37" spans="1:17" s="247" customFormat="1" ht="16.2">
      <c r="A37" s="248"/>
      <c r="B37" s="250"/>
      <c r="C37" s="249" t="s">
        <v>64</v>
      </c>
      <c r="D37" s="248" t="s">
        <v>69</v>
      </c>
      <c r="E37" s="248">
        <v>0.86</v>
      </c>
      <c r="F37" s="248">
        <f>E37*F35</f>
        <v>27.09</v>
      </c>
      <c r="G37" s="858"/>
      <c r="H37" s="809"/>
      <c r="I37" s="809"/>
      <c r="J37" s="809"/>
      <c r="K37" s="809">
        <v>0</v>
      </c>
      <c r="L37" s="809">
        <f>F37*K37</f>
        <v>0</v>
      </c>
      <c r="M37" s="809">
        <f>L37+J37+H37</f>
        <v>0</v>
      </c>
      <c r="N37" s="253"/>
      <c r="O37" s="253"/>
      <c r="P37" s="253"/>
      <c r="Q37" s="253"/>
    </row>
    <row r="38" spans="1:17" s="247" customFormat="1" ht="16.2">
      <c r="A38" s="248"/>
      <c r="B38" s="250" t="s">
        <v>736</v>
      </c>
      <c r="C38" s="249" t="s">
        <v>272</v>
      </c>
      <c r="D38" s="248" t="s">
        <v>6</v>
      </c>
      <c r="E38" s="248">
        <v>1.0149999999999999</v>
      </c>
      <c r="F38" s="248">
        <f>E38*F35</f>
        <v>31.972499999999997</v>
      </c>
      <c r="G38" s="809">
        <v>0</v>
      </c>
      <c r="H38" s="809">
        <f>G38*F38</f>
        <v>0</v>
      </c>
      <c r="I38" s="809"/>
      <c r="J38" s="809"/>
      <c r="K38" s="809"/>
      <c r="L38" s="809"/>
      <c r="M38" s="809">
        <f t="shared" ref="M38:M45" si="2">H38+J38+L38</f>
        <v>0</v>
      </c>
      <c r="N38" s="253"/>
      <c r="O38" s="253"/>
      <c r="P38" s="253"/>
      <c r="Q38" s="253"/>
    </row>
    <row r="39" spans="1:17" s="247" customFormat="1" ht="17.399999999999999">
      <c r="A39" s="248"/>
      <c r="B39" s="250" t="s">
        <v>741</v>
      </c>
      <c r="C39" s="249" t="s">
        <v>275</v>
      </c>
      <c r="D39" s="248" t="s">
        <v>276</v>
      </c>
      <c r="E39" s="248">
        <v>1.37</v>
      </c>
      <c r="F39" s="248">
        <f>E39*F35</f>
        <v>43.155000000000001</v>
      </c>
      <c r="G39" s="858">
        <v>0</v>
      </c>
      <c r="H39" s="809">
        <f>G39*F39</f>
        <v>0</v>
      </c>
      <c r="I39" s="809"/>
      <c r="J39" s="809"/>
      <c r="K39" s="809"/>
      <c r="L39" s="809"/>
      <c r="M39" s="809">
        <f>L39+J39+H39</f>
        <v>0</v>
      </c>
      <c r="N39" s="253"/>
      <c r="O39" s="253"/>
      <c r="P39" s="253"/>
      <c r="Q39" s="253"/>
    </row>
    <row r="40" spans="1:17" s="247" customFormat="1" ht="16.2">
      <c r="A40" s="248"/>
      <c r="B40" s="250" t="s">
        <v>737</v>
      </c>
      <c r="C40" s="249" t="s">
        <v>277</v>
      </c>
      <c r="D40" s="248" t="s">
        <v>6</v>
      </c>
      <c r="E40" s="248">
        <v>8.3999999999999995E-3</v>
      </c>
      <c r="F40" s="248">
        <f>E40*F35</f>
        <v>0.2646</v>
      </c>
      <c r="G40" s="809">
        <v>0</v>
      </c>
      <c r="H40" s="809">
        <f>G40*F40</f>
        <v>0</v>
      </c>
      <c r="I40" s="809"/>
      <c r="J40" s="809"/>
      <c r="K40" s="809"/>
      <c r="L40" s="809"/>
      <c r="M40" s="809">
        <f t="shared" si="2"/>
        <v>0</v>
      </c>
      <c r="N40" s="253"/>
      <c r="O40" s="253"/>
      <c r="P40" s="253"/>
      <c r="Q40" s="253"/>
    </row>
    <row r="41" spans="1:17" s="247" customFormat="1" ht="16.2">
      <c r="A41" s="248"/>
      <c r="B41" s="250" t="s">
        <v>742</v>
      </c>
      <c r="C41" s="249" t="s">
        <v>278</v>
      </c>
      <c r="D41" s="248" t="s">
        <v>6</v>
      </c>
      <c r="E41" s="248">
        <v>2.5600000000000001E-2</v>
      </c>
      <c r="F41" s="248">
        <f>E41*F34</f>
        <v>23.583078399999998</v>
      </c>
      <c r="G41" s="858">
        <v>0</v>
      </c>
      <c r="H41" s="809">
        <f>G41*F41</f>
        <v>0</v>
      </c>
      <c r="I41" s="809"/>
      <c r="J41" s="809"/>
      <c r="K41" s="809"/>
      <c r="L41" s="809"/>
      <c r="M41" s="809">
        <f t="shared" si="2"/>
        <v>0</v>
      </c>
      <c r="N41" s="253"/>
      <c r="O41" s="253"/>
      <c r="P41" s="253"/>
      <c r="Q41" s="253"/>
    </row>
    <row r="42" spans="1:17" s="247" customFormat="1" ht="16.2">
      <c r="A42" s="248"/>
      <c r="B42" s="250" t="s">
        <v>738</v>
      </c>
      <c r="C42" s="249" t="s">
        <v>279</v>
      </c>
      <c r="D42" s="248" t="s">
        <v>6</v>
      </c>
      <c r="E42" s="248">
        <v>4.0000000000000001E-3</v>
      </c>
      <c r="F42" s="248">
        <f>E42*F35</f>
        <v>0.126</v>
      </c>
      <c r="G42" s="809">
        <v>0</v>
      </c>
      <c r="H42" s="809">
        <f>G42*F42</f>
        <v>0</v>
      </c>
      <c r="I42" s="809"/>
      <c r="J42" s="809"/>
      <c r="K42" s="809"/>
      <c r="L42" s="809"/>
      <c r="M42" s="809">
        <f t="shared" si="2"/>
        <v>0</v>
      </c>
      <c r="N42" s="253"/>
      <c r="O42" s="253"/>
      <c r="P42" s="253"/>
      <c r="Q42" s="253"/>
    </row>
    <row r="43" spans="1:17" s="247" customFormat="1" ht="16.2">
      <c r="A43" s="248"/>
      <c r="B43" s="250"/>
      <c r="C43" s="249" t="s">
        <v>94</v>
      </c>
      <c r="D43" s="248" t="s">
        <v>262</v>
      </c>
      <c r="E43" s="248">
        <v>0.51</v>
      </c>
      <c r="F43" s="248">
        <f>E43*F35</f>
        <v>16.065000000000001</v>
      </c>
      <c r="G43" s="809">
        <v>0</v>
      </c>
      <c r="H43" s="809">
        <f>F43*G43</f>
        <v>0</v>
      </c>
      <c r="I43" s="809"/>
      <c r="J43" s="809"/>
      <c r="K43" s="809"/>
      <c r="L43" s="809"/>
      <c r="M43" s="809">
        <f t="shared" si="2"/>
        <v>0</v>
      </c>
      <c r="N43" s="253"/>
      <c r="O43" s="253"/>
      <c r="P43" s="253"/>
      <c r="Q43" s="253"/>
    </row>
    <row r="44" spans="1:17" s="247" customFormat="1" ht="16.2">
      <c r="A44" s="248"/>
      <c r="B44" s="250" t="s">
        <v>439</v>
      </c>
      <c r="C44" s="249" t="s">
        <v>269</v>
      </c>
      <c r="D44" s="248" t="s">
        <v>70</v>
      </c>
      <c r="E44" s="248"/>
      <c r="F44" s="248">
        <f>4449.7+735</f>
        <v>5184.7</v>
      </c>
      <c r="G44" s="809">
        <v>0</v>
      </c>
      <c r="H44" s="809">
        <f>F44*G44</f>
        <v>0</v>
      </c>
      <c r="I44" s="809"/>
      <c r="J44" s="809"/>
      <c r="K44" s="809"/>
      <c r="L44" s="809"/>
      <c r="M44" s="809">
        <f t="shared" si="2"/>
        <v>0</v>
      </c>
      <c r="N44" s="253"/>
      <c r="O44" s="253"/>
      <c r="P44" s="253"/>
      <c r="Q44" s="253"/>
    </row>
    <row r="45" spans="1:17" s="247" customFormat="1" ht="16.2">
      <c r="A45" s="248"/>
      <c r="B45" s="250" t="s">
        <v>740</v>
      </c>
      <c r="C45" s="249" t="s">
        <v>270</v>
      </c>
      <c r="D45" s="248" t="s">
        <v>70</v>
      </c>
      <c r="E45" s="248"/>
      <c r="F45" s="248">
        <f>F44*10%</f>
        <v>518.47</v>
      </c>
      <c r="G45" s="809">
        <v>0</v>
      </c>
      <c r="H45" s="809">
        <f>F45*G45</f>
        <v>0</v>
      </c>
      <c r="I45" s="809"/>
      <c r="J45" s="809"/>
      <c r="K45" s="809"/>
      <c r="L45" s="809"/>
      <c r="M45" s="809">
        <f t="shared" si="2"/>
        <v>0</v>
      </c>
      <c r="N45" s="253"/>
      <c r="O45" s="253"/>
      <c r="P45" s="253"/>
      <c r="Q45" s="253"/>
    </row>
    <row r="46" spans="1:17" s="247" customFormat="1" ht="30">
      <c r="A46" s="95">
        <v>5</v>
      </c>
      <c r="B46" s="623" t="s">
        <v>280</v>
      </c>
      <c r="C46" s="98" t="s">
        <v>281</v>
      </c>
      <c r="D46" s="95" t="s">
        <v>67</v>
      </c>
      <c r="E46" s="95"/>
      <c r="F46" s="95">
        <v>0.19</v>
      </c>
      <c r="G46" s="859"/>
      <c r="H46" s="845"/>
      <c r="I46" s="845"/>
      <c r="J46" s="845"/>
      <c r="K46" s="845"/>
      <c r="L46" s="845"/>
      <c r="M46" s="845">
        <f>SUM(M47:M50)</f>
        <v>0</v>
      </c>
      <c r="N46" s="253"/>
      <c r="O46" s="253"/>
      <c r="P46" s="253"/>
      <c r="Q46" s="253"/>
    </row>
    <row r="47" spans="1:17" s="247" customFormat="1" ht="16.2">
      <c r="A47" s="248"/>
      <c r="B47" s="250"/>
      <c r="C47" s="249" t="s">
        <v>58</v>
      </c>
      <c r="D47" s="248" t="s">
        <v>5</v>
      </c>
      <c r="E47" s="248">
        <v>210</v>
      </c>
      <c r="F47" s="248">
        <f>F46*E47</f>
        <v>39.9</v>
      </c>
      <c r="G47" s="809"/>
      <c r="H47" s="809"/>
      <c r="I47" s="809">
        <v>0</v>
      </c>
      <c r="J47" s="809">
        <f>I47*F47</f>
        <v>0</v>
      </c>
      <c r="K47" s="809"/>
      <c r="L47" s="809"/>
      <c r="M47" s="809">
        <f>L47+J47+H47</f>
        <v>0</v>
      </c>
      <c r="N47" s="253"/>
      <c r="O47" s="253"/>
      <c r="P47" s="253"/>
      <c r="Q47" s="253"/>
    </row>
    <row r="48" spans="1:17" s="247" customFormat="1" ht="16.2">
      <c r="A48" s="248"/>
      <c r="B48" s="250"/>
      <c r="C48" s="249" t="s">
        <v>64</v>
      </c>
      <c r="D48" s="248" t="s">
        <v>69</v>
      </c>
      <c r="E48" s="248">
        <v>1.4</v>
      </c>
      <c r="F48" s="248">
        <f>E48*F46</f>
        <v>0.26599999999999996</v>
      </c>
      <c r="G48" s="809"/>
      <c r="H48" s="809"/>
      <c r="I48" s="809"/>
      <c r="J48" s="809"/>
      <c r="K48" s="809">
        <v>0</v>
      </c>
      <c r="L48" s="809">
        <f>F48*K48</f>
        <v>0</v>
      </c>
      <c r="M48" s="809">
        <f>L48+J48+H48</f>
        <v>0</v>
      </c>
      <c r="N48" s="253"/>
      <c r="O48" s="253"/>
      <c r="P48" s="253"/>
      <c r="Q48" s="253"/>
    </row>
    <row r="49" spans="1:17" s="247" customFormat="1" ht="16.2">
      <c r="A49" s="248"/>
      <c r="B49" s="250"/>
      <c r="C49" s="249" t="s">
        <v>282</v>
      </c>
      <c r="D49" s="248" t="s">
        <v>70</v>
      </c>
      <c r="E49" s="248"/>
      <c r="F49" s="248">
        <v>190</v>
      </c>
      <c r="G49" s="809">
        <v>0</v>
      </c>
      <c r="H49" s="809">
        <f>F49*G49</f>
        <v>0</v>
      </c>
      <c r="I49" s="809"/>
      <c r="J49" s="809"/>
      <c r="K49" s="809"/>
      <c r="L49" s="809"/>
      <c r="M49" s="809">
        <f>H49+J49+L49</f>
        <v>0</v>
      </c>
      <c r="N49" s="253"/>
      <c r="O49" s="253"/>
      <c r="P49" s="253"/>
      <c r="Q49" s="253"/>
    </row>
    <row r="50" spans="1:17" s="247" customFormat="1" ht="16.2">
      <c r="A50" s="248"/>
      <c r="B50" s="250"/>
      <c r="C50" s="249" t="s">
        <v>94</v>
      </c>
      <c r="D50" s="248" t="s">
        <v>262</v>
      </c>
      <c r="E50" s="248">
        <v>2</v>
      </c>
      <c r="F50" s="248">
        <f>E50*F46</f>
        <v>0.38</v>
      </c>
      <c r="G50" s="809">
        <v>0</v>
      </c>
      <c r="H50" s="809">
        <f>F50*G50</f>
        <v>0</v>
      </c>
      <c r="I50" s="809"/>
      <c r="J50" s="809"/>
      <c r="K50" s="809"/>
      <c r="L50" s="809"/>
      <c r="M50" s="809">
        <f>H50+J50+L50</f>
        <v>0</v>
      </c>
      <c r="N50" s="253"/>
      <c r="O50" s="253"/>
      <c r="P50" s="253"/>
      <c r="Q50" s="253"/>
    </row>
    <row r="51" spans="1:17" s="247" customFormat="1" ht="30">
      <c r="A51" s="95">
        <v>6</v>
      </c>
      <c r="B51" s="623" t="s">
        <v>283</v>
      </c>
      <c r="C51" s="98" t="s">
        <v>284</v>
      </c>
      <c r="D51" s="95" t="s">
        <v>6</v>
      </c>
      <c r="E51" s="95"/>
      <c r="F51" s="95">
        <v>3.32</v>
      </c>
      <c r="G51" s="860"/>
      <c r="H51" s="860"/>
      <c r="I51" s="860"/>
      <c r="J51" s="860"/>
      <c r="K51" s="860"/>
      <c r="L51" s="860"/>
      <c r="M51" s="845">
        <f>SUM(M52:M61)</f>
        <v>0</v>
      </c>
      <c r="N51" s="253"/>
      <c r="O51" s="253"/>
      <c r="P51" s="253"/>
      <c r="Q51" s="253"/>
    </row>
    <row r="52" spans="1:17" s="247" customFormat="1" ht="16.2">
      <c r="A52" s="248"/>
      <c r="B52" s="250"/>
      <c r="C52" s="249" t="s">
        <v>58</v>
      </c>
      <c r="D52" s="248" t="s">
        <v>5</v>
      </c>
      <c r="E52" s="248">
        <v>19.5</v>
      </c>
      <c r="F52" s="248">
        <f>F51*E52</f>
        <v>64.739999999999995</v>
      </c>
      <c r="G52" s="809"/>
      <c r="H52" s="809"/>
      <c r="I52" s="809">
        <v>0</v>
      </c>
      <c r="J52" s="809">
        <f>I52*F52</f>
        <v>0</v>
      </c>
      <c r="K52" s="809"/>
      <c r="L52" s="809"/>
      <c r="M52" s="809">
        <f>L52+J52+H52</f>
        <v>0</v>
      </c>
      <c r="N52" s="253"/>
      <c r="O52" s="253"/>
      <c r="P52" s="253"/>
      <c r="Q52" s="253"/>
    </row>
    <row r="53" spans="1:17" s="247" customFormat="1" ht="16.2">
      <c r="A53" s="248"/>
      <c r="B53" s="250"/>
      <c r="C53" s="249" t="s">
        <v>64</v>
      </c>
      <c r="D53" s="248" t="s">
        <v>69</v>
      </c>
      <c r="E53" s="248">
        <v>3.21</v>
      </c>
      <c r="F53" s="248">
        <f>E53*F51</f>
        <v>10.6572</v>
      </c>
      <c r="G53" s="858"/>
      <c r="H53" s="809"/>
      <c r="I53" s="809"/>
      <c r="J53" s="809"/>
      <c r="K53" s="809">
        <v>0</v>
      </c>
      <c r="L53" s="809">
        <f>F53*K53</f>
        <v>0</v>
      </c>
      <c r="M53" s="809">
        <f>L53+J53+H53</f>
        <v>0</v>
      </c>
      <c r="N53" s="253"/>
      <c r="O53" s="253"/>
      <c r="P53" s="253"/>
      <c r="Q53" s="253"/>
    </row>
    <row r="54" spans="1:17" s="247" customFormat="1" ht="16.2">
      <c r="A54" s="248"/>
      <c r="B54" s="250" t="s">
        <v>736</v>
      </c>
      <c r="C54" s="249" t="s">
        <v>272</v>
      </c>
      <c r="D54" s="248" t="s">
        <v>6</v>
      </c>
      <c r="E54" s="248">
        <v>1.0149999999999999</v>
      </c>
      <c r="F54" s="248">
        <f>E54*F51</f>
        <v>3.3697999999999997</v>
      </c>
      <c r="G54" s="809">
        <v>0</v>
      </c>
      <c r="H54" s="809">
        <f>G54*F54</f>
        <v>0</v>
      </c>
      <c r="I54" s="809"/>
      <c r="J54" s="809"/>
      <c r="K54" s="809"/>
      <c r="L54" s="809"/>
      <c r="M54" s="809">
        <f t="shared" ref="M54:M61" si="3">H54+J54+L54</f>
        <v>0</v>
      </c>
      <c r="N54" s="253"/>
      <c r="O54" s="253"/>
      <c r="P54" s="253"/>
      <c r="Q54" s="253"/>
    </row>
    <row r="55" spans="1:17" s="247" customFormat="1" ht="16.2">
      <c r="A55" s="248"/>
      <c r="B55" s="250" t="s">
        <v>741</v>
      </c>
      <c r="C55" s="249" t="s">
        <v>275</v>
      </c>
      <c r="D55" s="248" t="s">
        <v>81</v>
      </c>
      <c r="E55" s="248">
        <v>2.42</v>
      </c>
      <c r="F55" s="248">
        <f>E55*F51</f>
        <v>8.0343999999999998</v>
      </c>
      <c r="G55" s="858">
        <v>0</v>
      </c>
      <c r="H55" s="809">
        <f>G55*F55</f>
        <v>0</v>
      </c>
      <c r="I55" s="809"/>
      <c r="J55" s="809"/>
      <c r="K55" s="809"/>
      <c r="L55" s="809"/>
      <c r="M55" s="809">
        <f t="shared" si="3"/>
        <v>0</v>
      </c>
      <c r="N55" s="253"/>
      <c r="O55" s="253"/>
      <c r="P55" s="253"/>
      <c r="Q55" s="253"/>
    </row>
    <row r="56" spans="1:17" s="247" customFormat="1" ht="16.2">
      <c r="A56" s="248"/>
      <c r="B56" s="250" t="s">
        <v>742</v>
      </c>
      <c r="C56" s="249" t="s">
        <v>278</v>
      </c>
      <c r="D56" s="248" t="s">
        <v>6</v>
      </c>
      <c r="E56" s="248">
        <f>5.76*0.01</f>
        <v>5.7599999999999998E-2</v>
      </c>
      <c r="F56" s="248">
        <f>E56*F51</f>
        <v>0.19123199999999999</v>
      </c>
      <c r="G56" s="858">
        <v>0</v>
      </c>
      <c r="H56" s="809">
        <f>G56*F56</f>
        <v>0</v>
      </c>
      <c r="I56" s="809"/>
      <c r="J56" s="809"/>
      <c r="K56" s="809"/>
      <c r="L56" s="809"/>
      <c r="M56" s="809">
        <f t="shared" si="3"/>
        <v>0</v>
      </c>
      <c r="N56" s="253"/>
      <c r="O56" s="253"/>
      <c r="P56" s="253"/>
      <c r="Q56" s="253"/>
    </row>
    <row r="57" spans="1:17" s="247" customFormat="1" ht="16.2">
      <c r="A57" s="248"/>
      <c r="B57" s="250" t="s">
        <v>738</v>
      </c>
      <c r="C57" s="249" t="s">
        <v>279</v>
      </c>
      <c r="D57" s="248" t="s">
        <v>6</v>
      </c>
      <c r="E57" s="248">
        <f>1.6*0.01</f>
        <v>1.6E-2</v>
      </c>
      <c r="F57" s="248">
        <f>E57*F51</f>
        <v>5.3120000000000001E-2</v>
      </c>
      <c r="G57" s="809">
        <v>0</v>
      </c>
      <c r="H57" s="809">
        <f>G57*F57</f>
        <v>0</v>
      </c>
      <c r="I57" s="809"/>
      <c r="J57" s="809"/>
      <c r="K57" s="809"/>
      <c r="L57" s="809"/>
      <c r="M57" s="809">
        <f t="shared" si="3"/>
        <v>0</v>
      </c>
      <c r="N57" s="253"/>
      <c r="O57" s="253"/>
      <c r="P57" s="253"/>
      <c r="Q57" s="253"/>
    </row>
    <row r="58" spans="1:17" s="247" customFormat="1" ht="16.2">
      <c r="A58" s="248"/>
      <c r="B58" s="250" t="s">
        <v>743</v>
      </c>
      <c r="C58" s="249" t="s">
        <v>285</v>
      </c>
      <c r="D58" s="248" t="s">
        <v>67</v>
      </c>
      <c r="E58" s="248">
        <v>2.5000000000000001E-3</v>
      </c>
      <c r="F58" s="248">
        <f>E58*F51</f>
        <v>8.3000000000000001E-3</v>
      </c>
      <c r="G58" s="858">
        <v>0</v>
      </c>
      <c r="H58" s="809">
        <f>G58*F58</f>
        <v>0</v>
      </c>
      <c r="I58" s="809"/>
      <c r="J58" s="809"/>
      <c r="K58" s="809"/>
      <c r="L58" s="809"/>
      <c r="M58" s="809">
        <f t="shared" si="3"/>
        <v>0</v>
      </c>
      <c r="N58" s="253"/>
      <c r="O58" s="253"/>
      <c r="P58" s="253"/>
      <c r="Q58" s="253"/>
    </row>
    <row r="59" spans="1:17" s="247" customFormat="1" ht="16.2">
      <c r="A59" s="248"/>
      <c r="B59" s="250"/>
      <c r="C59" s="249" t="s">
        <v>94</v>
      </c>
      <c r="D59" s="248" t="s">
        <v>262</v>
      </c>
      <c r="E59" s="248">
        <v>0.6</v>
      </c>
      <c r="F59" s="248">
        <f>E59*F51</f>
        <v>1.9919999999999998</v>
      </c>
      <c r="G59" s="809">
        <v>0</v>
      </c>
      <c r="H59" s="809">
        <f>F59*G59</f>
        <v>0</v>
      </c>
      <c r="I59" s="809"/>
      <c r="J59" s="809"/>
      <c r="K59" s="809"/>
      <c r="L59" s="809"/>
      <c r="M59" s="809">
        <f t="shared" si="3"/>
        <v>0</v>
      </c>
      <c r="N59" s="253"/>
      <c r="O59" s="253"/>
      <c r="P59" s="253"/>
      <c r="Q59" s="253"/>
    </row>
    <row r="60" spans="1:17" s="247" customFormat="1" ht="16.2">
      <c r="A60" s="248"/>
      <c r="B60" s="250" t="s">
        <v>439</v>
      </c>
      <c r="C60" s="249" t="s">
        <v>269</v>
      </c>
      <c r="D60" s="248" t="s">
        <v>70</v>
      </c>
      <c r="E60" s="248"/>
      <c r="F60" s="248">
        <f>73.3+73.3+60.3+60.3</f>
        <v>267.2</v>
      </c>
      <c r="G60" s="809">
        <v>0</v>
      </c>
      <c r="H60" s="809">
        <f>F60*G60</f>
        <v>0</v>
      </c>
      <c r="I60" s="809"/>
      <c r="J60" s="809"/>
      <c r="K60" s="809"/>
      <c r="L60" s="809"/>
      <c r="M60" s="809">
        <f t="shared" si="3"/>
        <v>0</v>
      </c>
      <c r="N60" s="253"/>
      <c r="O60" s="253"/>
      <c r="P60" s="253"/>
      <c r="Q60" s="253"/>
    </row>
    <row r="61" spans="1:17" s="247" customFormat="1" ht="16.2">
      <c r="A61" s="248"/>
      <c r="B61" s="250" t="s">
        <v>740</v>
      </c>
      <c r="C61" s="249" t="s">
        <v>270</v>
      </c>
      <c r="D61" s="248" t="s">
        <v>70</v>
      </c>
      <c r="E61" s="248"/>
      <c r="F61" s="248">
        <v>129</v>
      </c>
      <c r="G61" s="809">
        <v>0</v>
      </c>
      <c r="H61" s="809">
        <f>F61*G61</f>
        <v>0</v>
      </c>
      <c r="I61" s="809"/>
      <c r="J61" s="809"/>
      <c r="K61" s="809"/>
      <c r="L61" s="809"/>
      <c r="M61" s="809">
        <f t="shared" si="3"/>
        <v>0</v>
      </c>
      <c r="N61" s="253"/>
      <c r="O61" s="253"/>
      <c r="P61" s="253"/>
      <c r="Q61" s="253"/>
    </row>
    <row r="62" spans="1:17" s="247" customFormat="1" ht="31.2">
      <c r="A62" s="95">
        <v>7</v>
      </c>
      <c r="B62" s="622" t="s">
        <v>263</v>
      </c>
      <c r="C62" s="98" t="s">
        <v>286</v>
      </c>
      <c r="D62" s="95" t="s">
        <v>6</v>
      </c>
      <c r="E62" s="95"/>
      <c r="F62" s="95">
        <v>4.32</v>
      </c>
      <c r="G62" s="845"/>
      <c r="H62" s="845"/>
      <c r="I62" s="845"/>
      <c r="J62" s="845"/>
      <c r="K62" s="845"/>
      <c r="L62" s="845"/>
      <c r="M62" s="845">
        <f>SUM(M63:M71)</f>
        <v>0</v>
      </c>
      <c r="N62" s="253"/>
      <c r="O62" s="253"/>
      <c r="P62" s="253"/>
      <c r="Q62" s="253"/>
    </row>
    <row r="63" spans="1:17" s="247" customFormat="1" ht="16.2">
      <c r="A63" s="248"/>
      <c r="B63" s="250"/>
      <c r="C63" s="249" t="s">
        <v>58</v>
      </c>
      <c r="D63" s="248" t="s">
        <v>5</v>
      </c>
      <c r="E63" s="248">
        <v>12.7</v>
      </c>
      <c r="F63" s="248">
        <f>F62*E63</f>
        <v>54.863999999999997</v>
      </c>
      <c r="G63" s="809"/>
      <c r="H63" s="809"/>
      <c r="I63" s="809">
        <v>0</v>
      </c>
      <c r="J63" s="809">
        <f>I63*F63</f>
        <v>0</v>
      </c>
      <c r="K63" s="809"/>
      <c r="L63" s="809"/>
      <c r="M63" s="809">
        <f>L63+J63+H63</f>
        <v>0</v>
      </c>
      <c r="N63" s="253"/>
      <c r="O63" s="253"/>
      <c r="P63" s="253"/>
      <c r="Q63" s="253"/>
    </row>
    <row r="64" spans="1:17" s="247" customFormat="1" ht="16.2">
      <c r="A64" s="248"/>
      <c r="B64" s="250"/>
      <c r="C64" s="249" t="s">
        <v>64</v>
      </c>
      <c r="D64" s="248" t="s">
        <v>69</v>
      </c>
      <c r="E64" s="248">
        <v>1.08</v>
      </c>
      <c r="F64" s="248">
        <f>E64*F62</f>
        <v>4.6656000000000004</v>
      </c>
      <c r="G64" s="809"/>
      <c r="H64" s="809"/>
      <c r="I64" s="809"/>
      <c r="J64" s="809"/>
      <c r="K64" s="809">
        <v>0</v>
      </c>
      <c r="L64" s="809">
        <f>F64*K64</f>
        <v>0</v>
      </c>
      <c r="M64" s="809">
        <f>L64+J64+H64</f>
        <v>0</v>
      </c>
      <c r="N64" s="253"/>
      <c r="O64" s="253"/>
      <c r="P64" s="253"/>
      <c r="Q64" s="253"/>
    </row>
    <row r="65" spans="1:17" s="247" customFormat="1" ht="16.2">
      <c r="A65" s="248"/>
      <c r="B65" s="250" t="s">
        <v>736</v>
      </c>
      <c r="C65" s="249" t="s">
        <v>272</v>
      </c>
      <c r="D65" s="248" t="s">
        <v>6</v>
      </c>
      <c r="E65" s="248">
        <v>1.0149999999999999</v>
      </c>
      <c r="F65" s="248">
        <f>E65*F62</f>
        <v>4.3848000000000003</v>
      </c>
      <c r="G65" s="809">
        <v>0</v>
      </c>
      <c r="H65" s="809">
        <f>G65*F65</f>
        <v>0</v>
      </c>
      <c r="I65" s="809"/>
      <c r="J65" s="809"/>
      <c r="K65" s="809"/>
      <c r="L65" s="809"/>
      <c r="M65" s="809">
        <f t="shared" ref="M65:M71" si="4">H65+J65+L65</f>
        <v>0</v>
      </c>
      <c r="N65" s="253"/>
      <c r="O65" s="253"/>
      <c r="P65" s="253"/>
      <c r="Q65" s="253"/>
    </row>
    <row r="66" spans="1:17" s="247" customFormat="1" ht="16.2">
      <c r="A66" s="248"/>
      <c r="B66" s="250" t="s">
        <v>737</v>
      </c>
      <c r="C66" s="249" t="s">
        <v>266</v>
      </c>
      <c r="D66" s="248" t="s">
        <v>6</v>
      </c>
      <c r="E66" s="248">
        <f>10.2*0.01</f>
        <v>0.10199999999999999</v>
      </c>
      <c r="F66" s="248">
        <f>E66*F62</f>
        <v>0.44063999999999998</v>
      </c>
      <c r="G66" s="809">
        <v>0</v>
      </c>
      <c r="H66" s="809">
        <f>G66*F66</f>
        <v>0</v>
      </c>
      <c r="I66" s="809"/>
      <c r="J66" s="809"/>
      <c r="K66" s="809"/>
      <c r="L66" s="809"/>
      <c r="M66" s="809">
        <f t="shared" si="4"/>
        <v>0</v>
      </c>
      <c r="N66" s="253"/>
      <c r="O66" s="253"/>
      <c r="P66" s="253"/>
      <c r="Q66" s="253"/>
    </row>
    <row r="67" spans="1:17" s="247" customFormat="1" ht="16.2">
      <c r="A67" s="248"/>
      <c r="B67" s="250" t="s">
        <v>738</v>
      </c>
      <c r="C67" s="249" t="s">
        <v>267</v>
      </c>
      <c r="D67" s="248" t="s">
        <v>6</v>
      </c>
      <c r="E67" s="248">
        <f>7.3*0.01</f>
        <v>7.2999999999999995E-2</v>
      </c>
      <c r="F67" s="248">
        <f>E67*F62</f>
        <v>0.31535999999999997</v>
      </c>
      <c r="G67" s="809">
        <v>0</v>
      </c>
      <c r="H67" s="809">
        <f>G67*F67</f>
        <v>0</v>
      </c>
      <c r="I67" s="809"/>
      <c r="J67" s="809"/>
      <c r="K67" s="809"/>
      <c r="L67" s="809"/>
      <c r="M67" s="809">
        <f t="shared" si="4"/>
        <v>0</v>
      </c>
      <c r="N67" s="253"/>
      <c r="O67" s="253"/>
      <c r="P67" s="253"/>
      <c r="Q67" s="253"/>
    </row>
    <row r="68" spans="1:17" s="247" customFormat="1" ht="16.2">
      <c r="A68" s="248"/>
      <c r="B68" s="250" t="s">
        <v>739</v>
      </c>
      <c r="C68" s="249" t="s">
        <v>268</v>
      </c>
      <c r="D68" s="248" t="s">
        <v>70</v>
      </c>
      <c r="E68" s="248">
        <v>0.9</v>
      </c>
      <c r="F68" s="248">
        <f>E68*F62</f>
        <v>3.8880000000000003</v>
      </c>
      <c r="G68" s="809">
        <v>0</v>
      </c>
      <c r="H68" s="809">
        <f>G68*F68</f>
        <v>0</v>
      </c>
      <c r="I68" s="809"/>
      <c r="J68" s="809"/>
      <c r="K68" s="809"/>
      <c r="L68" s="809"/>
      <c r="M68" s="809">
        <f t="shared" si="4"/>
        <v>0</v>
      </c>
      <c r="N68" s="253"/>
      <c r="O68" s="253"/>
      <c r="P68" s="253"/>
      <c r="Q68" s="253"/>
    </row>
    <row r="69" spans="1:17" s="247" customFormat="1" ht="16.2">
      <c r="A69" s="248"/>
      <c r="B69" s="250"/>
      <c r="C69" s="249" t="s">
        <v>94</v>
      </c>
      <c r="D69" s="248" t="s">
        <v>262</v>
      </c>
      <c r="E69" s="248">
        <v>1.67</v>
      </c>
      <c r="F69" s="248">
        <f>E69*F62</f>
        <v>7.2144000000000004</v>
      </c>
      <c r="G69" s="809">
        <v>0</v>
      </c>
      <c r="H69" s="809">
        <f>F69*G69</f>
        <v>0</v>
      </c>
      <c r="I69" s="809"/>
      <c r="J69" s="809"/>
      <c r="K69" s="809"/>
      <c r="L69" s="809"/>
      <c r="M69" s="809">
        <f t="shared" si="4"/>
        <v>0</v>
      </c>
      <c r="N69" s="253"/>
      <c r="O69" s="253"/>
      <c r="P69" s="253"/>
      <c r="Q69" s="253"/>
    </row>
    <row r="70" spans="1:17" s="247" customFormat="1" ht="16.2">
      <c r="A70" s="248"/>
      <c r="B70" s="250" t="s">
        <v>439</v>
      </c>
      <c r="C70" s="249" t="s">
        <v>269</v>
      </c>
      <c r="D70" s="248" t="s">
        <v>70</v>
      </c>
      <c r="E70" s="248"/>
      <c r="F70" s="248">
        <f>418.7+418.7</f>
        <v>837.4</v>
      </c>
      <c r="G70" s="809">
        <v>0</v>
      </c>
      <c r="H70" s="809">
        <f>F70*G70</f>
        <v>0</v>
      </c>
      <c r="I70" s="809"/>
      <c r="J70" s="809"/>
      <c r="K70" s="809"/>
      <c r="L70" s="809"/>
      <c r="M70" s="809">
        <f t="shared" si="4"/>
        <v>0</v>
      </c>
      <c r="N70" s="253"/>
      <c r="O70" s="253"/>
      <c r="P70" s="253"/>
      <c r="Q70" s="253"/>
    </row>
    <row r="71" spans="1:17" s="247" customFormat="1" ht="16.2">
      <c r="A71" s="248"/>
      <c r="B71" s="250" t="s">
        <v>740</v>
      </c>
      <c r="C71" s="249" t="s">
        <v>270</v>
      </c>
      <c r="D71" s="248" t="s">
        <v>70</v>
      </c>
      <c r="E71" s="248"/>
      <c r="F71" s="248">
        <f>F70*10%</f>
        <v>83.740000000000009</v>
      </c>
      <c r="G71" s="809">
        <v>0</v>
      </c>
      <c r="H71" s="809">
        <f>F71*G71</f>
        <v>0</v>
      </c>
      <c r="I71" s="809"/>
      <c r="J71" s="809"/>
      <c r="K71" s="809"/>
      <c r="L71" s="809"/>
      <c r="M71" s="809">
        <f t="shared" si="4"/>
        <v>0</v>
      </c>
      <c r="N71" s="253"/>
      <c r="O71" s="253"/>
      <c r="P71" s="253"/>
      <c r="Q71" s="253"/>
    </row>
    <row r="72" spans="1:17" s="247" customFormat="1" ht="30">
      <c r="A72" s="95">
        <v>8</v>
      </c>
      <c r="B72" s="623" t="s">
        <v>104</v>
      </c>
      <c r="C72" s="98" t="s">
        <v>287</v>
      </c>
      <c r="D72" s="95" t="s">
        <v>288</v>
      </c>
      <c r="E72" s="95"/>
      <c r="F72" s="95">
        <v>1.69</v>
      </c>
      <c r="G72" s="845"/>
      <c r="H72" s="845"/>
      <c r="I72" s="845"/>
      <c r="J72" s="845"/>
      <c r="K72" s="845"/>
      <c r="L72" s="845"/>
      <c r="M72" s="845">
        <f>SUM(M73:M77)</f>
        <v>0</v>
      </c>
      <c r="N72" s="253"/>
      <c r="O72" s="253"/>
      <c r="P72" s="253"/>
      <c r="Q72" s="253"/>
    </row>
    <row r="73" spans="1:17" s="247" customFormat="1" ht="16.2">
      <c r="A73" s="248"/>
      <c r="B73" s="250"/>
      <c r="C73" s="249" t="s">
        <v>58</v>
      </c>
      <c r="D73" s="248" t="s">
        <v>5</v>
      </c>
      <c r="E73" s="248">
        <v>48.6</v>
      </c>
      <c r="F73" s="248">
        <f>F72*E73</f>
        <v>82.134</v>
      </c>
      <c r="G73" s="809"/>
      <c r="H73" s="809"/>
      <c r="I73" s="809">
        <v>0</v>
      </c>
      <c r="J73" s="809">
        <f>I73*F73</f>
        <v>0</v>
      </c>
      <c r="K73" s="809"/>
      <c r="L73" s="809"/>
      <c r="M73" s="809">
        <f>L73+J73+H73</f>
        <v>0</v>
      </c>
      <c r="N73" s="253"/>
      <c r="O73" s="253"/>
      <c r="P73" s="253"/>
      <c r="Q73" s="253"/>
    </row>
    <row r="74" spans="1:17" s="247" customFormat="1" ht="16.2">
      <c r="A74" s="248"/>
      <c r="B74" s="250"/>
      <c r="C74" s="249" t="s">
        <v>59</v>
      </c>
      <c r="D74" s="248" t="s">
        <v>69</v>
      </c>
      <c r="E74" s="248">
        <v>1.66</v>
      </c>
      <c r="F74" s="248">
        <f>E74*F72</f>
        <v>2.8053999999999997</v>
      </c>
      <c r="G74" s="809"/>
      <c r="H74" s="809"/>
      <c r="I74" s="809"/>
      <c r="J74" s="809"/>
      <c r="K74" s="809">
        <v>0</v>
      </c>
      <c r="L74" s="809">
        <f>F74*K74</f>
        <v>0</v>
      </c>
      <c r="M74" s="809">
        <f>L74+J74+H74</f>
        <v>0</v>
      </c>
      <c r="N74" s="253"/>
      <c r="O74" s="253"/>
      <c r="P74" s="253"/>
      <c r="Q74" s="253"/>
    </row>
    <row r="75" spans="1:17" s="247" customFormat="1" ht="16.2">
      <c r="A75" s="248"/>
      <c r="B75" s="624" t="s">
        <v>141</v>
      </c>
      <c r="C75" s="249" t="s">
        <v>289</v>
      </c>
      <c r="D75" s="248" t="s">
        <v>67</v>
      </c>
      <c r="E75" s="248">
        <v>0.3</v>
      </c>
      <c r="F75" s="248">
        <f>E75*F72</f>
        <v>0.50700000000000001</v>
      </c>
      <c r="G75" s="809">
        <v>0</v>
      </c>
      <c r="H75" s="809">
        <f>F75*G75</f>
        <v>0</v>
      </c>
      <c r="I75" s="809"/>
      <c r="J75" s="809"/>
      <c r="K75" s="809"/>
      <c r="L75" s="809"/>
      <c r="M75" s="809">
        <f>L75+J75+H75</f>
        <v>0</v>
      </c>
      <c r="N75" s="253"/>
      <c r="O75" s="253"/>
      <c r="P75" s="253"/>
      <c r="Q75" s="253"/>
    </row>
    <row r="76" spans="1:17" s="247" customFormat="1" ht="16.2">
      <c r="A76" s="248"/>
      <c r="B76" s="250" t="s">
        <v>744</v>
      </c>
      <c r="C76" s="249" t="s">
        <v>290</v>
      </c>
      <c r="D76" s="248" t="s">
        <v>6</v>
      </c>
      <c r="E76" s="248">
        <v>0.19</v>
      </c>
      <c r="F76" s="248">
        <f>E76*F72</f>
        <v>0.3211</v>
      </c>
      <c r="G76" s="809">
        <v>0</v>
      </c>
      <c r="H76" s="809">
        <f>G76*F76</f>
        <v>0</v>
      </c>
      <c r="I76" s="809"/>
      <c r="J76" s="809"/>
      <c r="K76" s="809"/>
      <c r="L76" s="809"/>
      <c r="M76" s="809">
        <f>L76+J76+H76</f>
        <v>0</v>
      </c>
      <c r="N76" s="253"/>
      <c r="O76" s="253"/>
      <c r="P76" s="253"/>
      <c r="Q76" s="253"/>
    </row>
    <row r="77" spans="1:17" s="247" customFormat="1" ht="16.2">
      <c r="A77" s="248"/>
      <c r="B77" s="250"/>
      <c r="C77" s="249" t="s">
        <v>68</v>
      </c>
      <c r="D77" s="248" t="s">
        <v>69</v>
      </c>
      <c r="E77" s="248">
        <v>1.22</v>
      </c>
      <c r="F77" s="248">
        <f>E77*F72</f>
        <v>2.0617999999999999</v>
      </c>
      <c r="G77" s="809">
        <v>0</v>
      </c>
      <c r="H77" s="809">
        <f>F77*G77</f>
        <v>0</v>
      </c>
      <c r="I77" s="809"/>
      <c r="J77" s="809"/>
      <c r="K77" s="809"/>
      <c r="L77" s="809"/>
      <c r="M77" s="809">
        <f>L77+J77+H77</f>
        <v>0</v>
      </c>
      <c r="N77" s="253"/>
      <c r="O77" s="253"/>
      <c r="P77" s="253"/>
      <c r="Q77" s="253"/>
    </row>
    <row r="78" spans="1:17" s="247" customFormat="1" ht="30">
      <c r="A78" s="95">
        <v>9</v>
      </c>
      <c r="B78" s="623" t="s">
        <v>104</v>
      </c>
      <c r="C78" s="98" t="s">
        <v>291</v>
      </c>
      <c r="D78" s="95" t="s">
        <v>288</v>
      </c>
      <c r="E78" s="95"/>
      <c r="F78" s="95">
        <v>2.11</v>
      </c>
      <c r="G78" s="845"/>
      <c r="H78" s="845"/>
      <c r="I78" s="845"/>
      <c r="J78" s="845"/>
      <c r="K78" s="845"/>
      <c r="L78" s="845"/>
      <c r="M78" s="845">
        <f>SUM(M79:M83)</f>
        <v>0</v>
      </c>
      <c r="N78" s="253"/>
      <c r="O78" s="253"/>
      <c r="P78" s="253"/>
      <c r="Q78" s="253"/>
    </row>
    <row r="79" spans="1:17" s="247" customFormat="1" ht="16.2">
      <c r="A79" s="248"/>
      <c r="B79" s="250"/>
      <c r="C79" s="249" t="s">
        <v>58</v>
      </c>
      <c r="D79" s="248" t="s">
        <v>5</v>
      </c>
      <c r="E79" s="248">
        <v>48.6</v>
      </c>
      <c r="F79" s="248">
        <f>F78*E79</f>
        <v>102.54599999999999</v>
      </c>
      <c r="G79" s="809"/>
      <c r="H79" s="809"/>
      <c r="I79" s="809">
        <v>0</v>
      </c>
      <c r="J79" s="809">
        <f>I79*F79</f>
        <v>0</v>
      </c>
      <c r="K79" s="809"/>
      <c r="L79" s="809"/>
      <c r="M79" s="809">
        <f>L79+J79+H79</f>
        <v>0</v>
      </c>
      <c r="N79" s="253"/>
      <c r="O79" s="253"/>
      <c r="P79" s="253"/>
      <c r="Q79" s="253"/>
    </row>
    <row r="80" spans="1:17" s="247" customFormat="1" ht="16.2">
      <c r="A80" s="248"/>
      <c r="B80" s="250"/>
      <c r="C80" s="249" t="s">
        <v>59</v>
      </c>
      <c r="D80" s="248" t="s">
        <v>69</v>
      </c>
      <c r="E80" s="248">
        <v>1.66</v>
      </c>
      <c r="F80" s="248">
        <f>E80*F78</f>
        <v>3.5025999999999997</v>
      </c>
      <c r="G80" s="809"/>
      <c r="H80" s="809"/>
      <c r="I80" s="809"/>
      <c r="J80" s="809"/>
      <c r="K80" s="809">
        <v>0</v>
      </c>
      <c r="L80" s="809">
        <f>F80*K80</f>
        <v>0</v>
      </c>
      <c r="M80" s="809">
        <f>L80+J80+H80</f>
        <v>0</v>
      </c>
      <c r="N80" s="253"/>
      <c r="O80" s="253"/>
      <c r="P80" s="253"/>
      <c r="Q80" s="253"/>
    </row>
    <row r="81" spans="1:17" s="247" customFormat="1" ht="16.2">
      <c r="A81" s="248"/>
      <c r="B81" s="624" t="s">
        <v>141</v>
      </c>
      <c r="C81" s="249" t="s">
        <v>289</v>
      </c>
      <c r="D81" s="248" t="s">
        <v>67</v>
      </c>
      <c r="E81" s="248">
        <v>0.3</v>
      </c>
      <c r="F81" s="248">
        <f>E81*F78</f>
        <v>0.6329999999999999</v>
      </c>
      <c r="G81" s="809">
        <v>0</v>
      </c>
      <c r="H81" s="809">
        <f>F81*G81</f>
        <v>0</v>
      </c>
      <c r="I81" s="809"/>
      <c r="J81" s="809"/>
      <c r="K81" s="809"/>
      <c r="L81" s="809"/>
      <c r="M81" s="809">
        <f>L81+J81+H81</f>
        <v>0</v>
      </c>
      <c r="N81" s="253"/>
      <c r="O81" s="253"/>
      <c r="P81" s="253"/>
      <c r="Q81" s="253"/>
    </row>
    <row r="82" spans="1:17" s="247" customFormat="1" ht="16.2">
      <c r="A82" s="248"/>
      <c r="B82" s="250" t="s">
        <v>744</v>
      </c>
      <c r="C82" s="249" t="s">
        <v>290</v>
      </c>
      <c r="D82" s="248" t="s">
        <v>6</v>
      </c>
      <c r="E82" s="248">
        <v>0.19</v>
      </c>
      <c r="F82" s="248">
        <f>E82*F78</f>
        <v>0.40089999999999998</v>
      </c>
      <c r="G82" s="809">
        <v>0</v>
      </c>
      <c r="H82" s="809">
        <f>G82*F82</f>
        <v>0</v>
      </c>
      <c r="I82" s="809"/>
      <c r="J82" s="809"/>
      <c r="K82" s="809"/>
      <c r="L82" s="809"/>
      <c r="M82" s="809">
        <f>L82+J82+H82</f>
        <v>0</v>
      </c>
      <c r="N82" s="253"/>
      <c r="O82" s="253"/>
      <c r="P82" s="253"/>
      <c r="Q82" s="253"/>
    </row>
    <row r="83" spans="1:17" s="247" customFormat="1" ht="16.2">
      <c r="A83" s="248"/>
      <c r="B83" s="250"/>
      <c r="C83" s="249" t="s">
        <v>68</v>
      </c>
      <c r="D83" s="248" t="s">
        <v>69</v>
      </c>
      <c r="E83" s="248">
        <v>1.22</v>
      </c>
      <c r="F83" s="248">
        <f>E83*F78</f>
        <v>2.5741999999999998</v>
      </c>
      <c r="G83" s="809">
        <v>0</v>
      </c>
      <c r="H83" s="809">
        <f>F83*G83</f>
        <v>0</v>
      </c>
      <c r="I83" s="809"/>
      <c r="J83" s="809"/>
      <c r="K83" s="809"/>
      <c r="L83" s="809"/>
      <c r="M83" s="809">
        <f>L83+J83+H83</f>
        <v>0</v>
      </c>
      <c r="N83" s="253"/>
      <c r="O83" s="253"/>
      <c r="P83" s="253"/>
      <c r="Q83" s="253"/>
    </row>
    <row r="84" spans="1:17" s="247" customFormat="1" ht="16.2">
      <c r="A84" s="95">
        <v>10</v>
      </c>
      <c r="B84" s="623" t="s">
        <v>98</v>
      </c>
      <c r="C84" s="98" t="s">
        <v>292</v>
      </c>
      <c r="D84" s="95" t="s">
        <v>65</v>
      </c>
      <c r="E84" s="95"/>
      <c r="F84" s="95">
        <v>4</v>
      </c>
      <c r="G84" s="845"/>
      <c r="H84" s="845"/>
      <c r="I84" s="845"/>
      <c r="J84" s="845"/>
      <c r="K84" s="845"/>
      <c r="L84" s="845"/>
      <c r="M84" s="845">
        <f>SUM(M85:M87)</f>
        <v>0</v>
      </c>
      <c r="N84" s="253"/>
      <c r="O84" s="253"/>
      <c r="P84" s="253"/>
      <c r="Q84" s="253"/>
    </row>
    <row r="85" spans="1:17" s="247" customFormat="1" ht="16.2">
      <c r="A85" s="248"/>
      <c r="B85" s="250"/>
      <c r="C85" s="249" t="s">
        <v>58</v>
      </c>
      <c r="D85" s="248" t="s">
        <v>5</v>
      </c>
      <c r="E85" s="248">
        <v>2.69</v>
      </c>
      <c r="F85" s="248">
        <f>F84*E85</f>
        <v>10.76</v>
      </c>
      <c r="G85" s="809"/>
      <c r="H85" s="809"/>
      <c r="I85" s="809">
        <v>0</v>
      </c>
      <c r="J85" s="809">
        <f>I85*F85</f>
        <v>0</v>
      </c>
      <c r="K85" s="809"/>
      <c r="L85" s="809"/>
      <c r="M85" s="809">
        <f t="shared" ref="M85:M122" si="5">L85+J85+H85</f>
        <v>0</v>
      </c>
      <c r="N85" s="253"/>
      <c r="O85" s="253"/>
      <c r="P85" s="253"/>
      <c r="Q85" s="253"/>
    </row>
    <row r="86" spans="1:17" s="247" customFormat="1" ht="16.2">
      <c r="A86" s="248"/>
      <c r="B86" s="250"/>
      <c r="C86" s="249" t="s">
        <v>59</v>
      </c>
      <c r="D86" s="248" t="s">
        <v>69</v>
      </c>
      <c r="E86" s="248">
        <v>0.01</v>
      </c>
      <c r="F86" s="248">
        <f>E86*F84</f>
        <v>0.04</v>
      </c>
      <c r="G86" s="809"/>
      <c r="H86" s="809"/>
      <c r="I86" s="809"/>
      <c r="J86" s="809"/>
      <c r="K86" s="809">
        <v>0</v>
      </c>
      <c r="L86" s="809">
        <f>F86*K86</f>
        <v>0</v>
      </c>
      <c r="M86" s="809">
        <f t="shared" si="5"/>
        <v>0</v>
      </c>
      <c r="N86" s="253"/>
      <c r="O86" s="253"/>
      <c r="P86" s="253"/>
      <c r="Q86" s="253"/>
    </row>
    <row r="87" spans="1:17" s="247" customFormat="1" ht="16.2">
      <c r="A87" s="248"/>
      <c r="B87" s="250"/>
      <c r="C87" s="249" t="s">
        <v>68</v>
      </c>
      <c r="D87" s="248" t="s">
        <v>69</v>
      </c>
      <c r="E87" s="248">
        <v>7.3</v>
      </c>
      <c r="F87" s="248">
        <f>E87*F84</f>
        <v>29.2</v>
      </c>
      <c r="G87" s="809">
        <v>0</v>
      </c>
      <c r="H87" s="809">
        <f>F87*G87</f>
        <v>0</v>
      </c>
      <c r="I87" s="809"/>
      <c r="J87" s="809"/>
      <c r="K87" s="809"/>
      <c r="L87" s="809"/>
      <c r="M87" s="809">
        <f t="shared" si="5"/>
        <v>0</v>
      </c>
      <c r="N87" s="253"/>
      <c r="O87" s="253"/>
      <c r="P87" s="253"/>
      <c r="Q87" s="253"/>
    </row>
    <row r="88" spans="1:17" s="247" customFormat="1" ht="16.2">
      <c r="A88" s="95">
        <v>11</v>
      </c>
      <c r="B88" s="623" t="s">
        <v>293</v>
      </c>
      <c r="C88" s="98" t="s">
        <v>294</v>
      </c>
      <c r="D88" s="95" t="s">
        <v>67</v>
      </c>
      <c r="E88" s="95"/>
      <c r="F88" s="95">
        <v>0.31</v>
      </c>
      <c r="G88" s="845"/>
      <c r="H88" s="845"/>
      <c r="I88" s="845"/>
      <c r="J88" s="845"/>
      <c r="K88" s="845"/>
      <c r="L88" s="845"/>
      <c r="M88" s="845">
        <f>SUM(M89:M95)</f>
        <v>0</v>
      </c>
      <c r="N88" s="253"/>
      <c r="O88" s="253"/>
      <c r="P88" s="253"/>
      <c r="Q88" s="253"/>
    </row>
    <row r="89" spans="1:17" s="247" customFormat="1" ht="16.2">
      <c r="A89" s="248"/>
      <c r="B89" s="250"/>
      <c r="C89" s="249" t="s">
        <v>58</v>
      </c>
      <c r="D89" s="248" t="s">
        <v>5</v>
      </c>
      <c r="E89" s="248">
        <v>22.6</v>
      </c>
      <c r="F89" s="248">
        <f>F88*E89</f>
        <v>7.0060000000000002</v>
      </c>
      <c r="G89" s="809"/>
      <c r="H89" s="809"/>
      <c r="I89" s="809">
        <v>0</v>
      </c>
      <c r="J89" s="809">
        <f>I89*F89</f>
        <v>0</v>
      </c>
      <c r="K89" s="809"/>
      <c r="L89" s="809"/>
      <c r="M89" s="809">
        <f t="shared" si="5"/>
        <v>0</v>
      </c>
      <c r="N89" s="253"/>
      <c r="O89" s="253"/>
      <c r="P89" s="253"/>
      <c r="Q89" s="253"/>
    </row>
    <row r="90" spans="1:17" s="247" customFormat="1" ht="16.2">
      <c r="A90" s="248"/>
      <c r="B90" s="250" t="s">
        <v>754</v>
      </c>
      <c r="C90" s="249" t="s">
        <v>295</v>
      </c>
      <c r="D90" s="248" t="s">
        <v>229</v>
      </c>
      <c r="E90" s="248">
        <v>5.45</v>
      </c>
      <c r="F90" s="248">
        <f>E90*F88</f>
        <v>1.6895</v>
      </c>
      <c r="G90" s="809"/>
      <c r="H90" s="809"/>
      <c r="I90" s="809"/>
      <c r="J90" s="809"/>
      <c r="K90" s="809">
        <v>0</v>
      </c>
      <c r="L90" s="809">
        <f>K90*F90</f>
        <v>0</v>
      </c>
      <c r="M90" s="809">
        <f t="shared" si="5"/>
        <v>0</v>
      </c>
      <c r="N90" s="253"/>
      <c r="O90" s="253"/>
      <c r="P90" s="253"/>
      <c r="Q90" s="253"/>
    </row>
    <row r="91" spans="1:17" s="247" customFormat="1" ht="16.2">
      <c r="A91" s="248"/>
      <c r="B91" s="250"/>
      <c r="C91" s="249" t="s">
        <v>64</v>
      </c>
      <c r="D91" s="248" t="s">
        <v>7</v>
      </c>
      <c r="E91" s="248">
        <v>1.33</v>
      </c>
      <c r="F91" s="248">
        <f>E91*F88</f>
        <v>0.4123</v>
      </c>
      <c r="G91" s="809">
        <v>0</v>
      </c>
      <c r="H91" s="809">
        <f>F91*G91</f>
        <v>0</v>
      </c>
      <c r="I91" s="809"/>
      <c r="J91" s="809"/>
      <c r="K91" s="809">
        <v>0</v>
      </c>
      <c r="L91" s="809">
        <f>K91*F91</f>
        <v>0</v>
      </c>
      <c r="M91" s="809">
        <f t="shared" si="5"/>
        <v>0</v>
      </c>
      <c r="N91" s="253"/>
      <c r="O91" s="253"/>
      <c r="P91" s="253"/>
      <c r="Q91" s="253"/>
    </row>
    <row r="92" spans="1:17" s="247" customFormat="1" ht="16.2">
      <c r="A92" s="248"/>
      <c r="B92" s="250" t="s">
        <v>745</v>
      </c>
      <c r="C92" s="249" t="s">
        <v>296</v>
      </c>
      <c r="D92" s="248" t="s">
        <v>67</v>
      </c>
      <c r="E92" s="248">
        <v>1</v>
      </c>
      <c r="F92" s="248">
        <f>E92*F88</f>
        <v>0.31</v>
      </c>
      <c r="G92" s="809">
        <v>0</v>
      </c>
      <c r="H92" s="809">
        <f>F92*G92</f>
        <v>0</v>
      </c>
      <c r="I92" s="809"/>
      <c r="J92" s="809"/>
      <c r="K92" s="809"/>
      <c r="L92" s="809"/>
      <c r="M92" s="809">
        <f t="shared" si="5"/>
        <v>0</v>
      </c>
      <c r="N92" s="723"/>
      <c r="O92" s="724"/>
      <c r="P92" s="724"/>
      <c r="Q92" s="724"/>
    </row>
    <row r="93" spans="1:17" s="247" customFormat="1" ht="16.2">
      <c r="A93" s="248"/>
      <c r="B93" s="250" t="s">
        <v>743</v>
      </c>
      <c r="C93" s="249" t="s">
        <v>297</v>
      </c>
      <c r="D93" s="248" t="s">
        <v>70</v>
      </c>
      <c r="E93" s="248">
        <v>2.4</v>
      </c>
      <c r="F93" s="248">
        <f>E93*F88</f>
        <v>0.74399999999999999</v>
      </c>
      <c r="G93" s="858">
        <v>0</v>
      </c>
      <c r="H93" s="809">
        <f>F93*G93</f>
        <v>0</v>
      </c>
      <c r="I93" s="809"/>
      <c r="J93" s="809"/>
      <c r="K93" s="809"/>
      <c r="L93" s="809"/>
      <c r="M93" s="809">
        <f t="shared" si="5"/>
        <v>0</v>
      </c>
      <c r="N93" s="253"/>
      <c r="O93" s="253"/>
      <c r="P93" s="253"/>
      <c r="Q93" s="253"/>
    </row>
    <row r="94" spans="1:17" s="247" customFormat="1" ht="16.2">
      <c r="A94" s="248"/>
      <c r="B94" s="250" t="s">
        <v>739</v>
      </c>
      <c r="C94" s="249" t="s">
        <v>298</v>
      </c>
      <c r="D94" s="248" t="s">
        <v>70</v>
      </c>
      <c r="E94" s="248">
        <v>13.4</v>
      </c>
      <c r="F94" s="248">
        <f>E94*F88</f>
        <v>4.1539999999999999</v>
      </c>
      <c r="G94" s="809">
        <v>0</v>
      </c>
      <c r="H94" s="809">
        <f>F94*G94</f>
        <v>0</v>
      </c>
      <c r="I94" s="809"/>
      <c r="J94" s="809"/>
      <c r="K94" s="809"/>
      <c r="L94" s="809"/>
      <c r="M94" s="809">
        <f t="shared" si="5"/>
        <v>0</v>
      </c>
      <c r="N94" s="253"/>
      <c r="O94" s="253"/>
      <c r="P94" s="253"/>
      <c r="Q94" s="253"/>
    </row>
    <row r="95" spans="1:17" s="247" customFormat="1" ht="16.2">
      <c r="A95" s="248"/>
      <c r="B95" s="250"/>
      <c r="C95" s="249" t="s">
        <v>68</v>
      </c>
      <c r="D95" s="248" t="s">
        <v>69</v>
      </c>
      <c r="E95" s="248">
        <v>2.78</v>
      </c>
      <c r="F95" s="248">
        <f>E95*F88</f>
        <v>0.8617999999999999</v>
      </c>
      <c r="G95" s="809">
        <v>0</v>
      </c>
      <c r="H95" s="809">
        <f>F95*G95</f>
        <v>0</v>
      </c>
      <c r="I95" s="809"/>
      <c r="J95" s="809"/>
      <c r="K95" s="809"/>
      <c r="L95" s="809"/>
      <c r="M95" s="809">
        <f t="shared" si="5"/>
        <v>0</v>
      </c>
      <c r="N95" s="253"/>
      <c r="O95" s="253"/>
      <c r="P95" s="253"/>
      <c r="Q95" s="253"/>
    </row>
    <row r="96" spans="1:17" s="247" customFormat="1" ht="16.2">
      <c r="A96" s="95">
        <v>12</v>
      </c>
      <c r="B96" s="623" t="s">
        <v>299</v>
      </c>
      <c r="C96" s="98" t="s">
        <v>300</v>
      </c>
      <c r="D96" s="95" t="s">
        <v>65</v>
      </c>
      <c r="E96" s="95"/>
      <c r="F96" s="95">
        <v>3</v>
      </c>
      <c r="G96" s="845"/>
      <c r="H96" s="845"/>
      <c r="I96" s="845"/>
      <c r="J96" s="845"/>
      <c r="K96" s="845"/>
      <c r="L96" s="845"/>
      <c r="M96" s="845">
        <f>SUM(M97:M100)</f>
        <v>0</v>
      </c>
      <c r="N96" s="253"/>
      <c r="O96" s="253"/>
      <c r="P96" s="253"/>
      <c r="Q96" s="253"/>
    </row>
    <row r="97" spans="1:17" s="247" customFormat="1" ht="16.2">
      <c r="A97" s="248"/>
      <c r="B97" s="250"/>
      <c r="C97" s="249" t="s">
        <v>58</v>
      </c>
      <c r="D97" s="248" t="s">
        <v>5</v>
      </c>
      <c r="E97" s="248">
        <v>1.54</v>
      </c>
      <c r="F97" s="248">
        <f>E97*F96</f>
        <v>4.62</v>
      </c>
      <c r="G97" s="809"/>
      <c r="H97" s="809"/>
      <c r="I97" s="809">
        <v>0</v>
      </c>
      <c r="J97" s="809">
        <f>I97*F97</f>
        <v>0</v>
      </c>
      <c r="K97" s="809"/>
      <c r="L97" s="809"/>
      <c r="M97" s="809">
        <f t="shared" si="5"/>
        <v>0</v>
      </c>
      <c r="N97" s="253"/>
      <c r="O97" s="253"/>
      <c r="P97" s="253"/>
      <c r="Q97" s="253"/>
    </row>
    <row r="98" spans="1:17" s="247" customFormat="1" ht="16.2">
      <c r="A98" s="248"/>
      <c r="B98" s="250"/>
      <c r="C98" s="249" t="s">
        <v>64</v>
      </c>
      <c r="D98" s="248" t="s">
        <v>69</v>
      </c>
      <c r="E98" s="248">
        <v>0.09</v>
      </c>
      <c r="F98" s="248">
        <f>E98*F96</f>
        <v>0.27</v>
      </c>
      <c r="G98" s="809"/>
      <c r="H98" s="809"/>
      <c r="I98" s="809"/>
      <c r="J98" s="809"/>
      <c r="K98" s="809">
        <v>0</v>
      </c>
      <c r="L98" s="809">
        <f>F98*K98</f>
        <v>0</v>
      </c>
      <c r="M98" s="809">
        <f t="shared" si="5"/>
        <v>0</v>
      </c>
      <c r="N98" s="253"/>
      <c r="O98" s="253"/>
      <c r="P98" s="253"/>
      <c r="Q98" s="253"/>
    </row>
    <row r="99" spans="1:17" s="247" customFormat="1" ht="16.2">
      <c r="A99" s="248"/>
      <c r="B99" s="250" t="s">
        <v>746</v>
      </c>
      <c r="C99" s="249" t="s">
        <v>301</v>
      </c>
      <c r="D99" s="248" t="s">
        <v>65</v>
      </c>
      <c r="E99" s="248">
        <v>1</v>
      </c>
      <c r="F99" s="248">
        <f>E99*F96</f>
        <v>3</v>
      </c>
      <c r="G99" s="809">
        <v>0</v>
      </c>
      <c r="H99" s="809">
        <f>F99*G99</f>
        <v>0</v>
      </c>
      <c r="I99" s="809"/>
      <c r="J99" s="809"/>
      <c r="K99" s="809"/>
      <c r="L99" s="809"/>
      <c r="M99" s="809">
        <f t="shared" si="5"/>
        <v>0</v>
      </c>
      <c r="N99" s="253"/>
      <c r="O99" s="253"/>
      <c r="P99" s="253"/>
      <c r="Q99" s="253"/>
    </row>
    <row r="100" spans="1:17" s="247" customFormat="1" ht="16.2">
      <c r="A100" s="248"/>
      <c r="B100" s="250" t="s">
        <v>748</v>
      </c>
      <c r="C100" s="249" t="s">
        <v>302</v>
      </c>
      <c r="D100" s="248" t="s">
        <v>6</v>
      </c>
      <c r="E100" s="248">
        <v>0.01</v>
      </c>
      <c r="F100" s="248">
        <f>E100*F96</f>
        <v>0.03</v>
      </c>
      <c r="G100" s="809">
        <v>0</v>
      </c>
      <c r="H100" s="809">
        <f>F100*G100</f>
        <v>0</v>
      </c>
      <c r="I100" s="809"/>
      <c r="J100" s="809"/>
      <c r="K100" s="809"/>
      <c r="L100" s="809"/>
      <c r="M100" s="809">
        <f t="shared" si="5"/>
        <v>0</v>
      </c>
      <c r="N100" s="253"/>
      <c r="O100" s="253"/>
      <c r="P100" s="253"/>
      <c r="Q100" s="253"/>
    </row>
    <row r="101" spans="1:17" s="247" customFormat="1" ht="16.2">
      <c r="A101" s="95">
        <v>13</v>
      </c>
      <c r="B101" s="623" t="s">
        <v>303</v>
      </c>
      <c r="C101" s="98" t="s">
        <v>304</v>
      </c>
      <c r="D101" s="95" t="s">
        <v>67</v>
      </c>
      <c r="E101" s="95"/>
      <c r="F101" s="95">
        <f>0.001*15.3*4*2</f>
        <v>0.12240000000000001</v>
      </c>
      <c r="G101" s="845"/>
      <c r="H101" s="845"/>
      <c r="I101" s="845"/>
      <c r="J101" s="845"/>
      <c r="K101" s="845"/>
      <c r="L101" s="845"/>
      <c r="M101" s="845">
        <f>SUM(M102:M109)</f>
        <v>0</v>
      </c>
      <c r="N101" s="253"/>
      <c r="O101" s="253"/>
      <c r="P101" s="253"/>
      <c r="Q101" s="253"/>
    </row>
    <row r="102" spans="1:17" s="247" customFormat="1" ht="16.2">
      <c r="A102" s="248"/>
      <c r="B102" s="250"/>
      <c r="C102" s="249" t="s">
        <v>58</v>
      </c>
      <c r="D102" s="248" t="s">
        <v>5</v>
      </c>
      <c r="E102" s="248">
        <v>52.2</v>
      </c>
      <c r="F102" s="254">
        <f>E102*F101</f>
        <v>6.3892800000000012</v>
      </c>
      <c r="G102" s="809"/>
      <c r="H102" s="809"/>
      <c r="I102" s="809">
        <v>0</v>
      </c>
      <c r="J102" s="809">
        <f>I102*F102</f>
        <v>0</v>
      </c>
      <c r="K102" s="809"/>
      <c r="L102" s="809"/>
      <c r="M102" s="809">
        <f t="shared" si="5"/>
        <v>0</v>
      </c>
      <c r="N102" s="253"/>
      <c r="O102" s="253"/>
      <c r="P102" s="253"/>
      <c r="Q102" s="253"/>
    </row>
    <row r="103" spans="1:17" s="247" customFormat="1" ht="16.2">
      <c r="A103" s="248"/>
      <c r="B103" s="250" t="s">
        <v>753</v>
      </c>
      <c r="C103" s="249" t="s">
        <v>305</v>
      </c>
      <c r="D103" s="248" t="s">
        <v>229</v>
      </c>
      <c r="E103" s="248">
        <v>0.74</v>
      </c>
      <c r="F103" s="254">
        <f>E103*F101</f>
        <v>9.0576000000000004E-2</v>
      </c>
      <c r="G103" s="809"/>
      <c r="H103" s="809"/>
      <c r="I103" s="809"/>
      <c r="J103" s="809"/>
      <c r="K103" s="809">
        <v>0</v>
      </c>
      <c r="L103" s="809">
        <f>K103*F103</f>
        <v>0</v>
      </c>
      <c r="M103" s="809">
        <f t="shared" si="5"/>
        <v>0</v>
      </c>
      <c r="N103" s="253"/>
      <c r="O103" s="253"/>
      <c r="P103" s="253"/>
      <c r="Q103" s="253"/>
    </row>
    <row r="104" spans="1:17" s="247" customFormat="1" ht="16.2">
      <c r="A104" s="248"/>
      <c r="B104" s="250"/>
      <c r="C104" s="249" t="s">
        <v>64</v>
      </c>
      <c r="D104" s="248" t="s">
        <v>69</v>
      </c>
      <c r="E104" s="248">
        <v>8.2899999999999991</v>
      </c>
      <c r="F104" s="254">
        <f>E104*F101</f>
        <v>1.014696</v>
      </c>
      <c r="G104" s="809"/>
      <c r="H104" s="809"/>
      <c r="I104" s="809"/>
      <c r="J104" s="809"/>
      <c r="K104" s="809">
        <v>0</v>
      </c>
      <c r="L104" s="809">
        <f>F104*K104</f>
        <v>0</v>
      </c>
      <c r="M104" s="809">
        <f t="shared" si="5"/>
        <v>0</v>
      </c>
      <c r="N104" s="253"/>
      <c r="O104" s="253"/>
      <c r="P104" s="253"/>
      <c r="Q104" s="253"/>
    </row>
    <row r="105" spans="1:17" s="247" customFormat="1" ht="16.2">
      <c r="A105" s="248"/>
      <c r="B105" s="250" t="s">
        <v>747</v>
      </c>
      <c r="C105" s="249" t="s">
        <v>307</v>
      </c>
      <c r="D105" s="248" t="s">
        <v>67</v>
      </c>
      <c r="E105" s="248"/>
      <c r="F105" s="254">
        <f>F101</f>
        <v>0.12240000000000001</v>
      </c>
      <c r="G105" s="809">
        <v>0</v>
      </c>
      <c r="H105" s="809">
        <f>F105*G105</f>
        <v>0</v>
      </c>
      <c r="I105" s="809"/>
      <c r="J105" s="809"/>
      <c r="K105" s="809"/>
      <c r="L105" s="809"/>
      <c r="M105" s="809">
        <f t="shared" si="5"/>
        <v>0</v>
      </c>
      <c r="N105" s="723"/>
      <c r="O105" s="724"/>
      <c r="P105" s="724"/>
      <c r="Q105" s="724"/>
    </row>
    <row r="106" spans="1:17" s="247" customFormat="1" ht="16.2">
      <c r="A106" s="248"/>
      <c r="B106" s="250" t="s">
        <v>745</v>
      </c>
      <c r="C106" s="249" t="s">
        <v>296</v>
      </c>
      <c r="D106" s="248" t="s">
        <v>70</v>
      </c>
      <c r="E106" s="248">
        <v>10.5</v>
      </c>
      <c r="F106" s="254">
        <f>E106*F101</f>
        <v>1.2852000000000001</v>
      </c>
      <c r="G106" s="809">
        <v>0</v>
      </c>
      <c r="H106" s="809">
        <f>F106*G106</f>
        <v>0</v>
      </c>
      <c r="I106" s="809"/>
      <c r="J106" s="809"/>
      <c r="K106" s="809"/>
      <c r="L106" s="809"/>
      <c r="M106" s="809">
        <f t="shared" si="5"/>
        <v>0</v>
      </c>
      <c r="N106" s="253"/>
      <c r="O106" s="253"/>
      <c r="P106" s="253"/>
      <c r="Q106" s="253"/>
    </row>
    <row r="107" spans="1:17" s="247" customFormat="1" ht="16.2">
      <c r="A107" s="248"/>
      <c r="B107" s="250" t="s">
        <v>743</v>
      </c>
      <c r="C107" s="249" t="s">
        <v>297</v>
      </c>
      <c r="D107" s="248" t="s">
        <v>70</v>
      </c>
      <c r="E107" s="248">
        <v>20.7</v>
      </c>
      <c r="F107" s="254">
        <f>E107*F101</f>
        <v>2.5336799999999999</v>
      </c>
      <c r="G107" s="858">
        <v>0</v>
      </c>
      <c r="H107" s="809">
        <f>F107*G107</f>
        <v>0</v>
      </c>
      <c r="I107" s="809"/>
      <c r="J107" s="809"/>
      <c r="K107" s="809"/>
      <c r="L107" s="809"/>
      <c r="M107" s="809">
        <f t="shared" si="5"/>
        <v>0</v>
      </c>
      <c r="N107" s="253"/>
      <c r="O107" s="253"/>
      <c r="P107" s="253"/>
      <c r="Q107" s="253"/>
    </row>
    <row r="108" spans="1:17" s="247" customFormat="1" ht="16.2">
      <c r="A108" s="248"/>
      <c r="B108" s="250" t="s">
        <v>739</v>
      </c>
      <c r="C108" s="249" t="s">
        <v>298</v>
      </c>
      <c r="D108" s="248" t="s">
        <v>70</v>
      </c>
      <c r="E108" s="248">
        <v>2.5299999999999998</v>
      </c>
      <c r="F108" s="254">
        <f>E108*F101</f>
        <v>0.309672</v>
      </c>
      <c r="G108" s="809">
        <v>0</v>
      </c>
      <c r="H108" s="809">
        <f>F108*G108</f>
        <v>0</v>
      </c>
      <c r="I108" s="809"/>
      <c r="J108" s="809"/>
      <c r="K108" s="809"/>
      <c r="L108" s="809"/>
      <c r="M108" s="809">
        <f t="shared" si="5"/>
        <v>0</v>
      </c>
      <c r="N108" s="253"/>
      <c r="O108" s="253"/>
      <c r="P108" s="253"/>
      <c r="Q108" s="253"/>
    </row>
    <row r="109" spans="1:17" s="247" customFormat="1" ht="16.2">
      <c r="A109" s="248"/>
      <c r="B109" s="250"/>
      <c r="C109" s="249" t="s">
        <v>68</v>
      </c>
      <c r="D109" s="248" t="s">
        <v>69</v>
      </c>
      <c r="E109" s="248">
        <v>2.78</v>
      </c>
      <c r="F109" s="254">
        <f>E109*F101</f>
        <v>0.34027200000000002</v>
      </c>
      <c r="G109" s="809">
        <v>0</v>
      </c>
      <c r="H109" s="809">
        <f>F109*G109</f>
        <v>0</v>
      </c>
      <c r="I109" s="809"/>
      <c r="J109" s="809"/>
      <c r="K109" s="809"/>
      <c r="L109" s="809"/>
      <c r="M109" s="809">
        <f t="shared" si="5"/>
        <v>0</v>
      </c>
      <c r="N109" s="253"/>
      <c r="O109" s="253"/>
      <c r="P109" s="253"/>
      <c r="Q109" s="253"/>
    </row>
    <row r="110" spans="1:17" s="247" customFormat="1" ht="16.2">
      <c r="A110" s="95">
        <v>14</v>
      </c>
      <c r="B110" s="623" t="s">
        <v>308</v>
      </c>
      <c r="C110" s="98" t="s">
        <v>309</v>
      </c>
      <c r="D110" s="95" t="s">
        <v>6</v>
      </c>
      <c r="E110" s="95"/>
      <c r="F110" s="95">
        <v>0.6</v>
      </c>
      <c r="G110" s="845"/>
      <c r="H110" s="845"/>
      <c r="I110" s="845"/>
      <c r="J110" s="845"/>
      <c r="K110" s="845"/>
      <c r="L110" s="845"/>
      <c r="M110" s="845">
        <f>SUM(M111:M118)</f>
        <v>0</v>
      </c>
      <c r="N110" s="253"/>
      <c r="O110" s="253"/>
      <c r="P110" s="253"/>
      <c r="Q110" s="253"/>
    </row>
    <row r="111" spans="1:17" s="247" customFormat="1" ht="16.2">
      <c r="A111" s="248"/>
      <c r="B111" s="250"/>
      <c r="C111" s="249" t="s">
        <v>58</v>
      </c>
      <c r="D111" s="248" t="s">
        <v>5</v>
      </c>
      <c r="E111" s="248">
        <v>2.81</v>
      </c>
      <c r="F111" s="248">
        <f>F110*E111</f>
        <v>1.6859999999999999</v>
      </c>
      <c r="G111" s="809"/>
      <c r="H111" s="809"/>
      <c r="I111" s="809">
        <v>0</v>
      </c>
      <c r="J111" s="809">
        <f>I111*F111</f>
        <v>0</v>
      </c>
      <c r="K111" s="809"/>
      <c r="L111" s="809"/>
      <c r="M111" s="809">
        <f t="shared" si="5"/>
        <v>0</v>
      </c>
      <c r="N111" s="253"/>
      <c r="O111" s="253"/>
      <c r="P111" s="253"/>
      <c r="Q111" s="253"/>
    </row>
    <row r="112" spans="1:17" s="247" customFormat="1" ht="16.2">
      <c r="A112" s="248"/>
      <c r="B112" s="250"/>
      <c r="C112" s="249" t="s">
        <v>64</v>
      </c>
      <c r="D112" s="248" t="s">
        <v>7</v>
      </c>
      <c r="E112" s="248">
        <v>0.33</v>
      </c>
      <c r="F112" s="248">
        <f>E112*F110</f>
        <v>0.19800000000000001</v>
      </c>
      <c r="G112" s="858"/>
      <c r="H112" s="809"/>
      <c r="I112" s="809"/>
      <c r="J112" s="809"/>
      <c r="K112" s="809">
        <v>0</v>
      </c>
      <c r="L112" s="809">
        <f>F112*K112</f>
        <v>0</v>
      </c>
      <c r="M112" s="809">
        <f t="shared" si="5"/>
        <v>0</v>
      </c>
      <c r="N112" s="253"/>
      <c r="O112" s="253"/>
      <c r="P112" s="253"/>
      <c r="Q112" s="253"/>
    </row>
    <row r="113" spans="1:17" s="247" customFormat="1" ht="16.2">
      <c r="A113" s="248"/>
      <c r="B113" s="250" t="s">
        <v>735</v>
      </c>
      <c r="C113" s="249" t="s">
        <v>261</v>
      </c>
      <c r="D113" s="248" t="s">
        <v>6</v>
      </c>
      <c r="E113" s="248">
        <v>1.02</v>
      </c>
      <c r="F113" s="248">
        <f>E113*F110</f>
        <v>0.61199999999999999</v>
      </c>
      <c r="G113" s="809">
        <v>0</v>
      </c>
      <c r="H113" s="809">
        <f t="shared" ref="H113:H118" si="6">F113*G113</f>
        <v>0</v>
      </c>
      <c r="I113" s="809"/>
      <c r="J113" s="809"/>
      <c r="K113" s="809"/>
      <c r="L113" s="809"/>
      <c r="M113" s="809">
        <f t="shared" si="5"/>
        <v>0</v>
      </c>
      <c r="N113" s="253"/>
      <c r="O113" s="253"/>
      <c r="P113" s="253"/>
      <c r="Q113" s="253"/>
    </row>
    <row r="114" spans="1:17" s="247" customFormat="1" ht="16.2">
      <c r="A114" s="248"/>
      <c r="B114" s="250" t="s">
        <v>741</v>
      </c>
      <c r="C114" s="249" t="s">
        <v>275</v>
      </c>
      <c r="D114" s="248" t="s">
        <v>81</v>
      </c>
      <c r="E114" s="248">
        <v>0.71699999999999997</v>
      </c>
      <c r="F114" s="248">
        <f>E114*F110</f>
        <v>0.43019999999999997</v>
      </c>
      <c r="G114" s="858">
        <v>0</v>
      </c>
      <c r="H114" s="809">
        <f t="shared" si="6"/>
        <v>0</v>
      </c>
      <c r="I114" s="809"/>
      <c r="J114" s="809"/>
      <c r="K114" s="809"/>
      <c r="L114" s="809"/>
      <c r="M114" s="809">
        <f t="shared" si="5"/>
        <v>0</v>
      </c>
      <c r="N114" s="253"/>
      <c r="O114" s="253"/>
      <c r="P114" s="253"/>
      <c r="Q114" s="253"/>
    </row>
    <row r="115" spans="1:17" s="247" customFormat="1" ht="16.2">
      <c r="A115" s="248"/>
      <c r="B115" s="250" t="s">
        <v>744</v>
      </c>
      <c r="C115" s="249" t="s">
        <v>310</v>
      </c>
      <c r="D115" s="248" t="s">
        <v>6</v>
      </c>
      <c r="E115" s="248">
        <f>0.13*0.01</f>
        <v>1.3000000000000002E-3</v>
      </c>
      <c r="F115" s="248">
        <f>E115*F110</f>
        <v>7.8000000000000009E-4</v>
      </c>
      <c r="G115" s="809">
        <v>0</v>
      </c>
      <c r="H115" s="809">
        <f t="shared" si="6"/>
        <v>0</v>
      </c>
      <c r="I115" s="809"/>
      <c r="J115" s="809"/>
      <c r="K115" s="809"/>
      <c r="L115" s="809"/>
      <c r="M115" s="809">
        <f t="shared" si="5"/>
        <v>0</v>
      </c>
      <c r="N115" s="253"/>
      <c r="O115" s="253"/>
      <c r="P115" s="253"/>
      <c r="Q115" s="253"/>
    </row>
    <row r="116" spans="1:17" s="247" customFormat="1" ht="16.2">
      <c r="A116" s="248"/>
      <c r="B116" s="250" t="s">
        <v>738</v>
      </c>
      <c r="C116" s="249" t="s">
        <v>311</v>
      </c>
      <c r="D116" s="248" t="s">
        <v>6</v>
      </c>
      <c r="E116" s="248">
        <f>1.52*0.01</f>
        <v>1.52E-2</v>
      </c>
      <c r="F116" s="248">
        <f>E116*F110</f>
        <v>9.1199999999999996E-3</v>
      </c>
      <c r="G116" s="809">
        <v>0</v>
      </c>
      <c r="H116" s="809">
        <f t="shared" si="6"/>
        <v>0</v>
      </c>
      <c r="I116" s="809"/>
      <c r="J116" s="809"/>
      <c r="K116" s="809"/>
      <c r="L116" s="809"/>
      <c r="M116" s="809">
        <f t="shared" si="5"/>
        <v>0</v>
      </c>
      <c r="N116" s="253"/>
      <c r="O116" s="253"/>
      <c r="P116" s="253"/>
      <c r="Q116" s="253"/>
    </row>
    <row r="117" spans="1:17" s="247" customFormat="1" ht="16.2">
      <c r="A117" s="248"/>
      <c r="B117" s="250" t="s">
        <v>739</v>
      </c>
      <c r="C117" s="249" t="s">
        <v>298</v>
      </c>
      <c r="D117" s="248" t="s">
        <v>70</v>
      </c>
      <c r="E117" s="248">
        <v>0.9</v>
      </c>
      <c r="F117" s="248">
        <f>F110*E117</f>
        <v>0.54</v>
      </c>
      <c r="G117" s="809">
        <v>0</v>
      </c>
      <c r="H117" s="809">
        <f t="shared" si="6"/>
        <v>0</v>
      </c>
      <c r="I117" s="809"/>
      <c r="J117" s="809"/>
      <c r="K117" s="809"/>
      <c r="L117" s="809"/>
      <c r="M117" s="809">
        <f t="shared" si="5"/>
        <v>0</v>
      </c>
      <c r="N117" s="253"/>
      <c r="O117" s="253"/>
      <c r="P117" s="253"/>
      <c r="Q117" s="253"/>
    </row>
    <row r="118" spans="1:17" s="247" customFormat="1" ht="16.2">
      <c r="A118" s="248"/>
      <c r="B118" s="250"/>
      <c r="C118" s="249" t="s">
        <v>68</v>
      </c>
      <c r="D118" s="248" t="s">
        <v>69</v>
      </c>
      <c r="E118" s="248">
        <v>0.16</v>
      </c>
      <c r="F118" s="248">
        <f>E118*F110</f>
        <v>9.6000000000000002E-2</v>
      </c>
      <c r="G118" s="809">
        <v>0</v>
      </c>
      <c r="H118" s="809">
        <f t="shared" si="6"/>
        <v>0</v>
      </c>
      <c r="I118" s="809"/>
      <c r="J118" s="809"/>
      <c r="K118" s="809"/>
      <c r="L118" s="809"/>
      <c r="M118" s="809">
        <f t="shared" si="5"/>
        <v>0</v>
      </c>
      <c r="N118" s="253"/>
      <c r="O118" s="253"/>
      <c r="P118" s="253"/>
      <c r="Q118" s="253"/>
    </row>
    <row r="119" spans="1:17" s="247" customFormat="1" ht="16.2">
      <c r="A119" s="95">
        <v>15</v>
      </c>
      <c r="B119" s="623" t="s">
        <v>312</v>
      </c>
      <c r="C119" s="98" t="s">
        <v>313</v>
      </c>
      <c r="D119" s="95" t="s">
        <v>81</v>
      </c>
      <c r="E119" s="95"/>
      <c r="F119" s="95">
        <v>167</v>
      </c>
      <c r="G119" s="845"/>
      <c r="H119" s="845"/>
      <c r="I119" s="845"/>
      <c r="J119" s="845"/>
      <c r="K119" s="845"/>
      <c r="L119" s="845"/>
      <c r="M119" s="845">
        <f>SUM(M120:M122)</f>
        <v>0</v>
      </c>
      <c r="N119" s="253"/>
      <c r="O119" s="253"/>
      <c r="P119" s="253"/>
      <c r="Q119" s="253"/>
    </row>
    <row r="120" spans="1:17" s="247" customFormat="1" ht="16.2">
      <c r="A120" s="248"/>
      <c r="B120" s="250"/>
      <c r="C120" s="249" t="s">
        <v>58</v>
      </c>
      <c r="D120" s="248" t="s">
        <v>5</v>
      </c>
      <c r="E120" s="248">
        <f>37.6*0.01</f>
        <v>0.376</v>
      </c>
      <c r="F120" s="248">
        <f>E120*F119</f>
        <v>62.792000000000002</v>
      </c>
      <c r="G120" s="809"/>
      <c r="H120" s="809"/>
      <c r="I120" s="809">
        <v>0</v>
      </c>
      <c r="J120" s="809">
        <f>I120*F120</f>
        <v>0</v>
      </c>
      <c r="K120" s="809"/>
      <c r="L120" s="809"/>
      <c r="M120" s="809">
        <f t="shared" si="5"/>
        <v>0</v>
      </c>
      <c r="N120" s="253"/>
      <c r="O120" s="253"/>
      <c r="P120" s="253"/>
      <c r="Q120" s="253"/>
    </row>
    <row r="121" spans="1:17" s="247" customFormat="1" ht="16.2">
      <c r="A121" s="248"/>
      <c r="B121" s="250" t="s">
        <v>749</v>
      </c>
      <c r="C121" s="249" t="s">
        <v>314</v>
      </c>
      <c r="D121" s="248" t="s">
        <v>70</v>
      </c>
      <c r="E121" s="248">
        <v>0.06</v>
      </c>
      <c r="F121" s="248">
        <f>E121*F119</f>
        <v>10.02</v>
      </c>
      <c r="G121" s="809">
        <v>0</v>
      </c>
      <c r="H121" s="809">
        <f>F121*G121</f>
        <v>0</v>
      </c>
      <c r="I121" s="809"/>
      <c r="J121" s="809"/>
      <c r="K121" s="809"/>
      <c r="L121" s="809"/>
      <c r="M121" s="809">
        <f t="shared" si="5"/>
        <v>0</v>
      </c>
      <c r="N121" s="253"/>
      <c r="O121" s="253"/>
      <c r="P121" s="253"/>
      <c r="Q121" s="253"/>
    </row>
    <row r="122" spans="1:17" s="247" customFormat="1" ht="16.2">
      <c r="A122" s="248"/>
      <c r="B122" s="250"/>
      <c r="C122" s="249" t="s">
        <v>68</v>
      </c>
      <c r="D122" s="248" t="s">
        <v>69</v>
      </c>
      <c r="E122" s="248">
        <f>0.6*0.01</f>
        <v>6.0000000000000001E-3</v>
      </c>
      <c r="F122" s="248">
        <f>E122*F119</f>
        <v>1.002</v>
      </c>
      <c r="G122" s="809">
        <v>0</v>
      </c>
      <c r="H122" s="809">
        <f>F122*G122</f>
        <v>0</v>
      </c>
      <c r="I122" s="809"/>
      <c r="J122" s="809"/>
      <c r="K122" s="809"/>
      <c r="L122" s="809"/>
      <c r="M122" s="809">
        <f t="shared" si="5"/>
        <v>0</v>
      </c>
      <c r="N122" s="253"/>
      <c r="O122" s="253"/>
      <c r="P122" s="253"/>
      <c r="Q122" s="253"/>
    </row>
    <row r="123" spans="1:17" s="247" customFormat="1" ht="30">
      <c r="A123" s="95">
        <v>16</v>
      </c>
      <c r="B123" s="623" t="s">
        <v>104</v>
      </c>
      <c r="C123" s="98" t="s">
        <v>315</v>
      </c>
      <c r="D123" s="95" t="s">
        <v>288</v>
      </c>
      <c r="E123" s="95"/>
      <c r="F123" s="95">
        <v>1.72</v>
      </c>
      <c r="G123" s="845"/>
      <c r="H123" s="845"/>
      <c r="I123" s="845"/>
      <c r="J123" s="845"/>
      <c r="K123" s="845"/>
      <c r="L123" s="845"/>
      <c r="M123" s="845">
        <f>SUM(M124:M128)</f>
        <v>0</v>
      </c>
      <c r="N123" s="253"/>
      <c r="O123" s="253"/>
      <c r="P123" s="253"/>
      <c r="Q123" s="253"/>
    </row>
    <row r="124" spans="1:17" s="247" customFormat="1" ht="16.2">
      <c r="A124" s="248"/>
      <c r="B124" s="250"/>
      <c r="C124" s="249" t="s">
        <v>58</v>
      </c>
      <c r="D124" s="248" t="s">
        <v>5</v>
      </c>
      <c r="E124" s="248">
        <v>48.6</v>
      </c>
      <c r="F124" s="248">
        <f>F123*E124</f>
        <v>83.591999999999999</v>
      </c>
      <c r="G124" s="809"/>
      <c r="H124" s="809"/>
      <c r="I124" s="809">
        <v>0</v>
      </c>
      <c r="J124" s="809">
        <f>I124*F124</f>
        <v>0</v>
      </c>
      <c r="K124" s="809"/>
      <c r="L124" s="809"/>
      <c r="M124" s="809">
        <f>L124+J124+H124</f>
        <v>0</v>
      </c>
      <c r="N124" s="253"/>
      <c r="O124" s="253"/>
      <c r="P124" s="253"/>
      <c r="Q124" s="253"/>
    </row>
    <row r="125" spans="1:17" s="247" customFormat="1" ht="16.2">
      <c r="A125" s="248"/>
      <c r="B125" s="250"/>
      <c r="C125" s="249" t="s">
        <v>59</v>
      </c>
      <c r="D125" s="248" t="s">
        <v>69</v>
      </c>
      <c r="E125" s="248">
        <v>1.66</v>
      </c>
      <c r="F125" s="248">
        <f>E125*F123</f>
        <v>2.8552</v>
      </c>
      <c r="G125" s="809"/>
      <c r="H125" s="809"/>
      <c r="I125" s="809"/>
      <c r="J125" s="809"/>
      <c r="K125" s="809">
        <v>0</v>
      </c>
      <c r="L125" s="809">
        <f>F125*K125</f>
        <v>0</v>
      </c>
      <c r="M125" s="809">
        <f>L125+J125+H125</f>
        <v>0</v>
      </c>
      <c r="N125" s="253"/>
      <c r="O125" s="253"/>
      <c r="P125" s="253"/>
      <c r="Q125" s="253"/>
    </row>
    <row r="126" spans="1:17" s="247" customFormat="1" ht="16.2">
      <c r="A126" s="248"/>
      <c r="B126" s="624" t="s">
        <v>141</v>
      </c>
      <c r="C126" s="249" t="s">
        <v>289</v>
      </c>
      <c r="D126" s="248" t="s">
        <v>67</v>
      </c>
      <c r="E126" s="248">
        <v>0.3</v>
      </c>
      <c r="F126" s="248">
        <f>E126*F123</f>
        <v>0.51600000000000001</v>
      </c>
      <c r="G126" s="809">
        <v>0</v>
      </c>
      <c r="H126" s="809">
        <f>F126*G126</f>
        <v>0</v>
      </c>
      <c r="I126" s="809"/>
      <c r="J126" s="809"/>
      <c r="K126" s="809"/>
      <c r="L126" s="809"/>
      <c r="M126" s="809">
        <f>L126+J126+H126</f>
        <v>0</v>
      </c>
      <c r="N126" s="253"/>
      <c r="O126" s="253"/>
      <c r="P126" s="253"/>
      <c r="Q126" s="253"/>
    </row>
    <row r="127" spans="1:17" s="247" customFormat="1" ht="16.2">
      <c r="A127" s="248"/>
      <c r="B127" s="250" t="s">
        <v>744</v>
      </c>
      <c r="C127" s="249" t="s">
        <v>290</v>
      </c>
      <c r="D127" s="248" t="s">
        <v>6</v>
      </c>
      <c r="E127" s="248">
        <v>0.19</v>
      </c>
      <c r="F127" s="248">
        <f>E127*F123</f>
        <v>0.32679999999999998</v>
      </c>
      <c r="G127" s="809">
        <v>0</v>
      </c>
      <c r="H127" s="809">
        <f>G127*F127</f>
        <v>0</v>
      </c>
      <c r="I127" s="809"/>
      <c r="J127" s="809"/>
      <c r="K127" s="809"/>
      <c r="L127" s="809"/>
      <c r="M127" s="809">
        <f>L127+J127+H127</f>
        <v>0</v>
      </c>
      <c r="N127" s="253"/>
      <c r="O127" s="253"/>
      <c r="P127" s="253"/>
      <c r="Q127" s="253"/>
    </row>
    <row r="128" spans="1:17" s="247" customFormat="1" ht="16.2">
      <c r="A128" s="248"/>
      <c r="B128" s="250"/>
      <c r="C128" s="249" t="s">
        <v>68</v>
      </c>
      <c r="D128" s="248" t="s">
        <v>69</v>
      </c>
      <c r="E128" s="248">
        <v>1.22</v>
      </c>
      <c r="F128" s="248">
        <f>E128*F123</f>
        <v>2.0983999999999998</v>
      </c>
      <c r="G128" s="809">
        <v>0</v>
      </c>
      <c r="H128" s="809">
        <f>F128*G128</f>
        <v>0</v>
      </c>
      <c r="I128" s="809"/>
      <c r="J128" s="809"/>
      <c r="K128" s="809"/>
      <c r="L128" s="809"/>
      <c r="M128" s="809">
        <f>L128+J128+H128</f>
        <v>0</v>
      </c>
      <c r="N128" s="253"/>
      <c r="O128" s="253"/>
      <c r="P128" s="253"/>
      <c r="Q128" s="253"/>
    </row>
    <row r="129" spans="1:17" s="247" customFormat="1" ht="45">
      <c r="A129" s="95">
        <v>17</v>
      </c>
      <c r="B129" s="623" t="s">
        <v>316</v>
      </c>
      <c r="C129" s="98" t="s">
        <v>317</v>
      </c>
      <c r="D129" s="95" t="s">
        <v>81</v>
      </c>
      <c r="E129" s="95"/>
      <c r="F129" s="95">
        <v>159</v>
      </c>
      <c r="G129" s="845"/>
      <c r="H129" s="845"/>
      <c r="I129" s="845"/>
      <c r="J129" s="845"/>
      <c r="K129" s="845"/>
      <c r="L129" s="845"/>
      <c r="M129" s="845">
        <f>SUM(M130:M132)</f>
        <v>0</v>
      </c>
      <c r="N129" s="253"/>
      <c r="O129" s="253"/>
      <c r="P129" s="253"/>
      <c r="Q129" s="253"/>
    </row>
    <row r="130" spans="1:17" s="247" customFormat="1" ht="16.2">
      <c r="A130" s="248"/>
      <c r="B130" s="250"/>
      <c r="C130" s="249" t="s">
        <v>58</v>
      </c>
      <c r="D130" s="248" t="s">
        <v>5</v>
      </c>
      <c r="E130" s="248">
        <f>(8.53+0.82*15)*0.01</f>
        <v>0.20829999999999999</v>
      </c>
      <c r="F130" s="248">
        <f>E130*F129</f>
        <v>33.119699999999995</v>
      </c>
      <c r="G130" s="809"/>
      <c r="H130" s="809"/>
      <c r="I130" s="809">
        <v>0</v>
      </c>
      <c r="J130" s="809">
        <f>I130*F130</f>
        <v>0</v>
      </c>
      <c r="K130" s="809"/>
      <c r="L130" s="809"/>
      <c r="M130" s="809">
        <f>L130+J130+H130</f>
        <v>0</v>
      </c>
      <c r="N130" s="253"/>
      <c r="O130" s="253"/>
      <c r="P130" s="253"/>
      <c r="Q130" s="253"/>
    </row>
    <row r="131" spans="1:17" s="247" customFormat="1" ht="16.2">
      <c r="A131" s="248"/>
      <c r="B131" s="250"/>
      <c r="C131" s="249" t="s">
        <v>59</v>
      </c>
      <c r="D131" s="248" t="s">
        <v>69</v>
      </c>
      <c r="E131" s="248">
        <f>(0.41+0.02*15)*0.01</f>
        <v>7.0999999999999995E-3</v>
      </c>
      <c r="F131" s="248">
        <f>E131*F129</f>
        <v>1.1289</v>
      </c>
      <c r="G131" s="809"/>
      <c r="H131" s="809"/>
      <c r="I131" s="809"/>
      <c r="J131" s="809"/>
      <c r="K131" s="809">
        <v>0</v>
      </c>
      <c r="L131" s="809">
        <f>F131*K131</f>
        <v>0</v>
      </c>
      <c r="M131" s="809">
        <f>L131+J131+H131</f>
        <v>0</v>
      </c>
      <c r="N131" s="253"/>
      <c r="O131" s="253"/>
      <c r="P131" s="253"/>
      <c r="Q131" s="253"/>
    </row>
    <row r="132" spans="1:17" s="247" customFormat="1" ht="16.2">
      <c r="A132" s="248"/>
      <c r="B132" s="250" t="s">
        <v>750</v>
      </c>
      <c r="C132" s="249" t="s">
        <v>318</v>
      </c>
      <c r="D132" s="248" t="s">
        <v>67</v>
      </c>
      <c r="E132" s="248">
        <f>(3+0.02*15)*0.01</f>
        <v>3.3000000000000002E-2</v>
      </c>
      <c r="F132" s="248">
        <f>E132*F129</f>
        <v>5.2469999999999999</v>
      </c>
      <c r="G132" s="809">
        <v>0</v>
      </c>
      <c r="H132" s="809">
        <f>F132*G132</f>
        <v>0</v>
      </c>
      <c r="I132" s="809"/>
      <c r="J132" s="809"/>
      <c r="K132" s="809"/>
      <c r="L132" s="809"/>
      <c r="M132" s="809">
        <f>L132+J132+H132</f>
        <v>0</v>
      </c>
      <c r="N132" s="253"/>
      <c r="O132" s="253"/>
      <c r="P132" s="253"/>
      <c r="Q132" s="253"/>
    </row>
    <row r="133" spans="1:17" s="247" customFormat="1" ht="16.2">
      <c r="A133" s="95">
        <v>18</v>
      </c>
      <c r="B133" s="623" t="s">
        <v>319</v>
      </c>
      <c r="C133" s="98" t="s">
        <v>320</v>
      </c>
      <c r="D133" s="95" t="s">
        <v>67</v>
      </c>
      <c r="E133" s="95"/>
      <c r="F133" s="95">
        <v>0.21729999999999999</v>
      </c>
      <c r="G133" s="845"/>
      <c r="H133" s="845"/>
      <c r="I133" s="845"/>
      <c r="J133" s="845"/>
      <c r="K133" s="845"/>
      <c r="L133" s="845"/>
      <c r="M133" s="845">
        <f>SUM(M134:M136)</f>
        <v>0</v>
      </c>
      <c r="N133" s="253"/>
      <c r="O133" s="253"/>
      <c r="P133" s="253"/>
      <c r="Q133" s="253"/>
    </row>
    <row r="134" spans="1:17" s="247" customFormat="1" ht="16.2">
      <c r="A134" s="248"/>
      <c r="B134" s="250"/>
      <c r="C134" s="249" t="s">
        <v>58</v>
      </c>
      <c r="D134" s="248" t="s">
        <v>5</v>
      </c>
      <c r="E134" s="248">
        <v>54.3</v>
      </c>
      <c r="F134" s="248">
        <f>F133*E134</f>
        <v>11.799389999999999</v>
      </c>
      <c r="G134" s="809"/>
      <c r="H134" s="809"/>
      <c r="I134" s="809">
        <v>0</v>
      </c>
      <c r="J134" s="809">
        <f>I134*F134</f>
        <v>0</v>
      </c>
      <c r="K134" s="809"/>
      <c r="L134" s="809"/>
      <c r="M134" s="809">
        <f>L134+J134+H134</f>
        <v>0</v>
      </c>
      <c r="N134" s="253"/>
      <c r="O134" s="253"/>
      <c r="P134" s="253"/>
      <c r="Q134" s="253"/>
    </row>
    <row r="135" spans="1:17" s="247" customFormat="1" ht="16.2">
      <c r="A135" s="248"/>
      <c r="B135" s="250"/>
      <c r="C135" s="249" t="s">
        <v>59</v>
      </c>
      <c r="D135" s="248" t="s">
        <v>69</v>
      </c>
      <c r="E135" s="248">
        <v>1.38</v>
      </c>
      <c r="F135" s="248">
        <f>E135*F133</f>
        <v>0.29987399999999997</v>
      </c>
      <c r="G135" s="809"/>
      <c r="H135" s="809"/>
      <c r="I135" s="809"/>
      <c r="J135" s="809"/>
      <c r="K135" s="809">
        <v>0</v>
      </c>
      <c r="L135" s="809">
        <f>F135*K135</f>
        <v>0</v>
      </c>
      <c r="M135" s="809">
        <f>L135+J135+H135</f>
        <v>0</v>
      </c>
      <c r="N135" s="253"/>
      <c r="O135" s="253"/>
      <c r="P135" s="253"/>
      <c r="Q135" s="253"/>
    </row>
    <row r="136" spans="1:17" s="247" customFormat="1" ht="16.2">
      <c r="A136" s="248"/>
      <c r="B136" s="250" t="s">
        <v>740</v>
      </c>
      <c r="C136" s="249" t="s">
        <v>270</v>
      </c>
      <c r="D136" s="248" t="s">
        <v>70</v>
      </c>
      <c r="E136" s="248"/>
      <c r="F136" s="248">
        <v>217.3</v>
      </c>
      <c r="G136" s="809">
        <v>0</v>
      </c>
      <c r="H136" s="809">
        <f>F136*G136</f>
        <v>0</v>
      </c>
      <c r="I136" s="809"/>
      <c r="J136" s="809"/>
      <c r="K136" s="809"/>
      <c r="L136" s="809"/>
      <c r="M136" s="809">
        <f>H136+J136+L136</f>
        <v>0</v>
      </c>
      <c r="N136" s="253"/>
      <c r="O136" s="253"/>
      <c r="P136" s="253"/>
      <c r="Q136" s="253"/>
    </row>
    <row r="137" spans="1:17" s="247" customFormat="1" ht="30">
      <c r="A137" s="95">
        <v>19</v>
      </c>
      <c r="B137" s="623" t="s">
        <v>259</v>
      </c>
      <c r="C137" s="98" t="s">
        <v>321</v>
      </c>
      <c r="D137" s="95" t="s">
        <v>6</v>
      </c>
      <c r="E137" s="95"/>
      <c r="F137" s="95">
        <v>9.3000000000000007</v>
      </c>
      <c r="G137" s="845"/>
      <c r="H137" s="845"/>
      <c r="I137" s="845"/>
      <c r="J137" s="845"/>
      <c r="K137" s="845"/>
      <c r="L137" s="845"/>
      <c r="M137" s="845">
        <f>SUM(M138:M140)</f>
        <v>0</v>
      </c>
      <c r="N137" s="253"/>
      <c r="O137" s="253"/>
      <c r="P137" s="253"/>
      <c r="Q137" s="253"/>
    </row>
    <row r="138" spans="1:17" s="247" customFormat="1" ht="16.2">
      <c r="A138" s="248"/>
      <c r="B138" s="250"/>
      <c r="C138" s="249" t="s">
        <v>58</v>
      </c>
      <c r="D138" s="248" t="s">
        <v>5</v>
      </c>
      <c r="E138" s="248">
        <v>2.9</v>
      </c>
      <c r="F138" s="248">
        <f>F137*E138</f>
        <v>26.970000000000002</v>
      </c>
      <c r="G138" s="809"/>
      <c r="H138" s="809"/>
      <c r="I138" s="809">
        <v>0</v>
      </c>
      <c r="J138" s="809">
        <f>I138*F138</f>
        <v>0</v>
      </c>
      <c r="K138" s="809"/>
      <c r="L138" s="809"/>
      <c r="M138" s="809">
        <f>L138+J138+H138</f>
        <v>0</v>
      </c>
      <c r="N138" s="253"/>
      <c r="O138" s="253"/>
      <c r="P138" s="253"/>
      <c r="Q138" s="253"/>
    </row>
    <row r="139" spans="1:17" s="247" customFormat="1" ht="16.2">
      <c r="A139" s="248"/>
      <c r="B139" s="250" t="s">
        <v>736</v>
      </c>
      <c r="C139" s="249" t="s">
        <v>272</v>
      </c>
      <c r="D139" s="248" t="s">
        <v>6</v>
      </c>
      <c r="E139" s="248">
        <v>1.02</v>
      </c>
      <c r="F139" s="248">
        <f>E139*F137</f>
        <v>9.4860000000000007</v>
      </c>
      <c r="G139" s="809">
        <v>0</v>
      </c>
      <c r="H139" s="809">
        <f>G139*F139</f>
        <v>0</v>
      </c>
      <c r="I139" s="809"/>
      <c r="J139" s="809"/>
      <c r="K139" s="809"/>
      <c r="L139" s="809"/>
      <c r="M139" s="809">
        <f>H139+J139+L139</f>
        <v>0</v>
      </c>
      <c r="N139" s="253"/>
      <c r="O139" s="253"/>
      <c r="P139" s="253"/>
      <c r="Q139" s="253"/>
    </row>
    <row r="140" spans="1:17" s="247" customFormat="1" ht="16.2">
      <c r="A140" s="248"/>
      <c r="B140" s="250"/>
      <c r="C140" s="249" t="s">
        <v>94</v>
      </c>
      <c r="D140" s="248" t="s">
        <v>262</v>
      </c>
      <c r="E140" s="248">
        <v>0.88</v>
      </c>
      <c r="F140" s="248">
        <f>E140*F137</f>
        <v>8.1840000000000011</v>
      </c>
      <c r="G140" s="809">
        <v>0</v>
      </c>
      <c r="H140" s="809">
        <f>F140*G140</f>
        <v>0</v>
      </c>
      <c r="I140" s="809"/>
      <c r="J140" s="809"/>
      <c r="K140" s="809"/>
      <c r="L140" s="809"/>
      <c r="M140" s="809">
        <f>H140+J140+L140</f>
        <v>0</v>
      </c>
      <c r="N140" s="253"/>
      <c r="O140" s="253"/>
      <c r="P140" s="253"/>
      <c r="Q140" s="253"/>
    </row>
    <row r="141" spans="1:17" s="247" customFormat="1" ht="30">
      <c r="A141" s="95">
        <v>20</v>
      </c>
      <c r="B141" s="623" t="s">
        <v>322</v>
      </c>
      <c r="C141" s="98" t="s">
        <v>323</v>
      </c>
      <c r="D141" s="95" t="s">
        <v>81</v>
      </c>
      <c r="E141" s="95"/>
      <c r="F141" s="95">
        <v>336</v>
      </c>
      <c r="G141" s="845"/>
      <c r="H141" s="845"/>
      <c r="I141" s="845"/>
      <c r="J141" s="845"/>
      <c r="K141" s="845"/>
      <c r="L141" s="845"/>
      <c r="M141" s="845">
        <f>SUM(M142:M145)</f>
        <v>0</v>
      </c>
      <c r="N141" s="253"/>
      <c r="O141" s="253"/>
      <c r="P141" s="253"/>
      <c r="Q141" s="253"/>
    </row>
    <row r="142" spans="1:17" s="247" customFormat="1" ht="16.2">
      <c r="A142" s="248"/>
      <c r="B142" s="250"/>
      <c r="C142" s="249" t="s">
        <v>58</v>
      </c>
      <c r="D142" s="248" t="s">
        <v>5</v>
      </c>
      <c r="E142" s="248">
        <f>29.9*0.01</f>
        <v>0.29899999999999999</v>
      </c>
      <c r="F142" s="248">
        <f>F141*E142</f>
        <v>100.464</v>
      </c>
      <c r="G142" s="809"/>
      <c r="H142" s="809"/>
      <c r="I142" s="809">
        <v>0</v>
      </c>
      <c r="J142" s="809">
        <f>I142*F142</f>
        <v>0</v>
      </c>
      <c r="K142" s="809"/>
      <c r="L142" s="809"/>
      <c r="M142" s="809">
        <f>L142+J142+H142</f>
        <v>0</v>
      </c>
      <c r="N142" s="253"/>
      <c r="O142" s="253"/>
      <c r="P142" s="253"/>
      <c r="Q142" s="253"/>
    </row>
    <row r="143" spans="1:17" s="247" customFormat="1" ht="16.2">
      <c r="A143" s="248"/>
      <c r="B143" s="250"/>
      <c r="C143" s="249" t="s">
        <v>59</v>
      </c>
      <c r="D143" s="248" t="s">
        <v>69</v>
      </c>
      <c r="E143" s="248">
        <f>0.08*0.01</f>
        <v>8.0000000000000004E-4</v>
      </c>
      <c r="F143" s="248">
        <f>E143*F141</f>
        <v>0.26880000000000004</v>
      </c>
      <c r="G143" s="809"/>
      <c r="H143" s="809"/>
      <c r="I143" s="809"/>
      <c r="J143" s="809"/>
      <c r="K143" s="809">
        <v>0</v>
      </c>
      <c r="L143" s="809">
        <f>F143*K143</f>
        <v>0</v>
      </c>
      <c r="M143" s="809">
        <f>L143+J143+H143</f>
        <v>0</v>
      </c>
      <c r="N143" s="253"/>
      <c r="O143" s="253"/>
      <c r="P143" s="253"/>
      <c r="Q143" s="253"/>
    </row>
    <row r="144" spans="1:17" s="247" customFormat="1" ht="16.2">
      <c r="A144" s="248"/>
      <c r="B144" s="250" t="s">
        <v>736</v>
      </c>
      <c r="C144" s="249" t="s">
        <v>272</v>
      </c>
      <c r="D144" s="248" t="s">
        <v>67</v>
      </c>
      <c r="E144" s="248">
        <f>0.07*0.01</f>
        <v>7.000000000000001E-4</v>
      </c>
      <c r="F144" s="248">
        <f>E144*F141</f>
        <v>0.23520000000000002</v>
      </c>
      <c r="G144" s="809">
        <v>0</v>
      </c>
      <c r="H144" s="809">
        <f>F144*G144</f>
        <v>0</v>
      </c>
      <c r="I144" s="809"/>
      <c r="J144" s="809"/>
      <c r="K144" s="809"/>
      <c r="L144" s="809"/>
      <c r="M144" s="809">
        <f>L144+J144+H144</f>
        <v>0</v>
      </c>
      <c r="N144" s="253"/>
      <c r="O144" s="253"/>
      <c r="P144" s="253"/>
      <c r="Q144" s="253"/>
    </row>
    <row r="145" spans="1:17" s="247" customFormat="1" ht="16.2">
      <c r="A145" s="248"/>
      <c r="B145" s="250"/>
      <c r="C145" s="249" t="s">
        <v>94</v>
      </c>
      <c r="D145" s="248" t="s">
        <v>262</v>
      </c>
      <c r="E145" s="248">
        <f>0.3*0.01</f>
        <v>3.0000000000000001E-3</v>
      </c>
      <c r="F145" s="248">
        <f>E145*F141</f>
        <v>1.008</v>
      </c>
      <c r="G145" s="809">
        <v>0</v>
      </c>
      <c r="H145" s="809">
        <f>F145*G145</f>
        <v>0</v>
      </c>
      <c r="I145" s="809"/>
      <c r="J145" s="809"/>
      <c r="K145" s="809"/>
      <c r="L145" s="809"/>
      <c r="M145" s="809">
        <f>H145+J145+L145</f>
        <v>0</v>
      </c>
      <c r="N145" s="253"/>
      <c r="O145" s="253"/>
      <c r="P145" s="253"/>
      <c r="Q145" s="253"/>
    </row>
    <row r="146" spans="1:17" s="247" customFormat="1" ht="30">
      <c r="A146" s="95">
        <v>21</v>
      </c>
      <c r="B146" s="623" t="s">
        <v>324</v>
      </c>
      <c r="C146" s="98" t="s">
        <v>325</v>
      </c>
      <c r="D146" s="95" t="s">
        <v>67</v>
      </c>
      <c r="E146" s="95"/>
      <c r="F146" s="95">
        <v>1.1169</v>
      </c>
      <c r="G146" s="845"/>
      <c r="H146" s="845"/>
      <c r="I146" s="845"/>
      <c r="J146" s="845"/>
      <c r="K146" s="845"/>
      <c r="L146" s="845"/>
      <c r="M146" s="845">
        <f>SUM(M147:M148)</f>
        <v>0</v>
      </c>
      <c r="N146" s="253"/>
      <c r="O146" s="253"/>
      <c r="P146" s="253"/>
      <c r="Q146" s="253"/>
    </row>
    <row r="147" spans="1:17" s="247" customFormat="1" ht="16.2">
      <c r="A147" s="248"/>
      <c r="B147" s="250"/>
      <c r="C147" s="249" t="s">
        <v>58</v>
      </c>
      <c r="D147" s="248" t="s">
        <v>5</v>
      </c>
      <c r="E147" s="248">
        <v>12.3</v>
      </c>
      <c r="F147" s="254">
        <f>F146*E147</f>
        <v>13.737870000000001</v>
      </c>
      <c r="G147" s="809"/>
      <c r="H147" s="809"/>
      <c r="I147" s="809">
        <v>0</v>
      </c>
      <c r="J147" s="809">
        <f>I147*F147</f>
        <v>0</v>
      </c>
      <c r="K147" s="809"/>
      <c r="L147" s="809"/>
      <c r="M147" s="809">
        <f>L147+J147+H147</f>
        <v>0</v>
      </c>
      <c r="N147" s="253"/>
      <c r="O147" s="253"/>
      <c r="P147" s="253"/>
      <c r="Q147" s="253"/>
    </row>
    <row r="148" spans="1:17" s="247" customFormat="1" ht="16.2">
      <c r="A148" s="248"/>
      <c r="B148" s="250" t="s">
        <v>439</v>
      </c>
      <c r="C148" s="249" t="s">
        <v>269</v>
      </c>
      <c r="D148" s="248" t="s">
        <v>70</v>
      </c>
      <c r="E148" s="248"/>
      <c r="F148" s="248">
        <v>1116.9000000000001</v>
      </c>
      <c r="G148" s="809">
        <v>0</v>
      </c>
      <c r="H148" s="809">
        <f>F148*G148</f>
        <v>0</v>
      </c>
      <c r="I148" s="809"/>
      <c r="J148" s="809"/>
      <c r="K148" s="809"/>
      <c r="L148" s="809"/>
      <c r="M148" s="809">
        <f>H148+J148+L148</f>
        <v>0</v>
      </c>
      <c r="N148" s="253"/>
      <c r="O148" s="253"/>
      <c r="P148" s="253"/>
      <c r="Q148" s="253"/>
    </row>
    <row r="149" spans="1:17" s="247" customFormat="1" ht="17.399999999999999">
      <c r="A149" s="95">
        <v>22</v>
      </c>
      <c r="B149" s="623" t="s">
        <v>326</v>
      </c>
      <c r="C149" s="98" t="s">
        <v>327</v>
      </c>
      <c r="D149" s="95" t="s">
        <v>220</v>
      </c>
      <c r="E149" s="95"/>
      <c r="F149" s="95">
        <v>54</v>
      </c>
      <c r="G149" s="845"/>
      <c r="H149" s="845"/>
      <c r="I149" s="845"/>
      <c r="J149" s="845"/>
      <c r="K149" s="845"/>
      <c r="L149" s="845"/>
      <c r="M149" s="845">
        <f>M150</f>
        <v>0</v>
      </c>
      <c r="N149" s="253"/>
      <c r="O149" s="253"/>
      <c r="P149" s="253"/>
      <c r="Q149" s="253"/>
    </row>
    <row r="150" spans="1:17" s="247" customFormat="1" ht="16.2">
      <c r="A150" s="248"/>
      <c r="B150" s="250"/>
      <c r="C150" s="249" t="s">
        <v>58</v>
      </c>
      <c r="D150" s="248" t="s">
        <v>5</v>
      </c>
      <c r="E150" s="248">
        <v>1.21</v>
      </c>
      <c r="F150" s="248">
        <f>E150*F149</f>
        <v>65.34</v>
      </c>
      <c r="G150" s="809"/>
      <c r="H150" s="809"/>
      <c r="I150" s="809">
        <v>0</v>
      </c>
      <c r="J150" s="809">
        <f>I150*F150</f>
        <v>0</v>
      </c>
      <c r="K150" s="809"/>
      <c r="L150" s="809"/>
      <c r="M150" s="809">
        <f>L150+J150+H150</f>
        <v>0</v>
      </c>
      <c r="N150" s="253"/>
      <c r="O150" s="253"/>
      <c r="P150" s="253"/>
      <c r="Q150" s="253"/>
    </row>
    <row r="151" spans="1:17" s="247" customFormat="1" ht="16.2">
      <c r="A151" s="95">
        <v>23</v>
      </c>
      <c r="B151" s="623" t="s">
        <v>316</v>
      </c>
      <c r="C151" s="98" t="s">
        <v>328</v>
      </c>
      <c r="D151" s="95" t="s">
        <v>81</v>
      </c>
      <c r="E151" s="95"/>
      <c r="F151" s="95">
        <v>159</v>
      </c>
      <c r="G151" s="845"/>
      <c r="H151" s="845"/>
      <c r="I151" s="845"/>
      <c r="J151" s="845"/>
      <c r="K151" s="845"/>
      <c r="L151" s="845"/>
      <c r="M151" s="845">
        <f>SUM(M152:M154)</f>
        <v>0</v>
      </c>
      <c r="N151" s="253"/>
      <c r="O151" s="253"/>
      <c r="P151" s="253"/>
      <c r="Q151" s="253"/>
    </row>
    <row r="152" spans="1:17" s="247" customFormat="1" ht="16.2">
      <c r="A152" s="248"/>
      <c r="B152" s="250"/>
      <c r="C152" s="249" t="s">
        <v>58</v>
      </c>
      <c r="D152" s="248" t="s">
        <v>5</v>
      </c>
      <c r="E152" s="248">
        <f>(8.53+0.82*15)*0.01</f>
        <v>0.20829999999999999</v>
      </c>
      <c r="F152" s="248">
        <f>E152*F151</f>
        <v>33.119699999999995</v>
      </c>
      <c r="G152" s="809"/>
      <c r="H152" s="809"/>
      <c r="I152" s="809">
        <v>0</v>
      </c>
      <c r="J152" s="809">
        <f>I152*F152</f>
        <v>0</v>
      </c>
      <c r="K152" s="809"/>
      <c r="L152" s="809"/>
      <c r="M152" s="809">
        <f>L152+J152+H152</f>
        <v>0</v>
      </c>
      <c r="N152" s="253"/>
      <c r="O152" s="253"/>
      <c r="P152" s="253"/>
      <c r="Q152" s="253"/>
    </row>
    <row r="153" spans="1:17" s="247" customFormat="1" ht="16.2">
      <c r="A153" s="248"/>
      <c r="B153" s="250"/>
      <c r="C153" s="249" t="s">
        <v>59</v>
      </c>
      <c r="D153" s="248" t="s">
        <v>69</v>
      </c>
      <c r="E153" s="248">
        <f>(0.41+0.02*15)*0.01</f>
        <v>7.0999999999999995E-3</v>
      </c>
      <c r="F153" s="248">
        <f>E153*F151</f>
        <v>1.1289</v>
      </c>
      <c r="G153" s="809"/>
      <c r="H153" s="809"/>
      <c r="I153" s="809"/>
      <c r="J153" s="809"/>
      <c r="K153" s="809">
        <v>0</v>
      </c>
      <c r="L153" s="809">
        <f>F153*K153</f>
        <v>0</v>
      </c>
      <c r="M153" s="809">
        <f>L153+J153+H153</f>
        <v>0</v>
      </c>
      <c r="N153" s="253"/>
      <c r="O153" s="253"/>
      <c r="P153" s="253"/>
      <c r="Q153" s="253"/>
    </row>
    <row r="154" spans="1:17" s="247" customFormat="1" ht="16.2">
      <c r="A154" s="248"/>
      <c r="B154" s="250" t="s">
        <v>750</v>
      </c>
      <c r="C154" s="249" t="s">
        <v>318</v>
      </c>
      <c r="D154" s="248" t="s">
        <v>67</v>
      </c>
      <c r="E154" s="248">
        <f>(3+0.02*15)*0.01</f>
        <v>3.3000000000000002E-2</v>
      </c>
      <c r="F154" s="248">
        <f>E154*F151</f>
        <v>5.2469999999999999</v>
      </c>
      <c r="G154" s="809">
        <v>0</v>
      </c>
      <c r="H154" s="809">
        <f>F154*G154</f>
        <v>0</v>
      </c>
      <c r="I154" s="809"/>
      <c r="J154" s="809"/>
      <c r="K154" s="809"/>
      <c r="L154" s="809"/>
      <c r="M154" s="809">
        <f>L154+J154+H154</f>
        <v>0</v>
      </c>
      <c r="N154" s="253"/>
      <c r="O154" s="253"/>
      <c r="P154" s="253"/>
      <c r="Q154" s="253"/>
    </row>
    <row r="155" spans="1:17" s="247" customFormat="1" ht="30">
      <c r="A155" s="95">
        <v>25</v>
      </c>
      <c r="B155" s="623" t="s">
        <v>329</v>
      </c>
      <c r="C155" s="98" t="s">
        <v>330</v>
      </c>
      <c r="D155" s="95" t="s">
        <v>81</v>
      </c>
      <c r="E155" s="95"/>
      <c r="F155" s="95">
        <v>160</v>
      </c>
      <c r="G155" s="845"/>
      <c r="H155" s="845"/>
      <c r="I155" s="845"/>
      <c r="J155" s="845"/>
      <c r="K155" s="845"/>
      <c r="L155" s="845"/>
      <c r="M155" s="845">
        <f>SUM(M156:M159)</f>
        <v>0</v>
      </c>
      <c r="N155" s="253"/>
      <c r="O155" s="253"/>
      <c r="P155" s="253"/>
      <c r="Q155" s="253"/>
    </row>
    <row r="156" spans="1:17" s="247" customFormat="1" ht="16.2">
      <c r="A156" s="248"/>
      <c r="B156" s="250"/>
      <c r="C156" s="249" t="s">
        <v>58</v>
      </c>
      <c r="D156" s="248" t="s">
        <v>5</v>
      </c>
      <c r="E156" s="248">
        <f>(14.3+0.07*40)*0.01</f>
        <v>0.17100000000000001</v>
      </c>
      <c r="F156" s="248">
        <f>F155*E156</f>
        <v>27.360000000000003</v>
      </c>
      <c r="G156" s="809"/>
      <c r="H156" s="809"/>
      <c r="I156" s="809">
        <v>0</v>
      </c>
      <c r="J156" s="809">
        <f>I156*F156</f>
        <v>0</v>
      </c>
      <c r="K156" s="809"/>
      <c r="L156" s="809"/>
      <c r="M156" s="809">
        <f>L156+J156+H156</f>
        <v>0</v>
      </c>
      <c r="N156" s="253"/>
      <c r="O156" s="253"/>
      <c r="P156" s="253"/>
      <c r="Q156" s="253"/>
    </row>
    <row r="157" spans="1:17" s="247" customFormat="1" ht="16.2">
      <c r="A157" s="248"/>
      <c r="B157" s="250"/>
      <c r="C157" s="249" t="s">
        <v>64</v>
      </c>
      <c r="D157" s="248" t="s">
        <v>7</v>
      </c>
      <c r="E157" s="248">
        <f>(0.74+0.05*40)*0.01</f>
        <v>2.7400000000000004E-2</v>
      </c>
      <c r="F157" s="248">
        <f>E157*F155</f>
        <v>4.3840000000000003</v>
      </c>
      <c r="G157" s="809"/>
      <c r="H157" s="809"/>
      <c r="I157" s="809"/>
      <c r="J157" s="809"/>
      <c r="K157" s="809">
        <v>0</v>
      </c>
      <c r="L157" s="809">
        <f>K157*F157</f>
        <v>0</v>
      </c>
      <c r="M157" s="809">
        <f>L157+J157+H157</f>
        <v>0</v>
      </c>
      <c r="N157" s="253"/>
      <c r="O157" s="253"/>
      <c r="P157" s="253"/>
      <c r="Q157" s="253"/>
    </row>
    <row r="158" spans="1:17" s="247" customFormat="1" ht="16.2">
      <c r="A158" s="248"/>
      <c r="B158" s="250" t="s">
        <v>751</v>
      </c>
      <c r="C158" s="249" t="s">
        <v>331</v>
      </c>
      <c r="D158" s="248" t="s">
        <v>6</v>
      </c>
      <c r="E158" s="248">
        <f>(1.58+0.105*40)*0.01</f>
        <v>5.7800000000000004E-2</v>
      </c>
      <c r="F158" s="248">
        <f>E158*F155</f>
        <v>9.2480000000000011</v>
      </c>
      <c r="G158" s="809">
        <v>0</v>
      </c>
      <c r="H158" s="809">
        <f>F158*G158</f>
        <v>0</v>
      </c>
      <c r="I158" s="809"/>
      <c r="J158" s="809"/>
      <c r="K158" s="809"/>
      <c r="L158" s="809"/>
      <c r="M158" s="809">
        <f>L158+J158+H158</f>
        <v>0</v>
      </c>
      <c r="N158" s="253"/>
      <c r="O158" s="253"/>
      <c r="P158" s="253"/>
      <c r="Q158" s="253"/>
    </row>
    <row r="159" spans="1:17" s="247" customFormat="1" ht="16.2">
      <c r="A159" s="248"/>
      <c r="B159" s="250"/>
      <c r="C159" s="249" t="s">
        <v>68</v>
      </c>
      <c r="D159" s="248" t="s">
        <v>69</v>
      </c>
      <c r="E159" s="248">
        <f>6.4*0.01</f>
        <v>6.4000000000000001E-2</v>
      </c>
      <c r="F159" s="248">
        <f>E159*F155</f>
        <v>10.24</v>
      </c>
      <c r="G159" s="809">
        <v>0</v>
      </c>
      <c r="H159" s="809">
        <f>F159*G159</f>
        <v>0</v>
      </c>
      <c r="I159" s="809"/>
      <c r="J159" s="809"/>
      <c r="K159" s="809"/>
      <c r="L159" s="809"/>
      <c r="M159" s="809">
        <f>L159+J159+H159</f>
        <v>0</v>
      </c>
      <c r="N159" s="253"/>
      <c r="O159" s="253"/>
      <c r="P159" s="253"/>
      <c r="Q159" s="253"/>
    </row>
    <row r="160" spans="1:17" s="247" customFormat="1" ht="16.2">
      <c r="A160" s="95">
        <v>26</v>
      </c>
      <c r="B160" s="95" t="s">
        <v>332</v>
      </c>
      <c r="C160" s="98" t="s">
        <v>333</v>
      </c>
      <c r="D160" s="95" t="s">
        <v>334</v>
      </c>
      <c r="E160" s="95"/>
      <c r="F160" s="95">
        <v>5</v>
      </c>
      <c r="G160" s="845"/>
      <c r="H160" s="845"/>
      <c r="I160" s="845"/>
      <c r="J160" s="845"/>
      <c r="K160" s="845"/>
      <c r="L160" s="845"/>
      <c r="M160" s="845">
        <f>SUM(M161:M164)</f>
        <v>0</v>
      </c>
      <c r="N160" s="253"/>
      <c r="O160" s="253"/>
      <c r="P160" s="253"/>
      <c r="Q160" s="253"/>
    </row>
    <row r="161" spans="1:17" s="247" customFormat="1" ht="16.2">
      <c r="A161" s="248"/>
      <c r="B161" s="248"/>
      <c r="C161" s="249" t="s">
        <v>58</v>
      </c>
      <c r="D161" s="248" t="s">
        <v>5</v>
      </c>
      <c r="E161" s="248">
        <v>8.2200000000000006</v>
      </c>
      <c r="F161" s="248">
        <f>F160*E161</f>
        <v>41.1</v>
      </c>
      <c r="G161" s="809"/>
      <c r="H161" s="809"/>
      <c r="I161" s="809">
        <v>0</v>
      </c>
      <c r="J161" s="809">
        <f>I161*F161</f>
        <v>0</v>
      </c>
      <c r="K161" s="809"/>
      <c r="L161" s="809"/>
      <c r="M161" s="809">
        <f>L161+J161+H161</f>
        <v>0</v>
      </c>
      <c r="N161" s="253"/>
      <c r="O161" s="253"/>
      <c r="P161" s="253"/>
      <c r="Q161" s="253"/>
    </row>
    <row r="162" spans="1:17" s="247" customFormat="1" ht="16.2">
      <c r="A162" s="248"/>
      <c r="B162" s="248"/>
      <c r="C162" s="249" t="s">
        <v>64</v>
      </c>
      <c r="D162" s="248" t="s">
        <v>69</v>
      </c>
      <c r="E162" s="248">
        <v>0.23</v>
      </c>
      <c r="F162" s="248">
        <f>E162*F160</f>
        <v>1.1500000000000001</v>
      </c>
      <c r="G162" s="809"/>
      <c r="H162" s="809"/>
      <c r="I162" s="809"/>
      <c r="J162" s="809"/>
      <c r="K162" s="809">
        <v>0</v>
      </c>
      <c r="L162" s="809">
        <f>F162*K162</f>
        <v>0</v>
      </c>
      <c r="M162" s="809">
        <f>L162+J162+H162</f>
        <v>0</v>
      </c>
      <c r="N162" s="253"/>
      <c r="O162" s="253"/>
      <c r="P162" s="253"/>
      <c r="Q162" s="253"/>
    </row>
    <row r="163" spans="1:17" s="247" customFormat="1" ht="16.2">
      <c r="A163" s="248"/>
      <c r="B163" s="248"/>
      <c r="C163" s="249" t="s">
        <v>61</v>
      </c>
      <c r="D163" s="248" t="s">
        <v>6</v>
      </c>
      <c r="E163" s="248">
        <v>125</v>
      </c>
      <c r="F163" s="248">
        <f>E163*F160</f>
        <v>625</v>
      </c>
      <c r="G163" s="809">
        <v>0</v>
      </c>
      <c r="H163" s="809">
        <f>F163*G163</f>
        <v>0</v>
      </c>
      <c r="I163" s="809"/>
      <c r="J163" s="809"/>
      <c r="K163" s="809"/>
      <c r="L163" s="809"/>
      <c r="M163" s="809">
        <f>L163+J163+H163</f>
        <v>0</v>
      </c>
      <c r="N163" s="253"/>
      <c r="O163" s="253"/>
      <c r="P163" s="253"/>
      <c r="Q163" s="253"/>
    </row>
    <row r="164" spans="1:17" s="247" customFormat="1" ht="16.2">
      <c r="A164" s="248"/>
      <c r="B164" s="248"/>
      <c r="C164" s="249" t="s">
        <v>94</v>
      </c>
      <c r="D164" s="248" t="s">
        <v>262</v>
      </c>
      <c r="E164" s="248">
        <v>2.68</v>
      </c>
      <c r="F164" s="248">
        <f>E164*F160</f>
        <v>13.4</v>
      </c>
      <c r="G164" s="809">
        <v>0</v>
      </c>
      <c r="H164" s="809">
        <f>F164*G164</f>
        <v>0</v>
      </c>
      <c r="I164" s="809"/>
      <c r="J164" s="809"/>
      <c r="K164" s="809"/>
      <c r="L164" s="809"/>
      <c r="M164" s="809">
        <f>H164+J164+L164</f>
        <v>0</v>
      </c>
      <c r="N164" s="253"/>
      <c r="O164" s="253"/>
      <c r="P164" s="253"/>
      <c r="Q164" s="253"/>
    </row>
    <row r="165" spans="1:17" s="247" customFormat="1" ht="16.2">
      <c r="A165" s="95">
        <v>27</v>
      </c>
      <c r="B165" s="95" t="s">
        <v>335</v>
      </c>
      <c r="C165" s="98" t="s">
        <v>336</v>
      </c>
      <c r="D165" s="95" t="s">
        <v>334</v>
      </c>
      <c r="E165" s="95"/>
      <c r="F165" s="95">
        <v>5</v>
      </c>
      <c r="G165" s="845"/>
      <c r="H165" s="845"/>
      <c r="I165" s="845"/>
      <c r="J165" s="845"/>
      <c r="K165" s="845"/>
      <c r="L165" s="845"/>
      <c r="M165" s="845">
        <f>SUM(M166:M170)</f>
        <v>0</v>
      </c>
      <c r="N165" s="253"/>
      <c r="O165" s="253"/>
      <c r="P165" s="253"/>
      <c r="Q165" s="253"/>
    </row>
    <row r="166" spans="1:17" s="247" customFormat="1" ht="16.2">
      <c r="A166" s="248"/>
      <c r="B166" s="248"/>
      <c r="C166" s="249" t="s">
        <v>58</v>
      </c>
      <c r="D166" s="248" t="s">
        <v>5</v>
      </c>
      <c r="E166" s="248">
        <v>16.5</v>
      </c>
      <c r="F166" s="248">
        <f>F165*E166</f>
        <v>82.5</v>
      </c>
      <c r="G166" s="809"/>
      <c r="H166" s="809"/>
      <c r="I166" s="809">
        <v>0</v>
      </c>
      <c r="J166" s="809">
        <f>I166*F166</f>
        <v>0</v>
      </c>
      <c r="K166" s="809"/>
      <c r="L166" s="809"/>
      <c r="M166" s="809">
        <f>L166+J166+H166</f>
        <v>0</v>
      </c>
      <c r="N166" s="253"/>
      <c r="O166" s="253"/>
      <c r="P166" s="253"/>
      <c r="Q166" s="253"/>
    </row>
    <row r="167" spans="1:17" s="247" customFormat="1" ht="16.2">
      <c r="A167" s="248"/>
      <c r="B167" s="248"/>
      <c r="C167" s="249" t="s">
        <v>64</v>
      </c>
      <c r="D167" s="248" t="s">
        <v>69</v>
      </c>
      <c r="E167" s="248">
        <v>7.0000000000000007E-2</v>
      </c>
      <c r="F167" s="248">
        <f>E167*F165</f>
        <v>0.35000000000000003</v>
      </c>
      <c r="G167" s="809"/>
      <c r="H167" s="809"/>
      <c r="I167" s="809"/>
      <c r="J167" s="809"/>
      <c r="K167" s="809">
        <v>0</v>
      </c>
      <c r="L167" s="809">
        <f>F167*K167</f>
        <v>0</v>
      </c>
      <c r="M167" s="809">
        <f>L167+J167+H167</f>
        <v>0</v>
      </c>
      <c r="N167" s="253"/>
      <c r="O167" s="253"/>
      <c r="P167" s="253"/>
      <c r="Q167" s="253"/>
    </row>
    <row r="168" spans="1:17" s="247" customFormat="1" ht="16.2">
      <c r="A168" s="248"/>
      <c r="B168" s="189" t="s">
        <v>255</v>
      </c>
      <c r="C168" s="249" t="s">
        <v>61</v>
      </c>
      <c r="D168" s="248" t="s">
        <v>6</v>
      </c>
      <c r="E168" s="248">
        <v>332</v>
      </c>
      <c r="F168" s="248">
        <f>E168*F165</f>
        <v>1660</v>
      </c>
      <c r="G168" s="809">
        <v>0</v>
      </c>
      <c r="H168" s="809">
        <f>F168*G168</f>
        <v>0</v>
      </c>
      <c r="I168" s="809"/>
      <c r="J168" s="809"/>
      <c r="K168" s="809"/>
      <c r="L168" s="809"/>
      <c r="M168" s="809">
        <f>L168+J168+H168</f>
        <v>0</v>
      </c>
      <c r="N168" s="253"/>
      <c r="O168" s="253"/>
      <c r="P168" s="253"/>
      <c r="Q168" s="253"/>
    </row>
    <row r="169" spans="1:17" s="247" customFormat="1" ht="16.2">
      <c r="A169" s="248"/>
      <c r="B169" s="189" t="s">
        <v>337</v>
      </c>
      <c r="C169" s="249" t="s">
        <v>338</v>
      </c>
      <c r="D169" s="248" t="s">
        <v>70</v>
      </c>
      <c r="E169" s="248">
        <v>30</v>
      </c>
      <c r="F169" s="248">
        <f>E169*F165</f>
        <v>150</v>
      </c>
      <c r="G169" s="809">
        <v>0</v>
      </c>
      <c r="H169" s="809">
        <f>F169*G169</f>
        <v>0</v>
      </c>
      <c r="I169" s="809"/>
      <c r="J169" s="809"/>
      <c r="K169" s="809"/>
      <c r="L169" s="809"/>
      <c r="M169" s="809">
        <f>L169+J169+H169</f>
        <v>0</v>
      </c>
      <c r="N169" s="253"/>
      <c r="O169" s="253"/>
      <c r="P169" s="253"/>
      <c r="Q169" s="253"/>
    </row>
    <row r="170" spans="1:17" s="247" customFormat="1" ht="16.2">
      <c r="A170" s="248"/>
      <c r="B170" s="248"/>
      <c r="C170" s="249" t="s">
        <v>94</v>
      </c>
      <c r="D170" s="248" t="s">
        <v>262</v>
      </c>
      <c r="E170" s="248">
        <v>0.88</v>
      </c>
      <c r="F170" s="248">
        <f>E170*F165</f>
        <v>4.4000000000000004</v>
      </c>
      <c r="G170" s="809">
        <v>0</v>
      </c>
      <c r="H170" s="809">
        <f>F170*G170</f>
        <v>0</v>
      </c>
      <c r="I170" s="809"/>
      <c r="J170" s="809"/>
      <c r="K170" s="809"/>
      <c r="L170" s="809"/>
      <c r="M170" s="809">
        <f>H170+J170+L170</f>
        <v>0</v>
      </c>
      <c r="N170" s="253"/>
      <c r="O170" s="253"/>
      <c r="P170" s="253"/>
      <c r="Q170" s="253"/>
    </row>
    <row r="171" spans="1:17" s="247" customFormat="1" ht="16.2">
      <c r="A171" s="95">
        <v>28</v>
      </c>
      <c r="B171" s="95" t="s">
        <v>339</v>
      </c>
      <c r="C171" s="98" t="s">
        <v>340</v>
      </c>
      <c r="D171" s="95" t="s">
        <v>67</v>
      </c>
      <c r="E171" s="95"/>
      <c r="F171" s="95">
        <v>7.5</v>
      </c>
      <c r="G171" s="845"/>
      <c r="H171" s="845"/>
      <c r="I171" s="845"/>
      <c r="J171" s="845"/>
      <c r="K171" s="845"/>
      <c r="L171" s="845"/>
      <c r="M171" s="845">
        <f>M172</f>
        <v>0</v>
      </c>
      <c r="N171" s="253"/>
      <c r="O171" s="253"/>
      <c r="P171" s="253"/>
      <c r="Q171" s="253"/>
    </row>
    <row r="172" spans="1:17" s="247" customFormat="1" ht="16.2">
      <c r="A172" s="95"/>
      <c r="B172" s="95"/>
      <c r="C172" s="249" t="s">
        <v>58</v>
      </c>
      <c r="D172" s="94" t="s">
        <v>67</v>
      </c>
      <c r="E172" s="94">
        <v>0.53</v>
      </c>
      <c r="F172" s="94">
        <f>F171*E172</f>
        <v>3.9750000000000001</v>
      </c>
      <c r="G172" s="853"/>
      <c r="H172" s="853"/>
      <c r="I172" s="809">
        <v>0</v>
      </c>
      <c r="J172" s="853">
        <f>I172*F172</f>
        <v>0</v>
      </c>
      <c r="K172" s="853"/>
      <c r="L172" s="853"/>
      <c r="M172" s="853">
        <f>L172+J172+H172</f>
        <v>0</v>
      </c>
      <c r="N172" s="253"/>
      <c r="O172" s="253"/>
      <c r="P172" s="253"/>
      <c r="Q172" s="253"/>
    </row>
    <row r="173" spans="1:17" s="247" customFormat="1" ht="16.2">
      <c r="A173" s="95">
        <v>29</v>
      </c>
      <c r="B173" s="255"/>
      <c r="C173" s="98" t="s">
        <v>341</v>
      </c>
      <c r="D173" s="95" t="s">
        <v>67</v>
      </c>
      <c r="E173" s="95"/>
      <c r="F173" s="95">
        <v>7.5</v>
      </c>
      <c r="G173" s="845"/>
      <c r="H173" s="845"/>
      <c r="I173" s="845"/>
      <c r="J173" s="845"/>
      <c r="K173" s="845"/>
      <c r="L173" s="845"/>
      <c r="M173" s="845">
        <f>M174</f>
        <v>0</v>
      </c>
      <c r="N173" s="253"/>
      <c r="O173" s="253"/>
      <c r="P173" s="253"/>
      <c r="Q173" s="253"/>
    </row>
    <row r="174" spans="1:17" s="247" customFormat="1" ht="16.2">
      <c r="A174" s="95"/>
      <c r="B174" s="176" t="s">
        <v>83</v>
      </c>
      <c r="C174" s="97" t="s">
        <v>341</v>
      </c>
      <c r="D174" s="94" t="s">
        <v>67</v>
      </c>
      <c r="E174" s="94">
        <v>1</v>
      </c>
      <c r="F174" s="94">
        <f>E174*F173</f>
        <v>7.5</v>
      </c>
      <c r="G174" s="853"/>
      <c r="H174" s="853"/>
      <c r="I174" s="853"/>
      <c r="J174" s="853"/>
      <c r="K174" s="795">
        <v>0</v>
      </c>
      <c r="L174" s="853">
        <f>F174*K174</f>
        <v>0</v>
      </c>
      <c r="M174" s="853">
        <f>L174+J174+H174</f>
        <v>0</v>
      </c>
      <c r="N174" s="253"/>
      <c r="O174" s="253"/>
      <c r="P174" s="253"/>
      <c r="Q174" s="253"/>
    </row>
    <row r="175" spans="1:17" s="247" customFormat="1" ht="16.2">
      <c r="A175" s="95">
        <v>30</v>
      </c>
      <c r="B175" s="95" t="s">
        <v>342</v>
      </c>
      <c r="C175" s="98" t="s">
        <v>343</v>
      </c>
      <c r="D175" s="95" t="s">
        <v>6</v>
      </c>
      <c r="E175" s="95"/>
      <c r="F175" s="95">
        <f>160*0.2</f>
        <v>32</v>
      </c>
      <c r="G175" s="845"/>
      <c r="H175" s="845"/>
      <c r="I175" s="845"/>
      <c r="J175" s="845"/>
      <c r="K175" s="845"/>
      <c r="L175" s="845"/>
      <c r="M175" s="845">
        <f>M176</f>
        <v>0</v>
      </c>
      <c r="N175" s="253"/>
      <c r="O175" s="253"/>
      <c r="P175" s="253"/>
      <c r="Q175" s="253"/>
    </row>
    <row r="176" spans="1:17" s="247" customFormat="1" ht="16.2">
      <c r="A176" s="248"/>
      <c r="B176" s="176" t="s">
        <v>366</v>
      </c>
      <c r="C176" s="249" t="s">
        <v>228</v>
      </c>
      <c r="D176" s="248" t="s">
        <v>229</v>
      </c>
      <c r="E176" s="248">
        <f>6.28*0.001</f>
        <v>6.28E-3</v>
      </c>
      <c r="F176" s="117">
        <f>E176*F175</f>
        <v>0.20096</v>
      </c>
      <c r="G176" s="809"/>
      <c r="H176" s="809"/>
      <c r="I176" s="809"/>
      <c r="J176" s="809"/>
      <c r="K176" s="799">
        <v>0</v>
      </c>
      <c r="L176" s="809">
        <f>F176*K176</f>
        <v>0</v>
      </c>
      <c r="M176" s="809">
        <f>L176+J176+H176</f>
        <v>0</v>
      </c>
      <c r="N176" s="253"/>
      <c r="O176" s="253"/>
      <c r="P176" s="253"/>
      <c r="Q176" s="253"/>
    </row>
    <row r="177" spans="1:17" ht="16.2">
      <c r="A177" s="234"/>
      <c r="B177" s="235"/>
      <c r="C177" s="236" t="s">
        <v>2</v>
      </c>
      <c r="D177" s="828"/>
      <c r="E177" s="829"/>
      <c r="F177" s="830"/>
      <c r="G177" s="831"/>
      <c r="H177" s="831">
        <f>SUM(H10:H176)</f>
        <v>0</v>
      </c>
      <c r="I177" s="831"/>
      <c r="J177" s="831">
        <f>SUM(J10:J176)</f>
        <v>0</v>
      </c>
      <c r="K177" s="831"/>
      <c r="L177" s="831">
        <f>SUM(L10:L176)</f>
        <v>0</v>
      </c>
      <c r="M177" s="831">
        <f>SUM(M10:M176)/2</f>
        <v>0</v>
      </c>
      <c r="N177" s="256">
        <f>H177+J177+L177</f>
        <v>0</v>
      </c>
      <c r="O177" s="256">
        <f>M177-N177</f>
        <v>0</v>
      </c>
      <c r="P177" s="253"/>
      <c r="Q177" s="253"/>
    </row>
    <row r="178" spans="1:17" ht="16.2">
      <c r="A178" s="238"/>
      <c r="B178" s="239"/>
      <c r="C178" s="240" t="s">
        <v>27</v>
      </c>
      <c r="D178" s="832">
        <v>0</v>
      </c>
      <c r="E178" s="833"/>
      <c r="F178" s="834"/>
      <c r="G178" s="835"/>
      <c r="H178" s="835"/>
      <c r="I178" s="835"/>
      <c r="J178" s="835"/>
      <c r="K178" s="835"/>
      <c r="L178" s="835"/>
      <c r="M178" s="835">
        <f>H177*D178</f>
        <v>0</v>
      </c>
      <c r="N178" s="256"/>
      <c r="O178" s="253"/>
      <c r="P178" s="253"/>
      <c r="Q178" s="253"/>
    </row>
    <row r="179" spans="1:17" ht="16.2">
      <c r="A179" s="238"/>
      <c r="B179" s="600"/>
      <c r="C179" s="241" t="s">
        <v>2</v>
      </c>
      <c r="D179" s="836"/>
      <c r="E179" s="837"/>
      <c r="F179" s="838"/>
      <c r="G179" s="839"/>
      <c r="H179" s="839"/>
      <c r="I179" s="839"/>
      <c r="J179" s="839"/>
      <c r="K179" s="839"/>
      <c r="L179" s="839"/>
      <c r="M179" s="839">
        <f>M177+M178</f>
        <v>0</v>
      </c>
      <c r="N179" s="253"/>
      <c r="O179" s="253"/>
      <c r="P179" s="253"/>
      <c r="Q179" s="253"/>
    </row>
    <row r="180" spans="1:17" ht="16.2">
      <c r="A180" s="238"/>
      <c r="B180" s="600"/>
      <c r="C180" s="242" t="s">
        <v>28</v>
      </c>
      <c r="D180" s="841">
        <v>0</v>
      </c>
      <c r="E180" s="833"/>
      <c r="F180" s="834"/>
      <c r="G180" s="835"/>
      <c r="H180" s="835"/>
      <c r="I180" s="835"/>
      <c r="J180" s="835"/>
      <c r="K180" s="835"/>
      <c r="L180" s="835"/>
      <c r="M180" s="835">
        <f>M179*D180</f>
        <v>0</v>
      </c>
      <c r="N180" s="253"/>
      <c r="O180" s="253"/>
      <c r="P180" s="253"/>
      <c r="Q180" s="253"/>
    </row>
    <row r="181" spans="1:17" ht="16.2">
      <c r="A181" s="238"/>
      <c r="B181" s="600"/>
      <c r="C181" s="241" t="s">
        <v>2</v>
      </c>
      <c r="D181" s="836"/>
      <c r="E181" s="837"/>
      <c r="F181" s="838"/>
      <c r="G181" s="839"/>
      <c r="H181" s="839"/>
      <c r="I181" s="839"/>
      <c r="J181" s="839"/>
      <c r="K181" s="839"/>
      <c r="L181" s="839"/>
      <c r="M181" s="839">
        <f>M179+M180</f>
        <v>0</v>
      </c>
      <c r="N181" s="253"/>
      <c r="O181" s="253"/>
      <c r="P181" s="253"/>
      <c r="Q181" s="253"/>
    </row>
    <row r="182" spans="1:17" ht="16.2">
      <c r="A182" s="238"/>
      <c r="B182" s="600"/>
      <c r="C182" s="242" t="s">
        <v>29</v>
      </c>
      <c r="D182" s="832">
        <v>0</v>
      </c>
      <c r="E182" s="833"/>
      <c r="F182" s="834"/>
      <c r="G182" s="835"/>
      <c r="H182" s="835"/>
      <c r="I182" s="835"/>
      <c r="J182" s="835"/>
      <c r="K182" s="835"/>
      <c r="L182" s="835"/>
      <c r="M182" s="835">
        <f>M181*D182</f>
        <v>0</v>
      </c>
      <c r="N182" s="253"/>
      <c r="O182" s="253"/>
      <c r="P182" s="253"/>
      <c r="Q182" s="253"/>
    </row>
    <row r="183" spans="1:17" ht="16.2">
      <c r="A183" s="238"/>
      <c r="B183" s="600"/>
      <c r="C183" s="241" t="s">
        <v>30</v>
      </c>
      <c r="D183" s="838"/>
      <c r="E183" s="837"/>
      <c r="F183" s="838"/>
      <c r="G183" s="839"/>
      <c r="H183" s="839"/>
      <c r="I183" s="839"/>
      <c r="J183" s="839"/>
      <c r="K183" s="839"/>
      <c r="L183" s="839"/>
      <c r="M183" s="839">
        <f>M181+M182</f>
        <v>0</v>
      </c>
      <c r="N183" s="253"/>
      <c r="O183" s="253"/>
      <c r="P183" s="253"/>
      <c r="Q183" s="253"/>
    </row>
    <row r="184" spans="1:17">
      <c r="D184" s="857"/>
      <c r="E184" s="857"/>
      <c r="F184" s="857"/>
      <c r="G184" s="857"/>
      <c r="H184" s="857"/>
      <c r="I184" s="857"/>
      <c r="J184" s="857"/>
      <c r="K184" s="857"/>
      <c r="L184" s="857"/>
      <c r="M184" s="857"/>
    </row>
    <row r="185" spans="1:17">
      <c r="D185" s="857"/>
      <c r="E185" s="857"/>
      <c r="F185" s="857"/>
      <c r="G185" s="857"/>
      <c r="H185" s="857"/>
      <c r="I185" s="857"/>
      <c r="J185" s="857"/>
      <c r="K185" s="857"/>
      <c r="L185" s="857"/>
      <c r="M185" s="857"/>
    </row>
    <row r="186" spans="1:17">
      <c r="D186" s="857"/>
      <c r="E186" s="857"/>
      <c r="F186" s="857"/>
      <c r="G186" s="857"/>
      <c r="H186" s="857"/>
      <c r="I186" s="857"/>
      <c r="J186" s="857"/>
      <c r="K186" s="857"/>
      <c r="L186" s="857"/>
      <c r="M186" s="857"/>
    </row>
    <row r="187" spans="1:17">
      <c r="D187" s="857"/>
      <c r="E187" s="857"/>
      <c r="F187" s="857"/>
      <c r="G187" s="857"/>
      <c r="H187" s="857"/>
      <c r="I187" s="857"/>
      <c r="J187" s="857"/>
      <c r="K187" s="857"/>
      <c r="L187" s="857"/>
      <c r="M187" s="857"/>
    </row>
    <row r="188" spans="1:17">
      <c r="D188" s="857"/>
      <c r="E188" s="857"/>
      <c r="F188" s="857"/>
      <c r="G188" s="857"/>
      <c r="H188" s="857"/>
      <c r="I188" s="857"/>
      <c r="J188" s="857"/>
      <c r="K188" s="857"/>
      <c r="L188" s="857"/>
      <c r="M188" s="857"/>
    </row>
  </sheetData>
  <sheetProtection algorithmName="SHA-512" hashValue="sJEtlPF9QiId79sFanhusg5HOp7MVw/H42sHGFDu1I47l4YyVHDsWwHG4NTpLER1OIPQnE8UWQsgXg06dqP62g==" saltValue="Ys1FmEriSWmDNDZ3FRyhKQ==" spinCount="100000" sheet="1" objects="1" scenarios="1"/>
  <autoFilter ref="A9:M183"/>
  <mergeCells count="17">
    <mergeCell ref="N92:Q92"/>
    <mergeCell ref="N105:Q105"/>
    <mergeCell ref="F7:F8"/>
    <mergeCell ref="A1:M1"/>
    <mergeCell ref="A2:F2"/>
    <mergeCell ref="A3:M3"/>
    <mergeCell ref="A4:M4"/>
    <mergeCell ref="B5:G5"/>
    <mergeCell ref="C6:K6"/>
    <mergeCell ref="A7:A8"/>
    <mergeCell ref="B7:B8"/>
    <mergeCell ref="C7:C8"/>
    <mergeCell ref="D7:D8"/>
    <mergeCell ref="E7:E8"/>
    <mergeCell ref="G7:H7"/>
    <mergeCell ref="I7:J7"/>
    <mergeCell ref="K7:L7"/>
  </mergeCells>
  <conditionalFormatting sqref="D12:M13 A12:B14 A52:B53 A174:M174 A39:B39 A38 A44:A45 C44:F44 A43:F43 A40:A42 C41:M41 D39:M39 A60:A61 A58:B59 A54:A57 A173 C173:M173 A36:M36 A37:J37 L37:M37 D14:F14 H14:M14 D38:F38 H38:M38 C42:F42 H42:M45 C40:F40 H40:M40 C45:E45">
    <cfRule type="cellIs" dxfId="228" priority="207" stopIfTrue="1" operator="equal">
      <formula>8223.307275</formula>
    </cfRule>
  </conditionalFormatting>
  <conditionalFormatting sqref="A10:M11">
    <cfRule type="cellIs" dxfId="227" priority="206" stopIfTrue="1" operator="equal">
      <formula>8223.307275</formula>
    </cfRule>
  </conditionalFormatting>
  <conditionalFormatting sqref="A12:M13 A14:F14 H14:M14">
    <cfRule type="cellIs" dxfId="226" priority="205" stopIfTrue="1" operator="equal">
      <formula>8223.307275</formula>
    </cfRule>
  </conditionalFormatting>
  <conditionalFormatting sqref="D17:M24 A47:B50 A73:B74 A79:B80 A85:B87 A97:B100 A120:B122 A124:B125 A130:B132 D138:D140 A147:B147 D148:F148 D150:H150 A150:B150 A161:B164 A166:B167 A176 D176:J176 A16:B24 D58:M58 A63:B64 A76:B77 A75 A83:B83 A89:B93 A111:B112 A128:B128 A134:B135 A148 A138:B138 A142:B143 A156:B159 D54:F57 H54:M57 A65:A71 A81:A82 A118:B118 A126:A127 A136 A170:B170 A168:A169 D16:H16 J16:M16 D26:H26 J26:M26 D47:H47 J47:M47 D52:H52 J52:M52 D63:H63 J63:M63 D73:H73 J73:M73 D79:H79 J79:M79 D85:H85 J85:M85 D97:H97 J97:M97 D111:H111 J111:M111 D124:H124 J124:M124 F138:H138 J138:M138 D142:H142 J142:M142 D147:H147 J147:M147 J150:M150 D161:H161 J161:M161 D166:H166 J166:M166 D53:M53 D98:M100 D130:M132 D48:M50 D74:M77 D86:M87 D120:M122 D156:M159 D167:M170 D162:M164 A26:B34 D27:M34 D59:F61 H59:M61 D64:M70 D80:M83 A95:B95 A94 D89:M95 A109:B109 A107:A108 D125:M128 A102:B106 D102:M109 D112:M112 D115:M118 A113:A117 D113:F114 H113:M114 D134:M136 A140:B140 A139 F139:M140 D143:M145 A145:B145 A144 H148:M148 A152:B154 D152:M154 L176:M176 D71:E71 G71:M71">
    <cfRule type="cellIs" dxfId="225" priority="204" stopIfTrue="1" operator="equal">
      <formula>8223.307275</formula>
    </cfRule>
  </conditionalFormatting>
  <conditionalFormatting sqref="A147:H147 A150:H150 A176 A17:M24 A60:A61 C60:F61 A58:M58 C56:F57 A54:A57 C54:F54 D55:F55 A75 C75:M75 A148 D148:F148 A138:D138 H54:M57 A65:A71 A81:A82 A126:A127 A136 A168:A169 C168:M169 A16:H16 J16:M16 A26:H26 J26:M26 A47:H47 J47:M47 A52:H52 J52:M52 A63:H63 J63:M63 A73:H73 J73:M73 A79:H79 J79:M79 A85:H85 J85:M85 A97:H97 J97:M97 A111:H111 J111:M111 A124:H124 J124:M124 F138:H138 J138:M138 A142:H142 J142:M142 J147:M147 J150:M150 A161:H161 J161:M161 A166:H166 J166:M166 A53:M53 A64:M64 A74:M74 A80:M80 A98:M100 A112:M112 A125:M125 A130:M132 A134:M135 A167:M167 A48:M50 A76:M77 A83:M83 A86:M87 A118:M118 A120:M122 A128:M128 A156:M159 A170:M170 A162:M164 A27:M34 A59:F59 H59:M61 C65:M70 C81:M82 A89:M93 A95:M95 A94 C94:M94 A109:M109 A107:A108 C107:M108 C126:M127 A102:M106 C115:M117 A113:A117 C113:F114 H113:M114 C136:M136 A140:D140 A139 D139 F139:M140 A143:M143 A145:M145 A144 D144:M144 H148:M148 A152:M154 C176:J176 L176:M176 C71:E71 G71:M71">
    <cfRule type="cellIs" dxfId="224" priority="203" stopIfTrue="1" operator="equal">
      <formula>8223.307275</formula>
    </cfRule>
  </conditionalFormatting>
  <conditionalFormatting sqref="A15:M15">
    <cfRule type="cellIs" dxfId="223" priority="202" stopIfTrue="1" operator="equal">
      <formula>8223.307275</formula>
    </cfRule>
  </conditionalFormatting>
  <conditionalFormatting sqref="A25 C25:M25">
    <cfRule type="cellIs" dxfId="222" priority="201" stopIfTrue="1" operator="equal">
      <formula>8223.307275</formula>
    </cfRule>
  </conditionalFormatting>
  <conditionalFormatting sqref="A35:M35">
    <cfRule type="cellIs" dxfId="221" priority="200" stopIfTrue="1" operator="equal">
      <formula>8223.307275</formula>
    </cfRule>
  </conditionalFormatting>
  <conditionalFormatting sqref="A46:M46">
    <cfRule type="cellIs" dxfId="220" priority="199" stopIfTrue="1" operator="equal">
      <formula>8223.307275</formula>
    </cfRule>
  </conditionalFormatting>
  <conditionalFormatting sqref="A51:M51">
    <cfRule type="cellIs" dxfId="219" priority="198" stopIfTrue="1" operator="equal">
      <formula>8223.307275</formula>
    </cfRule>
  </conditionalFormatting>
  <conditionalFormatting sqref="A62:M62">
    <cfRule type="cellIs" dxfId="218" priority="197" stopIfTrue="1" operator="equal">
      <formula>8223.307275</formula>
    </cfRule>
  </conditionalFormatting>
  <conditionalFormatting sqref="A72:M72">
    <cfRule type="cellIs" dxfId="217" priority="196" stopIfTrue="1" operator="equal">
      <formula>8223.307275</formula>
    </cfRule>
  </conditionalFormatting>
  <conditionalFormatting sqref="A78:M78">
    <cfRule type="cellIs" dxfId="216" priority="195" stopIfTrue="1" operator="equal">
      <formula>8223.307275</formula>
    </cfRule>
  </conditionalFormatting>
  <conditionalFormatting sqref="A84:M84">
    <cfRule type="cellIs" dxfId="215" priority="194" stopIfTrue="1" operator="equal">
      <formula>8223.307275</formula>
    </cfRule>
  </conditionalFormatting>
  <conditionalFormatting sqref="A88:M88">
    <cfRule type="cellIs" dxfId="214" priority="193" stopIfTrue="1" operator="equal">
      <formula>8223.307275</formula>
    </cfRule>
  </conditionalFormatting>
  <conditionalFormatting sqref="A96:M96">
    <cfRule type="cellIs" dxfId="213" priority="192" stopIfTrue="1" operator="equal">
      <formula>8223.307275</formula>
    </cfRule>
  </conditionalFormatting>
  <conditionalFormatting sqref="A101:M101">
    <cfRule type="cellIs" dxfId="212" priority="191" stopIfTrue="1" operator="equal">
      <formula>8223.307275</formula>
    </cfRule>
  </conditionalFormatting>
  <conditionalFormatting sqref="A110:M110">
    <cfRule type="cellIs" dxfId="211" priority="190" stopIfTrue="1" operator="equal">
      <formula>8223.307275</formula>
    </cfRule>
  </conditionalFormatting>
  <conditionalFormatting sqref="A119:M119">
    <cfRule type="cellIs" dxfId="210" priority="189" stopIfTrue="1" operator="equal">
      <formula>8223.307275</formula>
    </cfRule>
  </conditionalFormatting>
  <conditionalFormatting sqref="A123:M123">
    <cfRule type="cellIs" dxfId="209" priority="188" stopIfTrue="1" operator="equal">
      <formula>8223.307275</formula>
    </cfRule>
  </conditionalFormatting>
  <conditionalFormatting sqref="A129:M129">
    <cfRule type="cellIs" dxfId="208" priority="187" stopIfTrue="1" operator="equal">
      <formula>8223.307275</formula>
    </cfRule>
  </conditionalFormatting>
  <conditionalFormatting sqref="A133:M133">
    <cfRule type="cellIs" dxfId="207" priority="186" stopIfTrue="1" operator="equal">
      <formula>8223.307275</formula>
    </cfRule>
  </conditionalFormatting>
  <conditionalFormatting sqref="A137:M137">
    <cfRule type="cellIs" dxfId="206" priority="185" stopIfTrue="1" operator="equal">
      <formula>8223.307275</formula>
    </cfRule>
  </conditionalFormatting>
  <conditionalFormatting sqref="A141:M141">
    <cfRule type="cellIs" dxfId="205" priority="184" stopIfTrue="1" operator="equal">
      <formula>8223.307275</formula>
    </cfRule>
  </conditionalFormatting>
  <conditionalFormatting sqref="A146:M146">
    <cfRule type="cellIs" dxfId="204" priority="183" stopIfTrue="1" operator="equal">
      <formula>8223.307275</formula>
    </cfRule>
  </conditionalFormatting>
  <conditionalFormatting sqref="A149:M149">
    <cfRule type="cellIs" dxfId="203" priority="182" stopIfTrue="1" operator="equal">
      <formula>8223.307275</formula>
    </cfRule>
  </conditionalFormatting>
  <conditionalFormatting sqref="A151:M151">
    <cfRule type="cellIs" dxfId="202" priority="181" stopIfTrue="1" operator="equal">
      <formula>8223.307275</formula>
    </cfRule>
  </conditionalFormatting>
  <conditionalFormatting sqref="A155:M155">
    <cfRule type="cellIs" dxfId="201" priority="180" stopIfTrue="1" operator="equal">
      <formula>8223.307275</formula>
    </cfRule>
  </conditionalFormatting>
  <conditionalFormatting sqref="A160:M160">
    <cfRule type="cellIs" dxfId="200" priority="179" stopIfTrue="1" operator="equal">
      <formula>8223.307275</formula>
    </cfRule>
  </conditionalFormatting>
  <conditionalFormatting sqref="A165:M165">
    <cfRule type="cellIs" dxfId="199" priority="178" stopIfTrue="1" operator="equal">
      <formula>8223.307275</formula>
    </cfRule>
  </conditionalFormatting>
  <conditionalFormatting sqref="A171:M171 A172:B172 D172:H172 J172:M172">
    <cfRule type="cellIs" dxfId="198" priority="177" stopIfTrue="1" operator="equal">
      <formula>8223.307275</formula>
    </cfRule>
  </conditionalFormatting>
  <conditionalFormatting sqref="A175:M175">
    <cfRule type="cellIs" dxfId="197" priority="176" stopIfTrue="1" operator="equal">
      <formula>8223.307275</formula>
    </cfRule>
  </conditionalFormatting>
  <conditionalFormatting sqref="B25">
    <cfRule type="cellIs" dxfId="196" priority="175" stopIfTrue="1" operator="equal">
      <formula>8223.307275</formula>
    </cfRule>
  </conditionalFormatting>
  <conditionalFormatting sqref="E138:E140">
    <cfRule type="cellIs" dxfId="195" priority="174" stopIfTrue="1" operator="equal">
      <formula>8223.307275</formula>
    </cfRule>
  </conditionalFormatting>
  <conditionalFormatting sqref="E138:E140">
    <cfRule type="cellIs" dxfId="194" priority="173" stopIfTrue="1" operator="equal">
      <formula>8223.307275</formula>
    </cfRule>
  </conditionalFormatting>
  <conditionalFormatting sqref="C172">
    <cfRule type="cellIs" dxfId="193" priority="172" stopIfTrue="1" operator="equal">
      <formula>8223.307275</formula>
    </cfRule>
  </conditionalFormatting>
  <conditionalFormatting sqref="C39">
    <cfRule type="cellIs" dxfId="192" priority="169" stopIfTrue="1" operator="equal">
      <formula>8223.307275</formula>
    </cfRule>
  </conditionalFormatting>
  <conditionalFormatting sqref="C38">
    <cfRule type="cellIs" dxfId="191" priority="168" stopIfTrue="1" operator="equal">
      <formula>8223.307275</formula>
    </cfRule>
  </conditionalFormatting>
  <conditionalFormatting sqref="C55">
    <cfRule type="cellIs" dxfId="190" priority="167" stopIfTrue="1" operator="equal">
      <formula>8223.307275</formula>
    </cfRule>
  </conditionalFormatting>
  <conditionalFormatting sqref="B93">
    <cfRule type="cellIs" dxfId="189" priority="166" stopIfTrue="1" operator="equal">
      <formula>8223.307275</formula>
    </cfRule>
  </conditionalFormatting>
  <conditionalFormatting sqref="C148">
    <cfRule type="cellIs" dxfId="188" priority="164" stopIfTrue="1" operator="equal">
      <formula>8223.307275</formula>
    </cfRule>
  </conditionalFormatting>
  <conditionalFormatting sqref="B168">
    <cfRule type="cellIs" dxfId="187" priority="128" stopIfTrue="1" operator="equal">
      <formula>8223.307275</formula>
    </cfRule>
  </conditionalFormatting>
  <conditionalFormatting sqref="B169">
    <cfRule type="cellIs" dxfId="186" priority="127" stopIfTrue="1" operator="equal">
      <formula>8223.307275</formula>
    </cfRule>
  </conditionalFormatting>
  <conditionalFormatting sqref="B93">
    <cfRule type="cellIs" dxfId="185" priority="138" stopIfTrue="1" operator="equal">
      <formula>8223.307275</formula>
    </cfRule>
  </conditionalFormatting>
  <conditionalFormatting sqref="I16">
    <cfRule type="cellIs" dxfId="184" priority="126" stopIfTrue="1" operator="equal">
      <formula>8223.307275</formula>
    </cfRule>
  </conditionalFormatting>
  <conditionalFormatting sqref="I16">
    <cfRule type="cellIs" dxfId="183" priority="125" stopIfTrue="1" operator="equal">
      <formula>8223.307275</formula>
    </cfRule>
  </conditionalFormatting>
  <conditionalFormatting sqref="I26">
    <cfRule type="cellIs" dxfId="182" priority="124" stopIfTrue="1" operator="equal">
      <formula>8223.307275</formula>
    </cfRule>
  </conditionalFormatting>
  <conditionalFormatting sqref="I26">
    <cfRule type="cellIs" dxfId="181" priority="123" stopIfTrue="1" operator="equal">
      <formula>8223.307275</formula>
    </cfRule>
  </conditionalFormatting>
  <conditionalFormatting sqref="I36">
    <cfRule type="cellIs" dxfId="180" priority="122" stopIfTrue="1" operator="equal">
      <formula>8223.307275</formula>
    </cfRule>
  </conditionalFormatting>
  <conditionalFormatting sqref="I47">
    <cfRule type="cellIs" dxfId="179" priority="121" stopIfTrue="1" operator="equal">
      <formula>8223.307275</formula>
    </cfRule>
  </conditionalFormatting>
  <conditionalFormatting sqref="I47">
    <cfRule type="cellIs" dxfId="178" priority="120" stopIfTrue="1" operator="equal">
      <formula>8223.307275</formula>
    </cfRule>
  </conditionalFormatting>
  <conditionalFormatting sqref="I52">
    <cfRule type="cellIs" dxfId="177" priority="119" stopIfTrue="1" operator="equal">
      <formula>8223.307275</formula>
    </cfRule>
  </conditionalFormatting>
  <conditionalFormatting sqref="I52">
    <cfRule type="cellIs" dxfId="176" priority="118" stopIfTrue="1" operator="equal">
      <formula>8223.307275</formula>
    </cfRule>
  </conditionalFormatting>
  <conditionalFormatting sqref="I63">
    <cfRule type="cellIs" dxfId="175" priority="117" stopIfTrue="1" operator="equal">
      <formula>8223.307275</formula>
    </cfRule>
  </conditionalFormatting>
  <conditionalFormatting sqref="I63">
    <cfRule type="cellIs" dxfId="174" priority="116" stopIfTrue="1" operator="equal">
      <formula>8223.307275</formula>
    </cfRule>
  </conditionalFormatting>
  <conditionalFormatting sqref="I73">
    <cfRule type="cellIs" dxfId="173" priority="115" stopIfTrue="1" operator="equal">
      <formula>8223.307275</formula>
    </cfRule>
  </conditionalFormatting>
  <conditionalFormatting sqref="I73">
    <cfRule type="cellIs" dxfId="172" priority="114" stopIfTrue="1" operator="equal">
      <formula>8223.307275</formula>
    </cfRule>
  </conditionalFormatting>
  <conditionalFormatting sqref="I79">
    <cfRule type="cellIs" dxfId="171" priority="113" stopIfTrue="1" operator="equal">
      <formula>8223.307275</formula>
    </cfRule>
  </conditionalFormatting>
  <conditionalFormatting sqref="I79">
    <cfRule type="cellIs" dxfId="170" priority="112" stopIfTrue="1" operator="equal">
      <formula>8223.307275</formula>
    </cfRule>
  </conditionalFormatting>
  <conditionalFormatting sqref="I85">
    <cfRule type="cellIs" dxfId="169" priority="111" stopIfTrue="1" operator="equal">
      <formula>8223.307275</formula>
    </cfRule>
  </conditionalFormatting>
  <conditionalFormatting sqref="I85">
    <cfRule type="cellIs" dxfId="168" priority="110" stopIfTrue="1" operator="equal">
      <formula>8223.307275</formula>
    </cfRule>
  </conditionalFormatting>
  <conditionalFormatting sqref="I97">
    <cfRule type="cellIs" dxfId="167" priority="109" stopIfTrue="1" operator="equal">
      <formula>8223.307275</formula>
    </cfRule>
  </conditionalFormatting>
  <conditionalFormatting sqref="I97">
    <cfRule type="cellIs" dxfId="166" priority="108" stopIfTrue="1" operator="equal">
      <formula>8223.307275</formula>
    </cfRule>
  </conditionalFormatting>
  <conditionalFormatting sqref="I111">
    <cfRule type="cellIs" dxfId="165" priority="107" stopIfTrue="1" operator="equal">
      <formula>8223.307275</formula>
    </cfRule>
  </conditionalFormatting>
  <conditionalFormatting sqref="I111">
    <cfRule type="cellIs" dxfId="164" priority="106" stopIfTrue="1" operator="equal">
      <formula>8223.307275</formula>
    </cfRule>
  </conditionalFormatting>
  <conditionalFormatting sqref="I124">
    <cfRule type="cellIs" dxfId="163" priority="105" stopIfTrue="1" operator="equal">
      <formula>8223.307275</formula>
    </cfRule>
  </conditionalFormatting>
  <conditionalFormatting sqref="I124">
    <cfRule type="cellIs" dxfId="162" priority="104" stopIfTrue="1" operator="equal">
      <formula>8223.307275</formula>
    </cfRule>
  </conditionalFormatting>
  <conditionalFormatting sqref="I138">
    <cfRule type="cellIs" dxfId="161" priority="103" stopIfTrue="1" operator="equal">
      <formula>8223.307275</formula>
    </cfRule>
  </conditionalFormatting>
  <conditionalFormatting sqref="I138">
    <cfRule type="cellIs" dxfId="160" priority="102" stopIfTrue="1" operator="equal">
      <formula>8223.307275</formula>
    </cfRule>
  </conditionalFormatting>
  <conditionalFormatting sqref="I142">
    <cfRule type="cellIs" dxfId="159" priority="101" stopIfTrue="1" operator="equal">
      <formula>8223.307275</formula>
    </cfRule>
  </conditionalFormatting>
  <conditionalFormatting sqref="I142">
    <cfRule type="cellIs" dxfId="158" priority="100" stopIfTrue="1" operator="equal">
      <formula>8223.307275</formula>
    </cfRule>
  </conditionalFormatting>
  <conditionalFormatting sqref="I147">
    <cfRule type="cellIs" dxfId="157" priority="99" stopIfTrue="1" operator="equal">
      <formula>8223.307275</formula>
    </cfRule>
  </conditionalFormatting>
  <conditionalFormatting sqref="I147">
    <cfRule type="cellIs" dxfId="156" priority="98" stopIfTrue="1" operator="equal">
      <formula>8223.307275</formula>
    </cfRule>
  </conditionalFormatting>
  <conditionalFormatting sqref="I150">
    <cfRule type="cellIs" dxfId="155" priority="97" stopIfTrue="1" operator="equal">
      <formula>8223.307275</formula>
    </cfRule>
  </conditionalFormatting>
  <conditionalFormatting sqref="I150">
    <cfRule type="cellIs" dxfId="154" priority="96" stopIfTrue="1" operator="equal">
      <formula>8223.307275</formula>
    </cfRule>
  </conditionalFormatting>
  <conditionalFormatting sqref="I161">
    <cfRule type="cellIs" dxfId="153" priority="95" stopIfTrue="1" operator="equal">
      <formula>8223.307275</formula>
    </cfRule>
  </conditionalFormatting>
  <conditionalFormatting sqref="I161">
    <cfRule type="cellIs" dxfId="152" priority="94" stopIfTrue="1" operator="equal">
      <formula>8223.307275</formula>
    </cfRule>
  </conditionalFormatting>
  <conditionalFormatting sqref="I166">
    <cfRule type="cellIs" dxfId="151" priority="93" stopIfTrue="1" operator="equal">
      <formula>8223.307275</formula>
    </cfRule>
  </conditionalFormatting>
  <conditionalFormatting sqref="I166">
    <cfRule type="cellIs" dxfId="150" priority="92" stopIfTrue="1" operator="equal">
      <formula>8223.307275</formula>
    </cfRule>
  </conditionalFormatting>
  <conditionalFormatting sqref="I172">
    <cfRule type="cellIs" dxfId="149" priority="91" stopIfTrue="1" operator="equal">
      <formula>8223.307275</formula>
    </cfRule>
  </conditionalFormatting>
  <conditionalFormatting sqref="I172">
    <cfRule type="cellIs" dxfId="148" priority="90" stopIfTrue="1" operator="equal">
      <formula>8223.307275</formula>
    </cfRule>
  </conditionalFormatting>
  <conditionalFormatting sqref="K37">
    <cfRule type="cellIs" dxfId="147" priority="89" stopIfTrue="1" operator="equal">
      <formula>8223.307275</formula>
    </cfRule>
  </conditionalFormatting>
  <conditionalFormatting sqref="K37">
    <cfRule type="cellIs" dxfId="146" priority="88" stopIfTrue="1" operator="equal">
      <formula>8223.307275</formula>
    </cfRule>
  </conditionalFormatting>
  <conditionalFormatting sqref="G14">
    <cfRule type="cellIs" dxfId="145" priority="87" stopIfTrue="1" operator="equal">
      <formula>8223.307275</formula>
    </cfRule>
  </conditionalFormatting>
  <conditionalFormatting sqref="G14">
    <cfRule type="cellIs" dxfId="144" priority="86" stopIfTrue="1" operator="equal">
      <formula>8223.307275</formula>
    </cfRule>
  </conditionalFormatting>
  <conditionalFormatting sqref="B38">
    <cfRule type="cellIs" dxfId="143" priority="85" stopIfTrue="1" operator="equal">
      <formula>8223.307275</formula>
    </cfRule>
  </conditionalFormatting>
  <conditionalFormatting sqref="B38">
    <cfRule type="cellIs" dxfId="142" priority="84" stopIfTrue="1" operator="equal">
      <formula>8223.307275</formula>
    </cfRule>
  </conditionalFormatting>
  <conditionalFormatting sqref="B54">
    <cfRule type="cellIs" dxfId="141" priority="83" stopIfTrue="1" operator="equal">
      <formula>8223.307275</formula>
    </cfRule>
  </conditionalFormatting>
  <conditionalFormatting sqref="B54">
    <cfRule type="cellIs" dxfId="140" priority="82" stopIfTrue="1" operator="equal">
      <formula>8223.307275</formula>
    </cfRule>
  </conditionalFormatting>
  <conditionalFormatting sqref="G38">
    <cfRule type="cellIs" dxfId="139" priority="79" stopIfTrue="1" operator="equal">
      <formula>8223.307275</formula>
    </cfRule>
  </conditionalFormatting>
  <conditionalFormatting sqref="G38">
    <cfRule type="cellIs" dxfId="138" priority="78" stopIfTrue="1" operator="equal">
      <formula>8223.307275</formula>
    </cfRule>
  </conditionalFormatting>
  <conditionalFormatting sqref="G54">
    <cfRule type="cellIs" dxfId="137" priority="77" stopIfTrue="1" operator="equal">
      <formula>8223.307275</formula>
    </cfRule>
  </conditionalFormatting>
  <conditionalFormatting sqref="G54">
    <cfRule type="cellIs" dxfId="136" priority="76" stopIfTrue="1" operator="equal">
      <formula>8223.307275</formula>
    </cfRule>
  </conditionalFormatting>
  <conditionalFormatting sqref="B44:B45">
    <cfRule type="cellIs" dxfId="135" priority="75" stopIfTrue="1" operator="equal">
      <formula>8223.307275</formula>
    </cfRule>
  </conditionalFormatting>
  <conditionalFormatting sqref="B44:B45">
    <cfRule type="cellIs" dxfId="134" priority="74" stopIfTrue="1" operator="equal">
      <formula>8223.307275</formula>
    </cfRule>
  </conditionalFormatting>
  <conditionalFormatting sqref="B60:B61">
    <cfRule type="cellIs" dxfId="133" priority="73" stopIfTrue="1" operator="equal">
      <formula>8223.307275</formula>
    </cfRule>
  </conditionalFormatting>
  <conditionalFormatting sqref="B60:B61">
    <cfRule type="cellIs" dxfId="132" priority="72" stopIfTrue="1" operator="equal">
      <formula>8223.307275</formula>
    </cfRule>
  </conditionalFormatting>
  <conditionalFormatting sqref="G43:G45">
    <cfRule type="cellIs" dxfId="131" priority="69" stopIfTrue="1" operator="equal">
      <formula>8223.307275</formula>
    </cfRule>
  </conditionalFormatting>
  <conditionalFormatting sqref="G43:G45">
    <cfRule type="cellIs" dxfId="130" priority="68" stopIfTrue="1" operator="equal">
      <formula>8223.307275</formula>
    </cfRule>
  </conditionalFormatting>
  <conditionalFormatting sqref="G59:G61">
    <cfRule type="cellIs" dxfId="129" priority="67" stopIfTrue="1" operator="equal">
      <formula>8223.307275</formula>
    </cfRule>
  </conditionalFormatting>
  <conditionalFormatting sqref="G59:G61">
    <cfRule type="cellIs" dxfId="128" priority="66" stopIfTrue="1" operator="equal">
      <formula>8223.307275</formula>
    </cfRule>
  </conditionalFormatting>
  <conditionalFormatting sqref="B65:B71">
    <cfRule type="cellIs" dxfId="127" priority="65" stopIfTrue="1" operator="equal">
      <formula>8223.307275</formula>
    </cfRule>
  </conditionalFormatting>
  <conditionalFormatting sqref="B65:B71">
    <cfRule type="cellIs" dxfId="126" priority="64" stopIfTrue="1" operator="equal">
      <formula>8223.307275</formula>
    </cfRule>
  </conditionalFormatting>
  <conditionalFormatting sqref="B42">
    <cfRule type="cellIs" dxfId="125" priority="63" stopIfTrue="1" operator="equal">
      <formula>8223.307275</formula>
    </cfRule>
  </conditionalFormatting>
  <conditionalFormatting sqref="B42">
    <cfRule type="cellIs" dxfId="124" priority="62" stopIfTrue="1" operator="equal">
      <formula>8223.307275</formula>
    </cfRule>
  </conditionalFormatting>
  <conditionalFormatting sqref="B57">
    <cfRule type="cellIs" dxfId="123" priority="61" stopIfTrue="1" operator="equal">
      <formula>8223.307275</formula>
    </cfRule>
  </conditionalFormatting>
  <conditionalFormatting sqref="B57">
    <cfRule type="cellIs" dxfId="122" priority="60" stopIfTrue="1" operator="equal">
      <formula>8223.307275</formula>
    </cfRule>
  </conditionalFormatting>
  <conditionalFormatting sqref="G42">
    <cfRule type="cellIs" dxfId="121" priority="59" stopIfTrue="1" operator="equal">
      <formula>8223.307275</formula>
    </cfRule>
  </conditionalFormatting>
  <conditionalFormatting sqref="G42">
    <cfRule type="cellIs" dxfId="120" priority="58" stopIfTrue="1" operator="equal">
      <formula>8223.307275</formula>
    </cfRule>
  </conditionalFormatting>
  <conditionalFormatting sqref="G57">
    <cfRule type="cellIs" dxfId="119" priority="57" stopIfTrue="1" operator="equal">
      <formula>8223.307275</formula>
    </cfRule>
  </conditionalFormatting>
  <conditionalFormatting sqref="G57">
    <cfRule type="cellIs" dxfId="118" priority="56" stopIfTrue="1" operator="equal">
      <formula>8223.307275</formula>
    </cfRule>
  </conditionalFormatting>
  <conditionalFormatting sqref="B40:B41">
    <cfRule type="cellIs" dxfId="117" priority="55" stopIfTrue="1" operator="equal">
      <formula>8223.307275</formula>
    </cfRule>
  </conditionalFormatting>
  <conditionalFormatting sqref="B40:B41">
    <cfRule type="cellIs" dxfId="116" priority="54" stopIfTrue="1" operator="equal">
      <formula>8223.307275</formula>
    </cfRule>
  </conditionalFormatting>
  <conditionalFormatting sqref="G40">
    <cfRule type="cellIs" dxfId="115" priority="53" stopIfTrue="1" operator="equal">
      <formula>8223.307275</formula>
    </cfRule>
  </conditionalFormatting>
  <conditionalFormatting sqref="G40">
    <cfRule type="cellIs" dxfId="114" priority="52" stopIfTrue="1" operator="equal">
      <formula>8223.307275</formula>
    </cfRule>
  </conditionalFormatting>
  <conditionalFormatting sqref="B55">
    <cfRule type="cellIs" dxfId="113" priority="51" stopIfTrue="1" operator="equal">
      <formula>8223.307275</formula>
    </cfRule>
  </conditionalFormatting>
  <conditionalFormatting sqref="G55">
    <cfRule type="cellIs" dxfId="112" priority="50" stopIfTrue="1" operator="equal">
      <formula>8223.307275</formula>
    </cfRule>
  </conditionalFormatting>
  <conditionalFormatting sqref="B56">
    <cfRule type="cellIs" dxfId="111" priority="49" stopIfTrue="1" operator="equal">
      <formula>8223.307275</formula>
    </cfRule>
  </conditionalFormatting>
  <conditionalFormatting sqref="B56">
    <cfRule type="cellIs" dxfId="110" priority="48" stopIfTrue="1" operator="equal">
      <formula>8223.307275</formula>
    </cfRule>
  </conditionalFormatting>
  <conditionalFormatting sqref="G56">
    <cfRule type="cellIs" dxfId="109" priority="47" stopIfTrue="1" operator="equal">
      <formula>8223.307275</formula>
    </cfRule>
  </conditionalFormatting>
  <conditionalFormatting sqref="B82">
    <cfRule type="cellIs" dxfId="108" priority="46" stopIfTrue="1" operator="equal">
      <formula>8223.307275</formula>
    </cfRule>
  </conditionalFormatting>
  <conditionalFormatting sqref="B82">
    <cfRule type="cellIs" dxfId="107" priority="45" stopIfTrue="1" operator="equal">
      <formula>8223.307275</formula>
    </cfRule>
  </conditionalFormatting>
  <conditionalFormatting sqref="B93">
    <cfRule type="cellIs" dxfId="106" priority="44" stopIfTrue="1" operator="equal">
      <formula>8223.307275</formula>
    </cfRule>
  </conditionalFormatting>
  <conditionalFormatting sqref="B94">
    <cfRule type="cellIs" dxfId="105" priority="43" stopIfTrue="1" operator="equal">
      <formula>8223.307275</formula>
    </cfRule>
  </conditionalFormatting>
  <conditionalFormatting sqref="B94">
    <cfRule type="cellIs" dxfId="104" priority="42" stopIfTrue="1" operator="equal">
      <formula>8223.307275</formula>
    </cfRule>
  </conditionalFormatting>
  <conditionalFormatting sqref="B107">
    <cfRule type="cellIs" dxfId="103" priority="41" stopIfTrue="1" operator="equal">
      <formula>8223.307275</formula>
    </cfRule>
  </conditionalFormatting>
  <conditionalFormatting sqref="B107">
    <cfRule type="cellIs" dxfId="102" priority="40" stopIfTrue="1" operator="equal">
      <formula>8223.307275</formula>
    </cfRule>
  </conditionalFormatting>
  <conditionalFormatting sqref="B107">
    <cfRule type="cellIs" dxfId="101" priority="39" stopIfTrue="1" operator="equal">
      <formula>8223.307275</formula>
    </cfRule>
  </conditionalFormatting>
  <conditionalFormatting sqref="B107">
    <cfRule type="cellIs" dxfId="100" priority="38" stopIfTrue="1" operator="equal">
      <formula>8223.307275</formula>
    </cfRule>
  </conditionalFormatting>
  <conditionalFormatting sqref="B107">
    <cfRule type="cellIs" dxfId="99" priority="37" stopIfTrue="1" operator="equal">
      <formula>8223.307275</formula>
    </cfRule>
  </conditionalFormatting>
  <conditionalFormatting sqref="B108">
    <cfRule type="cellIs" dxfId="98" priority="36" stopIfTrue="1" operator="equal">
      <formula>8223.307275</formula>
    </cfRule>
  </conditionalFormatting>
  <conditionalFormatting sqref="B108">
    <cfRule type="cellIs" dxfId="97" priority="35" stopIfTrue="1" operator="equal">
      <formula>8223.307275</formula>
    </cfRule>
  </conditionalFormatting>
  <conditionalFormatting sqref="B117">
    <cfRule type="cellIs" dxfId="96" priority="34" stopIfTrue="1" operator="equal">
      <formula>8223.307275</formula>
    </cfRule>
  </conditionalFormatting>
  <conditionalFormatting sqref="B117">
    <cfRule type="cellIs" dxfId="95" priority="33" stopIfTrue="1" operator="equal">
      <formula>8223.307275</formula>
    </cfRule>
  </conditionalFormatting>
  <conditionalFormatting sqref="B127">
    <cfRule type="cellIs" dxfId="94" priority="32" stopIfTrue="1" operator="equal">
      <formula>8223.307275</formula>
    </cfRule>
  </conditionalFormatting>
  <conditionalFormatting sqref="B127">
    <cfRule type="cellIs" dxfId="93" priority="31" stopIfTrue="1" operator="equal">
      <formula>8223.307275</formula>
    </cfRule>
  </conditionalFormatting>
  <conditionalFormatting sqref="B115">
    <cfRule type="cellIs" dxfId="92" priority="30" stopIfTrue="1" operator="equal">
      <formula>8223.307275</formula>
    </cfRule>
  </conditionalFormatting>
  <conditionalFormatting sqref="B115">
    <cfRule type="cellIs" dxfId="91" priority="29" stopIfTrue="1" operator="equal">
      <formula>8223.307275</formula>
    </cfRule>
  </conditionalFormatting>
  <conditionalFormatting sqref="B116">
    <cfRule type="cellIs" dxfId="90" priority="28" stopIfTrue="1" operator="equal">
      <formula>8223.307275</formula>
    </cfRule>
  </conditionalFormatting>
  <conditionalFormatting sqref="B116">
    <cfRule type="cellIs" dxfId="89" priority="27" stopIfTrue="1" operator="equal">
      <formula>8223.307275</formula>
    </cfRule>
  </conditionalFormatting>
  <conditionalFormatting sqref="B114">
    <cfRule type="cellIs" dxfId="88" priority="26" stopIfTrue="1" operator="equal">
      <formula>8223.307275</formula>
    </cfRule>
  </conditionalFormatting>
  <conditionalFormatting sqref="G114">
    <cfRule type="cellIs" dxfId="87" priority="25" stopIfTrue="1" operator="equal">
      <formula>8223.307275</formula>
    </cfRule>
  </conditionalFormatting>
  <conditionalFormatting sqref="B113">
    <cfRule type="cellIs" dxfId="86" priority="24" stopIfTrue="1" operator="equal">
      <formula>8223.307275</formula>
    </cfRule>
  </conditionalFormatting>
  <conditionalFormatting sqref="B113">
    <cfRule type="cellIs" dxfId="85" priority="23" stopIfTrue="1" operator="equal">
      <formula>8223.307275</formula>
    </cfRule>
  </conditionalFormatting>
  <conditionalFormatting sqref="G113">
    <cfRule type="cellIs" dxfId="84" priority="22" stopIfTrue="1" operator="equal">
      <formula>8223.307275</formula>
    </cfRule>
  </conditionalFormatting>
  <conditionalFormatting sqref="G113">
    <cfRule type="cellIs" dxfId="83" priority="21" stopIfTrue="1" operator="equal">
      <formula>8223.307275</formula>
    </cfRule>
  </conditionalFormatting>
  <conditionalFormatting sqref="B136">
    <cfRule type="cellIs" dxfId="82" priority="20" stopIfTrue="1" operator="equal">
      <formula>8223.307275</formula>
    </cfRule>
  </conditionalFormatting>
  <conditionalFormatting sqref="B136">
    <cfRule type="cellIs" dxfId="81" priority="19" stopIfTrue="1" operator="equal">
      <formula>8223.307275</formula>
    </cfRule>
  </conditionalFormatting>
  <conditionalFormatting sqref="C139">
    <cfRule type="cellIs" dxfId="80" priority="18" stopIfTrue="1" operator="equal">
      <formula>8223.307275</formula>
    </cfRule>
  </conditionalFormatting>
  <conditionalFormatting sqref="B139">
    <cfRule type="cellIs" dxfId="79" priority="17" stopIfTrue="1" operator="equal">
      <formula>8223.307275</formula>
    </cfRule>
  </conditionalFormatting>
  <conditionalFormatting sqref="B139">
    <cfRule type="cellIs" dxfId="78" priority="16" stopIfTrue="1" operator="equal">
      <formula>8223.307275</formula>
    </cfRule>
  </conditionalFormatting>
  <conditionalFormatting sqref="C144">
    <cfRule type="cellIs" dxfId="77" priority="15" stopIfTrue="1" operator="equal">
      <formula>8223.307275</formula>
    </cfRule>
  </conditionalFormatting>
  <conditionalFormatting sqref="B144">
    <cfRule type="cellIs" dxfId="76" priority="14" stopIfTrue="1" operator="equal">
      <formula>8223.307275</formula>
    </cfRule>
  </conditionalFormatting>
  <conditionalFormatting sqref="B144">
    <cfRule type="cellIs" dxfId="75" priority="13" stopIfTrue="1" operator="equal">
      <formula>8223.307275</formula>
    </cfRule>
  </conditionalFormatting>
  <conditionalFormatting sqref="B148">
    <cfRule type="cellIs" dxfId="74" priority="12" stopIfTrue="1" operator="equal">
      <formula>8223.307275</formula>
    </cfRule>
  </conditionalFormatting>
  <conditionalFormatting sqref="B148">
    <cfRule type="cellIs" dxfId="73" priority="11" stopIfTrue="1" operator="equal">
      <formula>8223.307275</formula>
    </cfRule>
  </conditionalFormatting>
  <conditionalFormatting sqref="G148">
    <cfRule type="cellIs" dxfId="72" priority="10" stopIfTrue="1" operator="equal">
      <formula>8223.307275</formula>
    </cfRule>
  </conditionalFormatting>
  <conditionalFormatting sqref="G148">
    <cfRule type="cellIs" dxfId="71" priority="9" stopIfTrue="1" operator="equal">
      <formula>8223.307275</formula>
    </cfRule>
  </conditionalFormatting>
  <conditionalFormatting sqref="B176">
    <cfRule type="cellIs" dxfId="70" priority="8" stopIfTrue="1" operator="equal">
      <formula>8223.307275</formula>
    </cfRule>
  </conditionalFormatting>
  <conditionalFormatting sqref="K176">
    <cfRule type="cellIs" dxfId="69" priority="7" stopIfTrue="1" operator="equal">
      <formula>8223.307275</formula>
    </cfRule>
  </conditionalFormatting>
  <conditionalFormatting sqref="O33">
    <cfRule type="cellIs" dxfId="68" priority="6" stopIfTrue="1" operator="equal">
      <formula>8223.307275</formula>
    </cfRule>
  </conditionalFormatting>
  <conditionalFormatting sqref="O33">
    <cfRule type="cellIs" dxfId="67" priority="5" stopIfTrue="1" operator="equal">
      <formula>8223.307275</formula>
    </cfRule>
  </conditionalFormatting>
  <conditionalFormatting sqref="F45">
    <cfRule type="cellIs" dxfId="66" priority="4" stopIfTrue="1" operator="equal">
      <formula>8223.307275</formula>
    </cfRule>
  </conditionalFormatting>
  <conditionalFormatting sqref="F45">
    <cfRule type="cellIs" dxfId="65" priority="3" stopIfTrue="1" operator="equal">
      <formula>8223.307275</formula>
    </cfRule>
  </conditionalFormatting>
  <conditionalFormatting sqref="F71">
    <cfRule type="cellIs" dxfId="64" priority="2" stopIfTrue="1" operator="equal">
      <formula>8223.307275</formula>
    </cfRule>
  </conditionalFormatting>
  <conditionalFormatting sqref="F71">
    <cfRule type="cellIs" dxfId="63" priority="1" stopIfTrue="1" operator="equal">
      <formula>8223.307275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294967293" verticalDpi="4294967293" r:id="rId1"/>
  <rowBreaks count="4" manualBreakCount="4">
    <brk id="45" max="12" man="1"/>
    <brk id="87" max="12" man="1"/>
    <brk id="118" max="12" man="1"/>
    <brk id="159" max="12" man="1"/>
  </rowBreaks>
  <colBreaks count="1" manualBreakCount="1">
    <brk id="13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gan.barat</vt:lpstr>
      <vt:lpstr>B</vt:lpstr>
      <vt:lpstr>B-1</vt:lpstr>
      <vt:lpstr>B-2</vt:lpstr>
      <vt:lpstr>B-3</vt:lpstr>
      <vt:lpstr>B-4</vt:lpstr>
      <vt:lpstr>B-5</vt:lpstr>
      <vt:lpstr>B-5.1</vt:lpstr>
      <vt:lpstr>B-5.2</vt:lpstr>
      <vt:lpstr>B-6</vt:lpstr>
      <vt:lpstr>B-6.1</vt:lpstr>
      <vt:lpstr>B-6.2</vt:lpstr>
      <vt:lpstr>B-6.3</vt:lpstr>
      <vt:lpstr>B-7</vt:lpstr>
      <vt:lpstr>B!Print_Area</vt:lpstr>
      <vt:lpstr>'B-1'!Print_Area</vt:lpstr>
      <vt:lpstr>'B-2'!Print_Area</vt:lpstr>
      <vt:lpstr>'B-3'!Print_Area</vt:lpstr>
      <vt:lpstr>'B-4'!Print_Area</vt:lpstr>
      <vt:lpstr>'B-5'!Print_Area</vt:lpstr>
      <vt:lpstr>'B-5.1'!Print_Area</vt:lpstr>
      <vt:lpstr>'B-5.2'!Print_Area</vt:lpstr>
      <vt:lpstr>'B-6'!Print_Area</vt:lpstr>
      <vt:lpstr>'B-6.1'!Print_Area</vt:lpstr>
      <vt:lpstr>'B-6.2'!Print_Area</vt:lpstr>
      <vt:lpstr>'B-6.3'!Print_Area</vt:lpstr>
      <vt:lpstr>'B-7'!Print_Area</vt:lpstr>
      <vt:lpstr>gan.barat!Print_Area</vt:lpstr>
      <vt:lpstr>'B-1'!Print_Titles</vt:lpstr>
      <vt:lpstr>'B-2'!Print_Titles</vt:lpstr>
      <vt:lpstr>'B-3'!Print_Titles</vt:lpstr>
      <vt:lpstr>'B-4'!Print_Titles</vt:lpstr>
      <vt:lpstr>'B-5.1'!Print_Titles</vt:lpstr>
      <vt:lpstr>'B-5.2'!Print_Titles</vt:lpstr>
      <vt:lpstr>'B-6.1'!Print_Titles</vt:lpstr>
      <vt:lpstr>'B-6.2'!Print_Titles</vt:lpstr>
      <vt:lpstr>'B-6.3'!Print_Titles</vt:lpstr>
      <vt:lpstr>'B-7'!Print_Titles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2023-02-09T12:12:51Z</dcterms:modified>
</cp:coreProperties>
</file>