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lazarashvili\Desktop\ცენტრალული პარკი\"/>
    </mc:Choice>
  </mc:AlternateContent>
  <bookViews>
    <workbookView xWindow="0" yWindow="0" windowWidth="14400" windowHeight="11670" tabRatio="916" firstSheet="8" activeTab="12"/>
  </bookViews>
  <sheets>
    <sheet name="ნაკრები ძირითადი" sheetId="1" r:id="rId1"/>
    <sheet name="გარე  საფეხ. და ველო-ბილიკებ" sheetId="35" r:id="rId2"/>
    <sheet name="ავტოსადგომი" sheetId="34" r:id="rId3"/>
    <sheet name="შიდა საფეხ. და ველო-ბილიკები" sheetId="4" r:id="rId4"/>
    <sheet name="კედელი და მოაჯირი" sheetId="5" r:id="rId5"/>
    <sheet name="N1 შადრევნის მოედანი " sheetId="29" r:id="rId6"/>
    <sheet name="შადრევანი N1" sheetId="6" r:id="rId7"/>
    <sheet name="N2 შადრევნის მოედანი" sheetId="38" r:id="rId8"/>
    <sheet name="გარე განათება" sheetId="8" r:id="rId9"/>
    <sheet name="ტრენაჟორები" sheetId="9" r:id="rId10"/>
    <sheet name="საბავშვო ატრაქციონები" sheetId="10" r:id="rId11"/>
    <sheet name="ბანერი" sheetId="11" r:id="rId12"/>
    <sheet name="გამწვანება" sheetId="13" r:id="rId13"/>
    <sheet name="კიბეები და საფეხ.ბილიკები" sheetId="14" r:id="rId14"/>
    <sheet name="სათამაშო მოედნები" sheetId="15" r:id="rId15"/>
    <sheet name="წყარო" sheetId="32" r:id="rId16"/>
    <sheet name="დასასვენებელი სკამები" sheetId="33" r:id="rId17"/>
  </sheets>
  <definedNames>
    <definedName name="_xlnm._FilterDatabase" localSheetId="5" hidden="1">'N1 შადრევნის მოედანი '!$A$7:$M$50</definedName>
    <definedName name="_xlnm._FilterDatabase" localSheetId="7" hidden="1">'N2 შადრევნის მოედანი'!$A$8:$M$50</definedName>
    <definedName name="_xlnm._FilterDatabase" localSheetId="2" hidden="1">ავტოსადგომი!$A$7:$M$58</definedName>
    <definedName name="_xlnm._FilterDatabase" localSheetId="11" hidden="1">ბანერი!$A$7:$N$53</definedName>
    <definedName name="_xlnm._FilterDatabase" localSheetId="12" hidden="1">გამწვანება!$A$7:$M$76</definedName>
    <definedName name="_xlnm._FilterDatabase" localSheetId="1" hidden="1">'გარე  საფეხ. და ველო-ბილიკებ'!$A$8:$M$105</definedName>
    <definedName name="_xlnm._FilterDatabase" localSheetId="8" hidden="1">'გარე განათება'!$A$7:$M$96</definedName>
    <definedName name="_xlnm._FilterDatabase" localSheetId="16" hidden="1">'დასასვენებელი სკამები'!$A$8:$M$129</definedName>
    <definedName name="_xlnm._FilterDatabase" localSheetId="4" hidden="1">'კედელი და მოაჯირი'!$A$7:$M$140</definedName>
    <definedName name="_xlnm._FilterDatabase" localSheetId="13" hidden="1">'კიბეები და საფეხ.ბილიკები'!$A$8:$M$83</definedName>
    <definedName name="_xlnm._FilterDatabase" localSheetId="10" hidden="1">'საბავშვო ატრაქციონები'!$A$7:$M$39</definedName>
    <definedName name="_xlnm._FilterDatabase" localSheetId="14" hidden="1">'სათამაშო მოედნები'!$A$8:$M$167</definedName>
    <definedName name="_xlnm._FilterDatabase" localSheetId="9" hidden="1">ტრენაჟორები!$A$7:$M$123</definedName>
    <definedName name="_xlnm._FilterDatabase" localSheetId="6" hidden="1">'შადრევანი N1'!$A$7:$M$107</definedName>
    <definedName name="_xlnm._FilterDatabase" localSheetId="3" hidden="1">'შიდა საფეხ. და ველო-ბილიკები'!$A$8:$M$75</definedName>
    <definedName name="_xlnm._FilterDatabase" localSheetId="15" hidden="1">წყარო!$A$7:$M$52</definedName>
    <definedName name="_xlnm.Print_Area" localSheetId="7">'N2 შადრევნის მოედანი'!$A$1:$M$52</definedName>
    <definedName name="_xlnm.Print_Area" localSheetId="11">ბანერი!$A$1:$M$57</definedName>
    <definedName name="_xlnm.Print_Area" localSheetId="12">გამწვანება!$A$1:$M$78</definedName>
    <definedName name="_xlnm.Print_Area" localSheetId="16">'დასასვენებელი სკამები'!$A$1:$M$133</definedName>
    <definedName name="_xlnm.Print_Area" localSheetId="10">'საბავშვო ატრაქციონები'!$A$1:$M$43</definedName>
    <definedName name="_xlnm.Print_Area" localSheetId="14">'სათამაშო მოედნები'!$A$1:$M$171</definedName>
    <definedName name="_xlnm.Print_Area" localSheetId="9">ტრენაჟორები!$A$1:$M$126</definedName>
    <definedName name="_xlnm.Print_Area" localSheetId="6">'შადრევანი N1'!$A$1:$M$115</definedName>
    <definedName name="_xlnm.Print_Area" localSheetId="3">'შიდა საფეხ. და ველო-ბილიკები'!$A$1:$M$77</definedName>
    <definedName name="_xlnm.Print_Titles" localSheetId="5">'N1 შადრევნის მოედანი '!$7:$7</definedName>
    <definedName name="_xlnm.Print_Titles" localSheetId="7">'N2 შადრევნის მოედანი'!$5:$6</definedName>
    <definedName name="_xlnm.Print_Titles" localSheetId="2">ავტოსადგომი!$5:$6</definedName>
    <definedName name="_xlnm.Print_Titles" localSheetId="11">ბანერი!$5:$6</definedName>
    <definedName name="_xlnm.Print_Titles" localSheetId="12">გამწვანება!$5:$6</definedName>
    <definedName name="_xlnm.Print_Titles" localSheetId="1">'გარე  საფეხ. და ველო-ბილიკებ'!$5:$6</definedName>
    <definedName name="_xlnm.Print_Titles" localSheetId="8">'გარე განათება'!$5:$6</definedName>
    <definedName name="_xlnm.Print_Titles" localSheetId="16">'დასასვენებელი სკამები'!$5:$6</definedName>
    <definedName name="_xlnm.Print_Titles" localSheetId="4">'კედელი და მოაჯირი'!$5:$6</definedName>
    <definedName name="_xlnm.Print_Titles" localSheetId="13">'კიბეები და საფეხ.ბილიკები'!$5:$6</definedName>
    <definedName name="_xlnm.Print_Titles" localSheetId="0">'ნაკრები ძირითადი'!$8:$9</definedName>
    <definedName name="_xlnm.Print_Titles" localSheetId="10">'საბავშვო ატრაქციონები'!$5:$6</definedName>
    <definedName name="_xlnm.Print_Titles" localSheetId="14">'სათამაშო მოედნები'!$5:$6</definedName>
    <definedName name="_xlnm.Print_Titles" localSheetId="9">ტრენაჟორები!$5:$6</definedName>
    <definedName name="_xlnm.Print_Titles" localSheetId="6">'შადრევანი N1'!$5:$6</definedName>
    <definedName name="_xlnm.Print_Titles" localSheetId="3">'შიდა საფეხ. და ველო-ბილიკები'!$5:$6</definedName>
    <definedName name="_xlnm.Print_Titles" localSheetId="15">წყარო!$7:$7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3" l="1"/>
  <c r="E64" i="13"/>
  <c r="E63" i="13"/>
  <c r="E46" i="13"/>
  <c r="F46" i="13" s="1"/>
  <c r="E40" i="13"/>
  <c r="F40" i="13" s="1"/>
  <c r="E34" i="13"/>
  <c r="F34" i="13" s="1"/>
  <c r="E28" i="13"/>
  <c r="F28" i="13" s="1"/>
  <c r="E22" i="13"/>
  <c r="F22" i="13" s="1"/>
  <c r="E16" i="13"/>
  <c r="F16" i="13" s="1"/>
  <c r="F8" i="13"/>
  <c r="F62" i="13" s="1"/>
  <c r="F10" i="13"/>
  <c r="F66" i="13" s="1"/>
  <c r="F57" i="13" s="1"/>
  <c r="F33" i="13"/>
  <c r="F61" i="13" l="1"/>
  <c r="F60" i="13"/>
  <c r="F59" i="13"/>
  <c r="F58" i="13"/>
  <c r="F68" i="13"/>
  <c r="F67" i="13"/>
  <c r="F63" i="13"/>
  <c r="F69" i="13"/>
  <c r="F65" i="13"/>
  <c r="F64" i="13"/>
  <c r="F27" i="15"/>
  <c r="E37" i="11"/>
  <c r="E36" i="11"/>
  <c r="E32" i="11"/>
  <c r="E29" i="11"/>
  <c r="E28" i="11"/>
  <c r="E24" i="11"/>
  <c r="E78" i="8"/>
  <c r="E74" i="8"/>
  <c r="E73" i="8"/>
  <c r="F96" i="6" l="1"/>
  <c r="F98" i="6" s="1"/>
  <c r="F99" i="6"/>
  <c r="F97" i="6"/>
  <c r="F94" i="6"/>
  <c r="F93" i="6"/>
  <c r="F92" i="6"/>
  <c r="F84" i="6"/>
  <c r="F82" i="6"/>
  <c r="E84" i="6"/>
  <c r="E83" i="6"/>
  <c r="F83" i="6" s="1"/>
  <c r="E82" i="6"/>
  <c r="E16" i="34"/>
  <c r="E14" i="6" l="1"/>
  <c r="E28" i="34"/>
  <c r="E27" i="34"/>
  <c r="E10" i="34"/>
  <c r="E80" i="33"/>
  <c r="E79" i="33"/>
  <c r="E73" i="33"/>
  <c r="E27" i="33"/>
  <c r="E26" i="33"/>
  <c r="E20" i="33"/>
  <c r="E141" i="15"/>
  <c r="E139" i="15"/>
  <c r="E135" i="15"/>
  <c r="E133" i="15"/>
  <c r="E95" i="15"/>
  <c r="E94" i="15"/>
  <c r="E38" i="15"/>
  <c r="E37" i="15"/>
  <c r="E58" i="14"/>
  <c r="E57" i="14"/>
  <c r="E31" i="15"/>
  <c r="E17" i="14"/>
  <c r="E31" i="11"/>
  <c r="E23" i="11"/>
  <c r="F19" i="10"/>
  <c r="F72" i="8" l="1"/>
  <c r="F36" i="8"/>
  <c r="F34" i="8"/>
  <c r="E56" i="8"/>
  <c r="E52" i="8"/>
  <c r="F30" i="8"/>
  <c r="F21" i="8"/>
  <c r="F73" i="6"/>
  <c r="E76" i="6"/>
  <c r="E75" i="6"/>
  <c r="E74" i="6"/>
  <c r="E64" i="6"/>
  <c r="E63" i="6"/>
  <c r="E62" i="6"/>
  <c r="E58" i="35"/>
  <c r="E50" i="4"/>
  <c r="E57" i="35"/>
  <c r="E49" i="4"/>
  <c r="E31" i="29"/>
  <c r="E30" i="29"/>
  <c r="E27" i="29"/>
  <c r="E26" i="29"/>
  <c r="E25" i="29"/>
  <c r="E24" i="29"/>
  <c r="F78" i="8" l="1"/>
  <c r="F74" i="8"/>
  <c r="F73" i="8"/>
  <c r="F75" i="6"/>
  <c r="F76" i="6"/>
  <c r="F74" i="6"/>
  <c r="E132" i="5"/>
  <c r="E95" i="5"/>
  <c r="F95" i="5" s="1"/>
  <c r="F93" i="5"/>
  <c r="E29" i="5"/>
  <c r="E46" i="4"/>
  <c r="E45" i="4"/>
  <c r="E44" i="4"/>
  <c r="E43" i="4"/>
  <c r="E40" i="4"/>
  <c r="E34" i="4"/>
  <c r="E87" i="35"/>
  <c r="E86" i="35"/>
  <c r="F77" i="35"/>
  <c r="F88" i="35" s="1"/>
  <c r="E54" i="35"/>
  <c r="E53" i="35"/>
  <c r="E52" i="35"/>
  <c r="F52" i="35" s="1"/>
  <c r="E51" i="35"/>
  <c r="F51" i="34"/>
  <c r="E50" i="34"/>
  <c r="F50" i="34" s="1"/>
  <c r="E49" i="34"/>
  <c r="E44" i="34"/>
  <c r="E48" i="35"/>
  <c r="E42" i="35"/>
  <c r="F49" i="34" l="1"/>
  <c r="F46" i="11" l="1"/>
  <c r="F81" i="8"/>
  <c r="F80" i="8"/>
  <c r="F87" i="8"/>
  <c r="F71" i="8"/>
  <c r="F70" i="8"/>
  <c r="F69" i="8"/>
  <c r="F68" i="8"/>
  <c r="F60" i="9"/>
  <c r="F90" i="5" l="1"/>
  <c r="E46" i="34"/>
  <c r="F40" i="5"/>
  <c r="E13" i="35" l="1"/>
  <c r="E97" i="35"/>
  <c r="E93" i="35"/>
  <c r="E92" i="35"/>
  <c r="E81" i="35"/>
  <c r="F36" i="35"/>
  <c r="F37" i="35"/>
  <c r="F20" i="35"/>
  <c r="F16" i="38" l="1"/>
  <c r="F33" i="14" l="1"/>
  <c r="F32" i="14"/>
  <c r="F30" i="11"/>
  <c r="F32" i="11" s="1"/>
  <c r="F51" i="8" l="1"/>
  <c r="F43" i="38"/>
  <c r="F48" i="13"/>
  <c r="F47" i="13"/>
  <c r="F45" i="13"/>
  <c r="F44" i="13"/>
  <c r="F43" i="13"/>
  <c r="F39" i="13"/>
  <c r="F41" i="13"/>
  <c r="F38" i="13"/>
  <c r="F37" i="13"/>
  <c r="F35" i="13"/>
  <c r="F32" i="13"/>
  <c r="F31" i="13"/>
  <c r="F13" i="4" l="1"/>
  <c r="F12" i="4"/>
  <c r="F11" i="4"/>
  <c r="F10" i="4"/>
  <c r="F29" i="14" l="1"/>
  <c r="F8" i="34"/>
  <c r="F9" i="38" l="1"/>
  <c r="F12" i="38" s="1"/>
  <c r="F18" i="38"/>
  <c r="F38" i="38"/>
  <c r="E35" i="38"/>
  <c r="F29" i="38"/>
  <c r="F28" i="38"/>
  <c r="F27" i="38"/>
  <c r="F26" i="38"/>
  <c r="F25" i="38"/>
  <c r="F24" i="38"/>
  <c r="F19" i="38" l="1"/>
  <c r="F39" i="38"/>
  <c r="F37" i="38"/>
  <c r="F30" i="38"/>
  <c r="F40" i="38"/>
  <c r="F11" i="38"/>
  <c r="F10" i="38"/>
  <c r="F13" i="38"/>
  <c r="F17" i="38"/>
  <c r="F20" i="38"/>
  <c r="F21" i="38"/>
  <c r="F22" i="38" l="1"/>
  <c r="F41" i="38"/>
  <c r="F31" i="38"/>
  <c r="F32" i="38"/>
  <c r="F33" i="38"/>
  <c r="F35" i="38"/>
  <c r="F14" i="38"/>
  <c r="F15" i="38"/>
  <c r="F34" i="38" l="1"/>
  <c r="E47" i="34" l="1"/>
  <c r="F47" i="34" s="1"/>
  <c r="F46" i="34"/>
  <c r="D21" i="1" l="1"/>
  <c r="H21" i="1" s="1"/>
  <c r="F44" i="34"/>
  <c r="E43" i="34"/>
  <c r="F43" i="34" s="1"/>
  <c r="E42" i="34"/>
  <c r="F42" i="34" s="1"/>
  <c r="E41" i="34"/>
  <c r="F41" i="34" s="1"/>
  <c r="E38" i="34"/>
  <c r="E37" i="34"/>
  <c r="E36" i="34"/>
  <c r="E35" i="34"/>
  <c r="E34" i="34"/>
  <c r="E33" i="34"/>
  <c r="E26" i="34"/>
  <c r="E25" i="34"/>
  <c r="E24" i="34"/>
  <c r="E23" i="34"/>
  <c r="E22" i="34"/>
  <c r="F21" i="34"/>
  <c r="F18" i="34"/>
  <c r="F29" i="34" s="1"/>
  <c r="F16" i="34"/>
  <c r="F17" i="34" s="1"/>
  <c r="F15" i="34"/>
  <c r="F14" i="34"/>
  <c r="F13" i="34"/>
  <c r="F12" i="34"/>
  <c r="F11" i="34"/>
  <c r="F10" i="34"/>
  <c r="F9" i="34"/>
  <c r="F28" i="34" l="1"/>
  <c r="F19" i="34"/>
  <c r="F30" i="34"/>
  <c r="F31" i="34"/>
  <c r="F32" i="34"/>
  <c r="F20" i="34"/>
  <c r="F22" i="34"/>
  <c r="F23" i="34"/>
  <c r="F24" i="34"/>
  <c r="F25" i="34"/>
  <c r="F26" i="34"/>
  <c r="F27" i="34"/>
  <c r="F38" i="34" l="1"/>
  <c r="F37" i="34"/>
  <c r="F36" i="34"/>
  <c r="F35" i="34"/>
  <c r="F34" i="34"/>
  <c r="F33" i="34"/>
  <c r="F39" i="34"/>
  <c r="D16" i="1" l="1"/>
  <c r="E96" i="35"/>
  <c r="E95" i="35"/>
  <c r="E94" i="35"/>
  <c r="F91" i="35"/>
  <c r="F92" i="35" s="1"/>
  <c r="F87" i="35"/>
  <c r="F86" i="35"/>
  <c r="E85" i="35"/>
  <c r="F85" i="35" s="1"/>
  <c r="E84" i="35"/>
  <c r="F84" i="35" s="1"/>
  <c r="E83" i="35"/>
  <c r="F83" i="35" s="1"/>
  <c r="E82" i="35"/>
  <c r="F82" i="35" s="1"/>
  <c r="F81" i="35"/>
  <c r="E70" i="35"/>
  <c r="F59" i="35"/>
  <c r="F58" i="35"/>
  <c r="F57" i="35"/>
  <c r="F56" i="35"/>
  <c r="F55" i="35"/>
  <c r="F54" i="35"/>
  <c r="F53" i="35"/>
  <c r="F51" i="35"/>
  <c r="F40" i="35"/>
  <c r="F45" i="35" s="1"/>
  <c r="F39" i="35"/>
  <c r="F38" i="35"/>
  <c r="F35" i="35"/>
  <c r="F34" i="35"/>
  <c r="F26" i="35"/>
  <c r="F28" i="35" s="1"/>
  <c r="F23" i="35"/>
  <c r="F25" i="35" s="1"/>
  <c r="F22" i="35"/>
  <c r="F21" i="35"/>
  <c r="F15" i="35"/>
  <c r="F9" i="35"/>
  <c r="F10" i="35" s="1"/>
  <c r="F11" i="35" l="1"/>
  <c r="F43" i="35"/>
  <c r="F44" i="35"/>
  <c r="F48" i="35"/>
  <c r="F49" i="35" s="1"/>
  <c r="F12" i="35"/>
  <c r="F16" i="35"/>
  <c r="F17" i="35" s="1"/>
  <c r="F13" i="35"/>
  <c r="F47" i="35"/>
  <c r="F97" i="35"/>
  <c r="F95" i="35"/>
  <c r="F93" i="35"/>
  <c r="F94" i="35"/>
  <c r="F96" i="35"/>
  <c r="F62" i="35"/>
  <c r="F64" i="35"/>
  <c r="F60" i="35"/>
  <c r="F71" i="35"/>
  <c r="F75" i="35" s="1"/>
  <c r="F76" i="35" s="1"/>
  <c r="F63" i="35"/>
  <c r="F29" i="35"/>
  <c r="F31" i="35"/>
  <c r="F30" i="35"/>
  <c r="F27" i="35"/>
  <c r="F61" i="35"/>
  <c r="F24" i="35"/>
  <c r="F42" i="35"/>
  <c r="F46" i="35"/>
  <c r="F98" i="35"/>
  <c r="F41" i="35"/>
  <c r="F32" i="35" l="1"/>
  <c r="F18" i="35"/>
  <c r="F72" i="35"/>
  <c r="F73" i="35"/>
  <c r="F74" i="35"/>
  <c r="F65" i="35"/>
  <c r="F68" i="35" l="1"/>
  <c r="F69" i="35" s="1"/>
  <c r="F66" i="35"/>
  <c r="F67" i="35"/>
  <c r="F70" i="35"/>
  <c r="F79" i="35"/>
  <c r="F78" i="35"/>
  <c r="F89" i="35" l="1"/>
  <c r="F90" i="35"/>
  <c r="D15" i="1" l="1"/>
  <c r="F80" i="15" l="1"/>
  <c r="F93" i="15" s="1"/>
  <c r="F67" i="15"/>
  <c r="F60" i="15"/>
  <c r="F53" i="15"/>
  <c r="F95" i="15" l="1"/>
  <c r="F94" i="15"/>
  <c r="F90" i="15"/>
  <c r="F84" i="15" s="1"/>
  <c r="F87" i="15" s="1"/>
  <c r="F65" i="14"/>
  <c r="E37" i="29"/>
  <c r="F28" i="29"/>
  <c r="F38" i="29"/>
  <c r="F42" i="29" s="1"/>
  <c r="F16" i="4"/>
  <c r="F11" i="14"/>
  <c r="F16" i="14"/>
  <c r="F15" i="14"/>
  <c r="F12" i="14"/>
  <c r="F45" i="11"/>
  <c r="F43" i="29" l="1"/>
  <c r="F39" i="29"/>
  <c r="F32" i="29"/>
  <c r="F35" i="29" s="1"/>
  <c r="F40" i="29"/>
  <c r="F41" i="29"/>
  <c r="F14" i="11"/>
  <c r="F22" i="11" s="1"/>
  <c r="F36" i="11"/>
  <c r="F40" i="11"/>
  <c r="F39" i="11"/>
  <c r="F34" i="11"/>
  <c r="F29" i="11" l="1"/>
  <c r="F25" i="11"/>
  <c r="F23" i="11"/>
  <c r="F24" i="11"/>
  <c r="F36" i="29"/>
  <c r="F33" i="29"/>
  <c r="F34" i="29"/>
  <c r="F37" i="29"/>
  <c r="F20" i="11"/>
  <c r="F37" i="11"/>
  <c r="F33" i="11"/>
  <c r="F15" i="11"/>
  <c r="F16" i="11"/>
  <c r="F21" i="11"/>
  <c r="F18" i="11"/>
  <c r="F31" i="11"/>
  <c r="F26" i="11"/>
  <c r="F28" i="11"/>
  <c r="F63" i="4" l="1"/>
  <c r="F57" i="4"/>
  <c r="F42" i="4"/>
  <c r="F32" i="4"/>
  <c r="F25" i="4"/>
  <c r="F17" i="4"/>
  <c r="F9" i="10"/>
  <c r="F49" i="8"/>
  <c r="F9" i="6"/>
  <c r="F13" i="6" s="1"/>
  <c r="F130" i="5"/>
  <c r="F132" i="5" s="1"/>
  <c r="F103" i="5"/>
  <c r="F102" i="5"/>
  <c r="F101" i="5"/>
  <c r="F100" i="5"/>
  <c r="F54" i="5"/>
  <c r="F55" i="5" s="1"/>
  <c r="F24" i="5"/>
  <c r="F20" i="5"/>
  <c r="F13" i="5"/>
  <c r="F9" i="5"/>
  <c r="F50" i="4" l="1"/>
  <c r="F47" i="4"/>
  <c r="F49" i="4"/>
  <c r="F48" i="4"/>
  <c r="F46" i="4"/>
  <c r="F44" i="4"/>
  <c r="F43" i="4"/>
  <c r="F45" i="4"/>
  <c r="F37" i="4"/>
  <c r="F36" i="4"/>
  <c r="F33" i="4"/>
  <c r="F39" i="4"/>
  <c r="F35" i="4"/>
  <c r="F38" i="4"/>
  <c r="F34" i="4"/>
  <c r="F40" i="4"/>
  <c r="F51" i="13"/>
  <c r="F41" i="4" l="1"/>
  <c r="F35" i="8" l="1"/>
  <c r="F33" i="8"/>
  <c r="F50" i="8"/>
  <c r="F57" i="8"/>
  <c r="F58" i="8" s="1"/>
  <c r="F45" i="8"/>
  <c r="F44" i="8"/>
  <c r="F37" i="8"/>
  <c r="F42" i="8" s="1"/>
  <c r="F31" i="8"/>
  <c r="F29" i="8"/>
  <c r="F28" i="8"/>
  <c r="F26" i="8"/>
  <c r="F25" i="8"/>
  <c r="F23" i="8"/>
  <c r="F22" i="8"/>
  <c r="F20" i="8"/>
  <c r="F19" i="8"/>
  <c r="F9" i="8"/>
  <c r="F10" i="8" s="1"/>
  <c r="F41" i="8" l="1"/>
  <c r="F40" i="8"/>
  <c r="F52" i="8"/>
  <c r="F11" i="8"/>
  <c r="F39" i="8"/>
  <c r="F38" i="8"/>
  <c r="F56" i="8" l="1"/>
  <c r="F15" i="8"/>
  <c r="F14" i="8"/>
  <c r="F16" i="8"/>
  <c r="F12" i="8"/>
  <c r="F17" i="8"/>
  <c r="F13" i="8"/>
  <c r="D22" i="1" l="1"/>
  <c r="F48" i="6"/>
  <c r="F74" i="15" l="1"/>
  <c r="E22" i="1" l="1"/>
  <c r="F25" i="14"/>
  <c r="F26" i="14" l="1"/>
  <c r="F27" i="14"/>
  <c r="F24" i="14"/>
  <c r="F23" i="14"/>
  <c r="F41" i="15"/>
  <c r="F28" i="14" l="1"/>
  <c r="F123" i="5"/>
  <c r="F120" i="5" l="1"/>
  <c r="F129" i="5"/>
  <c r="F128" i="5"/>
  <c r="F127" i="5"/>
  <c r="F125" i="5"/>
  <c r="F124" i="5"/>
  <c r="F122" i="5"/>
  <c r="F121" i="5"/>
  <c r="F119" i="5"/>
  <c r="F113" i="5"/>
  <c r="F112" i="5"/>
  <c r="F111" i="5"/>
  <c r="F110" i="5"/>
  <c r="F109" i="5"/>
  <c r="F117" i="5"/>
  <c r="F116" i="5"/>
  <c r="F115" i="5"/>
  <c r="F108" i="5"/>
  <c r="F84" i="5"/>
  <c r="F83" i="5"/>
  <c r="F82" i="5"/>
  <c r="F81" i="5"/>
  <c r="F80" i="5"/>
  <c r="F78" i="5"/>
  <c r="F77" i="5"/>
  <c r="F76" i="5"/>
  <c r="F75" i="5"/>
  <c r="F74" i="5"/>
  <c r="F71" i="5"/>
  <c r="F70" i="5"/>
  <c r="F69" i="5"/>
  <c r="F68" i="5"/>
  <c r="F67" i="5"/>
  <c r="F65" i="5"/>
  <c r="F64" i="5"/>
  <c r="F63" i="5"/>
  <c r="F62" i="5"/>
  <c r="F61" i="5"/>
  <c r="F59" i="5"/>
  <c r="F58" i="5"/>
  <c r="F57" i="5"/>
  <c r="F56" i="5"/>
  <c r="F52" i="5"/>
  <c r="F51" i="5"/>
  <c r="F50" i="5"/>
  <c r="F49" i="5"/>
  <c r="F48" i="5"/>
  <c r="F46" i="5"/>
  <c r="F45" i="5"/>
  <c r="F43" i="5"/>
  <c r="F42" i="5"/>
  <c r="F41" i="5"/>
  <c r="F39" i="5"/>
  <c r="F38" i="5"/>
  <c r="F37" i="5"/>
  <c r="F36" i="5"/>
  <c r="F35" i="5"/>
  <c r="F64" i="4" l="1"/>
  <c r="F31" i="4"/>
  <c r="F19" i="4"/>
  <c r="E62" i="4"/>
  <c r="F62" i="4" l="1"/>
  <c r="F18" i="4"/>
  <c r="F26" i="4"/>
  <c r="F65" i="4"/>
  <c r="F22" i="4"/>
  <c r="F30" i="4"/>
  <c r="F67" i="4"/>
  <c r="F15" i="4"/>
  <c r="F21" i="4"/>
  <c r="F23" i="4"/>
  <c r="F29" i="4"/>
  <c r="F58" i="4"/>
  <c r="F66" i="4"/>
  <c r="F20" i="4"/>
  <c r="F28" i="4"/>
  <c r="F51" i="4"/>
  <c r="F59" i="4"/>
  <c r="F27" i="4"/>
  <c r="F60" i="4"/>
  <c r="F24" i="4" l="1"/>
  <c r="F61" i="4"/>
  <c r="F68" i="4"/>
  <c r="F54" i="4"/>
  <c r="F55" i="4"/>
  <c r="F56" i="4"/>
  <c r="F52" i="4"/>
  <c r="F53" i="4"/>
  <c r="D17" i="1" l="1"/>
  <c r="E79" i="15" l="1"/>
  <c r="F79" i="15" l="1"/>
  <c r="F27" i="13" l="1"/>
  <c r="F115" i="33" l="1"/>
  <c r="F117" i="33" s="1"/>
  <c r="F104" i="33" l="1"/>
  <c r="F106" i="33" s="1"/>
  <c r="F95" i="33"/>
  <c r="F103" i="33" s="1"/>
  <c r="F99" i="33"/>
  <c r="F98" i="33"/>
  <c r="F121" i="33"/>
  <c r="F120" i="33"/>
  <c r="F118" i="33"/>
  <c r="F116" i="33"/>
  <c r="F81" i="33"/>
  <c r="F84" i="33" s="1"/>
  <c r="F77" i="33"/>
  <c r="F72" i="33"/>
  <c r="F78" i="33" s="1"/>
  <c r="F62" i="33"/>
  <c r="F68" i="33" s="1"/>
  <c r="F90" i="33"/>
  <c r="F89" i="33"/>
  <c r="F80" i="33"/>
  <c r="E76" i="33"/>
  <c r="F60" i="33"/>
  <c r="F59" i="33"/>
  <c r="E56" i="33"/>
  <c r="F56" i="33" s="1"/>
  <c r="E57" i="33"/>
  <c r="F57" i="33" s="1"/>
  <c r="F35" i="33"/>
  <c r="F40" i="33" s="1"/>
  <c r="F43" i="33"/>
  <c r="F45" i="33" s="1"/>
  <c r="F55" i="33"/>
  <c r="F28" i="33"/>
  <c r="F34" i="33" s="1"/>
  <c r="F24" i="33"/>
  <c r="F19" i="33"/>
  <c r="F26" i="33" s="1"/>
  <c r="E23" i="33"/>
  <c r="F9" i="33"/>
  <c r="F15" i="33" s="1"/>
  <c r="F93" i="33"/>
  <c r="F92" i="33"/>
  <c r="F46" i="32"/>
  <c r="F45" i="32"/>
  <c r="F43" i="32"/>
  <c r="F42" i="32"/>
  <c r="F40" i="32"/>
  <c r="F39" i="32"/>
  <c r="F37" i="32"/>
  <c r="F36" i="32"/>
  <c r="F34" i="32"/>
  <c r="F33" i="32"/>
  <c r="F79" i="33" l="1"/>
  <c r="F73" i="33"/>
  <c r="F30" i="1"/>
  <c r="F108" i="33"/>
  <c r="F64" i="33"/>
  <c r="F109" i="33"/>
  <c r="F113" i="33" s="1"/>
  <c r="F63" i="33"/>
  <c r="F105" i="33"/>
  <c r="F101" i="33"/>
  <c r="F107" i="33"/>
  <c r="F96" i="33"/>
  <c r="F102" i="33"/>
  <c r="F100" i="33"/>
  <c r="F97" i="33"/>
  <c r="F30" i="33"/>
  <c r="F70" i="33"/>
  <c r="F71" i="33"/>
  <c r="F66" i="33"/>
  <c r="F67" i="33" s="1"/>
  <c r="F83" i="33"/>
  <c r="F82" i="33"/>
  <c r="F65" i="33"/>
  <c r="F69" i="33"/>
  <c r="F75" i="33"/>
  <c r="F76" i="33"/>
  <c r="F85" i="33"/>
  <c r="F87" i="33"/>
  <c r="F86" i="33"/>
  <c r="F74" i="33"/>
  <c r="F10" i="33"/>
  <c r="F41" i="33"/>
  <c r="F42" i="33"/>
  <c r="F29" i="33"/>
  <c r="F37" i="33"/>
  <c r="F39" i="33"/>
  <c r="F36" i="33"/>
  <c r="F44" i="33"/>
  <c r="F46" i="33"/>
  <c r="F47" i="33"/>
  <c r="F48" i="33"/>
  <c r="F31" i="33"/>
  <c r="F32" i="33"/>
  <c r="F33" i="33"/>
  <c r="F12" i="33"/>
  <c r="F11" i="33"/>
  <c r="F13" i="33"/>
  <c r="F14" i="33" s="1"/>
  <c r="F20" i="33"/>
  <c r="F27" i="33"/>
  <c r="F21" i="33"/>
  <c r="F25" i="33"/>
  <c r="F22" i="33"/>
  <c r="F23" i="33"/>
  <c r="F17" i="33"/>
  <c r="F18" i="33"/>
  <c r="F16" i="33"/>
  <c r="F112" i="33" l="1"/>
  <c r="F111" i="33"/>
  <c r="F114" i="33"/>
  <c r="F110" i="33"/>
  <c r="F50" i="33"/>
  <c r="F52" i="33"/>
  <c r="F51" i="33"/>
  <c r="F53" i="33"/>
  <c r="F49" i="33"/>
  <c r="F22" i="32" l="1"/>
  <c r="F27" i="32"/>
  <c r="F28" i="32"/>
  <c r="F29" i="32"/>
  <c r="F30" i="32"/>
  <c r="F31" i="32"/>
  <c r="F18" i="32"/>
  <c r="F19" i="32"/>
  <c r="F17" i="32"/>
  <c r="F16" i="32"/>
  <c r="F15" i="32"/>
  <c r="F11" i="32"/>
  <c r="H30" i="1" l="1"/>
  <c r="D30" i="1" s="1"/>
  <c r="F25" i="32"/>
  <c r="F23" i="32"/>
  <c r="F24" i="32"/>
  <c r="F21" i="32"/>
  <c r="F10" i="32"/>
  <c r="F13" i="32"/>
  <c r="F12" i="32"/>
  <c r="F9" i="32"/>
  <c r="D29" i="1" l="1"/>
  <c r="F9" i="29"/>
  <c r="F12" i="29" s="1"/>
  <c r="F31" i="29"/>
  <c r="F24" i="29"/>
  <c r="F29" i="29"/>
  <c r="F22" i="29"/>
  <c r="F21" i="29"/>
  <c r="F20" i="29"/>
  <c r="F19" i="29"/>
  <c r="F18" i="29"/>
  <c r="F17" i="29"/>
  <c r="F154" i="15"/>
  <c r="F156" i="15" s="1"/>
  <c r="F148" i="15"/>
  <c r="F149" i="15" s="1"/>
  <c r="F132" i="15"/>
  <c r="F111" i="15"/>
  <c r="F113" i="15" s="1"/>
  <c r="F118" i="15"/>
  <c r="E153" i="15"/>
  <c r="E136" i="15"/>
  <c r="F130" i="15"/>
  <c r="F88" i="15"/>
  <c r="E92" i="15"/>
  <c r="F92" i="15" s="1"/>
  <c r="E91" i="15"/>
  <c r="F91" i="15" s="1"/>
  <c r="E86" i="15"/>
  <c r="E85" i="15"/>
  <c r="F83" i="15"/>
  <c r="F75" i="15"/>
  <c r="F57" i="15"/>
  <c r="F107" i="15"/>
  <c r="F103" i="15"/>
  <c r="F102" i="15"/>
  <c r="F101" i="15"/>
  <c r="F100" i="15"/>
  <c r="F99" i="15"/>
  <c r="F98" i="15"/>
  <c r="F73" i="15"/>
  <c r="F72" i="15"/>
  <c r="F71" i="15"/>
  <c r="F70" i="15"/>
  <c r="F69" i="15"/>
  <c r="F68" i="15"/>
  <c r="F123" i="15" l="1"/>
  <c r="F135" i="15"/>
  <c r="F124" i="15"/>
  <c r="F28" i="1"/>
  <c r="F50" i="15"/>
  <c r="F49" i="15"/>
  <c r="F46" i="15"/>
  <c r="F48" i="15"/>
  <c r="F47" i="15"/>
  <c r="F140" i="15"/>
  <c r="F11" i="29"/>
  <c r="F10" i="29"/>
  <c r="F26" i="29"/>
  <c r="F27" i="29"/>
  <c r="F30" i="29"/>
  <c r="F13" i="29"/>
  <c r="F14" i="29"/>
  <c r="F15" i="29" s="1"/>
  <c r="F25" i="29"/>
  <c r="F136" i="15"/>
  <c r="F129" i="15"/>
  <c r="F153" i="15"/>
  <c r="F112" i="15"/>
  <c r="F139" i="15"/>
  <c r="F122" i="15"/>
  <c r="F151" i="15"/>
  <c r="F155" i="15"/>
  <c r="F115" i="15"/>
  <c r="F117" i="15" s="1"/>
  <c r="F121" i="15"/>
  <c r="F128" i="15"/>
  <c r="F134" i="15"/>
  <c r="F138" i="15"/>
  <c r="F142" i="15"/>
  <c r="F150" i="15"/>
  <c r="F158" i="15"/>
  <c r="F114" i="15"/>
  <c r="F120" i="15"/>
  <c r="F127" i="15"/>
  <c r="F131" i="15"/>
  <c r="F133" i="15"/>
  <c r="F141" i="15"/>
  <c r="F157" i="15"/>
  <c r="F119" i="15"/>
  <c r="F126" i="15"/>
  <c r="F85" i="15"/>
  <c r="F89" i="15"/>
  <c r="F86" i="15"/>
  <c r="F82" i="15"/>
  <c r="F77" i="15"/>
  <c r="F78" i="15" s="1"/>
  <c r="F81" i="15"/>
  <c r="F76" i="15"/>
  <c r="F56" i="15"/>
  <c r="F106" i="15"/>
  <c r="F105" i="15"/>
  <c r="F109" i="15"/>
  <c r="F108" i="15"/>
  <c r="F64" i="15"/>
  <c r="F65" i="15"/>
  <c r="F66" i="15" s="1"/>
  <c r="F59" i="15"/>
  <c r="F58" i="15"/>
  <c r="F55" i="15"/>
  <c r="F63" i="15"/>
  <c r="F54" i="15"/>
  <c r="F62" i="15"/>
  <c r="F61" i="15"/>
  <c r="F159" i="15" l="1"/>
  <c r="F152" i="15"/>
  <c r="F116" i="15"/>
  <c r="F146" i="15"/>
  <c r="F147" i="15"/>
  <c r="F143" i="15"/>
  <c r="F145" i="15"/>
  <c r="F144" i="15"/>
  <c r="F30" i="15" l="1"/>
  <c r="F38" i="15" s="1"/>
  <c r="F16" i="15"/>
  <c r="F18" i="15" s="1"/>
  <c r="F9" i="15"/>
  <c r="F13" i="15" s="1"/>
  <c r="F44" i="15"/>
  <c r="E34" i="15"/>
  <c r="F28" i="15"/>
  <c r="F29" i="15"/>
  <c r="F10" i="11"/>
  <c r="F11" i="15" l="1"/>
  <c r="F15" i="15"/>
  <c r="F10" i="15"/>
  <c r="F12" i="15"/>
  <c r="F36" i="15"/>
  <c r="F43" i="15"/>
  <c r="F21" i="15"/>
  <c r="F37" i="15"/>
  <c r="F17" i="15"/>
  <c r="F33" i="15"/>
  <c r="F20" i="15"/>
  <c r="F34" i="15"/>
  <c r="F24" i="15"/>
  <c r="F42" i="15"/>
  <c r="F19" i="15"/>
  <c r="F26" i="15"/>
  <c r="F32" i="15"/>
  <c r="F25" i="15"/>
  <c r="F31" i="15"/>
  <c r="F40" i="15"/>
  <c r="F22" i="15" l="1"/>
  <c r="F14" i="15"/>
  <c r="F28" i="10" l="1"/>
  <c r="F52" i="6"/>
  <c r="F51" i="6"/>
  <c r="F50" i="6"/>
  <c r="F49" i="6"/>
  <c r="F41" i="6"/>
  <c r="F23" i="6" s="1"/>
  <c r="F94" i="5"/>
  <c r="F23" i="5"/>
  <c r="F22" i="5"/>
  <c r="F21" i="5"/>
  <c r="F17" i="5"/>
  <c r="F98" i="5" l="1"/>
  <c r="F71" i="14"/>
  <c r="F50" i="14"/>
  <c r="F59" i="14" s="1"/>
  <c r="F43" i="14"/>
  <c r="F36" i="14"/>
  <c r="F14" i="14"/>
  <c r="F13" i="14" l="1"/>
  <c r="F21" i="14"/>
  <c r="F19" i="14"/>
  <c r="F18" i="14"/>
  <c r="F20" i="14"/>
  <c r="F17" i="14"/>
  <c r="H28" i="1" l="1"/>
  <c r="D28" i="1" s="1"/>
  <c r="F73" i="14"/>
  <c r="E70" i="14"/>
  <c r="F67" i="14"/>
  <c r="F61" i="14"/>
  <c r="E54" i="14"/>
  <c r="F56" i="14"/>
  <c r="F46" i="14"/>
  <c r="F39" i="14"/>
  <c r="F60" i="14" l="1"/>
  <c r="F66" i="14"/>
  <c r="F64" i="14"/>
  <c r="F74" i="14"/>
  <c r="F51" i="14"/>
  <c r="F58" i="14"/>
  <c r="F72" i="14"/>
  <c r="F75" i="14"/>
  <c r="F10" i="14"/>
  <c r="F38" i="14"/>
  <c r="F37" i="14"/>
  <c r="F44" i="14"/>
  <c r="F48" i="14"/>
  <c r="F63" i="14"/>
  <c r="F49" i="14"/>
  <c r="F40" i="14"/>
  <c r="F41" i="14"/>
  <c r="F47" i="14"/>
  <c r="F53" i="14"/>
  <c r="F54" i="14"/>
  <c r="F57" i="14"/>
  <c r="F62" i="14"/>
  <c r="F68" i="14"/>
  <c r="F70" i="14"/>
  <c r="F45" i="14"/>
  <c r="F52" i="14"/>
  <c r="G31" i="1"/>
  <c r="G32" i="1" s="1"/>
  <c r="F42" i="14" l="1"/>
  <c r="F76" i="14"/>
  <c r="F69" i="14"/>
  <c r="G33" i="1"/>
  <c r="G34" i="1" s="1"/>
  <c r="G35" i="1" s="1"/>
  <c r="H29" i="1"/>
  <c r="E55" i="13"/>
  <c r="F55" i="13" s="1"/>
  <c r="E56" i="13"/>
  <c r="F56" i="13" s="1"/>
  <c r="E50" i="13"/>
  <c r="F50" i="13" s="1"/>
  <c r="E49" i="13"/>
  <c r="F49" i="13" s="1"/>
  <c r="F29" i="13"/>
  <c r="F26" i="13"/>
  <c r="F25" i="13"/>
  <c r="F23" i="13"/>
  <c r="F21" i="13"/>
  <c r="F20" i="13"/>
  <c r="F19" i="13"/>
  <c r="F17" i="13"/>
  <c r="F13" i="13"/>
  <c r="F15" i="13"/>
  <c r="F14" i="13"/>
  <c r="F11" i="13"/>
  <c r="F9" i="13"/>
  <c r="F53" i="13" l="1"/>
  <c r="F52" i="13"/>
  <c r="D26" i="1" l="1"/>
  <c r="H26" i="1" s="1"/>
  <c r="F13" i="11" l="1"/>
  <c r="F12" i="11"/>
  <c r="F11" i="11"/>
  <c r="F9" i="11"/>
  <c r="F31" i="10"/>
  <c r="F30" i="10"/>
  <c r="F29" i="10"/>
  <c r="F18" i="10"/>
  <c r="F24" i="1" l="1"/>
  <c r="F12" i="10"/>
  <c r="F13" i="10"/>
  <c r="F14" i="10"/>
  <c r="F10" i="10"/>
  <c r="F11" i="10"/>
  <c r="F17" i="10"/>
  <c r="F16" i="10"/>
  <c r="F20" i="10"/>
  <c r="H24" i="1" l="1"/>
  <c r="D24" i="1" s="1"/>
  <c r="F113" i="9" l="1"/>
  <c r="F112" i="9"/>
  <c r="F110" i="9"/>
  <c r="F108" i="9"/>
  <c r="F107" i="9"/>
  <c r="F105" i="9"/>
  <c r="F103" i="9"/>
  <c r="F102" i="9"/>
  <c r="F100" i="9"/>
  <c r="F98" i="9"/>
  <c r="F97" i="9"/>
  <c r="F95" i="9"/>
  <c r="F93" i="9"/>
  <c r="F92" i="9"/>
  <c r="F90" i="9"/>
  <c r="F88" i="9"/>
  <c r="F87" i="9"/>
  <c r="F85" i="9"/>
  <c r="F83" i="9"/>
  <c r="F82" i="9"/>
  <c r="F80" i="9"/>
  <c r="F78" i="9"/>
  <c r="F77" i="9"/>
  <c r="F75" i="9"/>
  <c r="F73" i="9"/>
  <c r="F72" i="9"/>
  <c r="F70" i="9"/>
  <c r="F68" i="9"/>
  <c r="F67" i="9"/>
  <c r="F65" i="9"/>
  <c r="F62" i="9"/>
  <c r="F61" i="9"/>
  <c r="F59" i="9"/>
  <c r="F58" i="9"/>
  <c r="F56" i="9"/>
  <c r="F55" i="9"/>
  <c r="F54" i="9"/>
  <c r="F53" i="9"/>
  <c r="F52" i="9"/>
  <c r="F48" i="9"/>
  <c r="F43" i="9"/>
  <c r="F42" i="9"/>
  <c r="F41" i="9"/>
  <c r="F40" i="9"/>
  <c r="F39" i="9"/>
  <c r="E37" i="9"/>
  <c r="F37" i="9" s="1"/>
  <c r="H37" i="9" s="1"/>
  <c r="M37" i="9" s="1"/>
  <c r="M36" i="9"/>
  <c r="F36" i="9"/>
  <c r="E35" i="9"/>
  <c r="F35" i="9" s="1"/>
  <c r="H35" i="9" s="1"/>
  <c r="M35" i="9" s="1"/>
  <c r="H34" i="9"/>
  <c r="M34" i="9" s="1"/>
  <c r="H33" i="9"/>
  <c r="M33" i="9" s="1"/>
  <c r="F32" i="9"/>
  <c r="H32" i="9" s="1"/>
  <c r="E31" i="9"/>
  <c r="F31" i="9" s="1"/>
  <c r="L31" i="9" s="1"/>
  <c r="M31" i="9" s="1"/>
  <c r="K30" i="9"/>
  <c r="F30" i="9"/>
  <c r="E29" i="9"/>
  <c r="F29" i="9" s="1"/>
  <c r="J29" i="9" s="1"/>
  <c r="M29" i="9" s="1"/>
  <c r="M27" i="9"/>
  <c r="F27" i="9"/>
  <c r="F26" i="9"/>
  <c r="H26" i="9" s="1"/>
  <c r="M26" i="9" s="1"/>
  <c r="F25" i="9"/>
  <c r="L25" i="9" s="1"/>
  <c r="M25" i="9" s="1"/>
  <c r="F24" i="9"/>
  <c r="L24" i="9" s="1"/>
  <c r="M24" i="9" s="1"/>
  <c r="F23" i="9"/>
  <c r="L23" i="9" s="1"/>
  <c r="M23" i="9" s="1"/>
  <c r="F22" i="9"/>
  <c r="L22" i="9" s="1"/>
  <c r="M22" i="9" s="1"/>
  <c r="F21" i="9"/>
  <c r="L21" i="9" s="1"/>
  <c r="M21" i="9" s="1"/>
  <c r="F20" i="9"/>
  <c r="L20" i="9" s="1"/>
  <c r="M20" i="9" s="1"/>
  <c r="F19" i="9"/>
  <c r="J19" i="9" s="1"/>
  <c r="M19" i="9" s="1"/>
  <c r="F17" i="9"/>
  <c r="H17" i="9" s="1"/>
  <c r="M17" i="9" s="1"/>
  <c r="F16" i="9"/>
  <c r="H16" i="9" s="1"/>
  <c r="M16" i="9" s="1"/>
  <c r="F15" i="9"/>
  <c r="H15" i="9" s="1"/>
  <c r="M15" i="9" s="1"/>
  <c r="F14" i="9"/>
  <c r="H14" i="9" s="1"/>
  <c r="F13" i="9"/>
  <c r="L13" i="9" s="1"/>
  <c r="F12" i="9"/>
  <c r="J12" i="9" s="1"/>
  <c r="F10" i="9"/>
  <c r="J10" i="9" s="1"/>
  <c r="M10" i="9" s="1"/>
  <c r="F23" i="1" l="1"/>
  <c r="D25" i="1"/>
  <c r="L32" i="9"/>
  <c r="M32" i="9" s="1"/>
  <c r="F45" i="9"/>
  <c r="L30" i="9"/>
  <c r="M30" i="9" s="1"/>
  <c r="F50" i="9"/>
  <c r="M13" i="9"/>
  <c r="M12" i="9"/>
  <c r="M14" i="9"/>
  <c r="F49" i="9"/>
  <c r="H25" i="1" l="1"/>
  <c r="H23" i="1" l="1"/>
  <c r="D23" i="1" s="1"/>
  <c r="H22" i="1" l="1"/>
  <c r="F61" i="6" l="1"/>
  <c r="F62" i="6" s="1"/>
  <c r="F46" i="6"/>
  <c r="F45" i="6"/>
  <c r="F44" i="6"/>
  <c r="F43" i="6"/>
  <c r="F42" i="6"/>
  <c r="F40" i="6" l="1"/>
  <c r="F39" i="6"/>
  <c r="F38" i="6"/>
  <c r="F37" i="6"/>
  <c r="F36" i="6"/>
  <c r="F34" i="6"/>
  <c r="F33" i="6"/>
  <c r="F32" i="6"/>
  <c r="F31" i="6"/>
  <c r="F30" i="6"/>
  <c r="E20" i="6"/>
  <c r="E27" i="6"/>
  <c r="F27" i="6" s="1"/>
  <c r="F28" i="6"/>
  <c r="F26" i="6"/>
  <c r="F25" i="6"/>
  <c r="F24" i="6"/>
  <c r="F22" i="6"/>
  <c r="F21" i="6"/>
  <c r="F19" i="6"/>
  <c r="E18" i="6"/>
  <c r="F18" i="6" s="1"/>
  <c r="E12" i="6"/>
  <c r="F12" i="6" s="1"/>
  <c r="F20" i="6" l="1"/>
  <c r="F14" i="6"/>
  <c r="F11" i="6"/>
  <c r="F16" i="6"/>
  <c r="F15" i="6"/>
  <c r="F10" i="6"/>
  <c r="F134" i="5" l="1"/>
  <c r="F133" i="5"/>
  <c r="F131" i="5"/>
  <c r="F10" i="5"/>
  <c r="F11" i="5"/>
  <c r="F12" i="5"/>
  <c r="F14" i="5"/>
  <c r="F15" i="5"/>
  <c r="F16" i="5"/>
  <c r="F97" i="5"/>
  <c r="F96" i="5"/>
  <c r="F92" i="5"/>
  <c r="D20" i="1" l="1"/>
  <c r="F104" i="5"/>
  <c r="H20" i="1" l="1"/>
  <c r="F106" i="5"/>
  <c r="F99" i="5"/>
  <c r="F105" i="5"/>
  <c r="F89" i="5" l="1"/>
  <c r="F87" i="5"/>
  <c r="F32" i="5" l="1"/>
  <c r="F33" i="5"/>
  <c r="F31" i="5"/>
  <c r="F30" i="5"/>
  <c r="F29" i="5"/>
  <c r="F26" i="5"/>
  <c r="F25" i="5"/>
  <c r="F18" i="5"/>
  <c r="F19" i="5" l="1"/>
  <c r="D18" i="1" l="1"/>
  <c r="H18" i="1" s="1"/>
  <c r="F31" i="1"/>
  <c r="F32" i="1" s="1"/>
  <c r="F33" i="1" l="1"/>
  <c r="F34" i="1" s="1"/>
  <c r="F35" i="1" s="1"/>
  <c r="H17" i="1" l="1"/>
  <c r="H16" i="1" l="1"/>
  <c r="E31" i="1"/>
  <c r="E32" i="1" l="1"/>
  <c r="E33" i="1" s="1"/>
  <c r="E34" i="1" s="1"/>
  <c r="E35" i="1" s="1"/>
  <c r="H15" i="1" l="1"/>
  <c r="F31" i="14" l="1"/>
  <c r="F34" i="14"/>
  <c r="F35" i="14"/>
  <c r="F30" i="14"/>
  <c r="D27" i="1" l="1"/>
  <c r="H27" i="1" s="1"/>
  <c r="M50" i="29" l="1"/>
  <c r="D19" i="1" s="1"/>
  <c r="H19" i="1" s="1"/>
  <c r="H31" i="1" s="1"/>
  <c r="H32" i="1" s="1"/>
  <c r="D31" i="1" l="1"/>
  <c r="D32" i="1" s="1"/>
  <c r="D33" i="1" s="1"/>
  <c r="D34" i="1" s="1"/>
  <c r="D35" i="1" s="1"/>
  <c r="H33" i="1"/>
  <c r="H34" i="1" s="1"/>
  <c r="H35" i="1" l="1"/>
  <c r="D5" i="1"/>
  <c r="D4" i="1" l="1"/>
</calcChain>
</file>

<file path=xl/sharedStrings.xml><?xml version="1.0" encoding="utf-8"?>
<sst xmlns="http://schemas.openxmlformats.org/spreadsheetml/2006/main" count="3655" uniqueCount="760">
  <si>
    <t>ნაკრები სახარჯთაღრიცხვო გაანგარიშება</t>
  </si>
  <si>
    <t>მათ შორის: დამატებითი ღირებულების გადასახადი</t>
  </si>
  <si>
    <t>#</t>
  </si>
  <si>
    <t>სახარჯთაღრიცხვო ანგარიშის და ხარჯთაღრიცხვის ნომერი</t>
  </si>
  <si>
    <t>ობიექტის, სამუშაოების და ხარჯების დასახელება</t>
  </si>
  <si>
    <t>სახარჯთღრიცხვო ღირებულება ათასი ლარი</t>
  </si>
  <si>
    <t xml:space="preserve">სამშენებლო სამუშაოები </t>
  </si>
  <si>
    <t>სამონტაჟო სამუშაოები</t>
  </si>
  <si>
    <t>მათ შორის დანადგარები, ავეჯი, ინვენტარი</t>
  </si>
  <si>
    <t>სხვა ხარჯები</t>
  </si>
  <si>
    <t>საერთო სახარჯთაღ რიცხვო ღირებულება</t>
  </si>
  <si>
    <t>თავი I</t>
  </si>
  <si>
    <t>ტერიტორიის მომზადება</t>
  </si>
  <si>
    <t>ხარჯები არ არის</t>
  </si>
  <si>
    <t>თავი II</t>
  </si>
  <si>
    <t>მშენებლობის ძირითადი ობიექტები</t>
  </si>
  <si>
    <t>ობიექტ. ხარჯთ. #1</t>
  </si>
  <si>
    <t>ობიექტ. ხარჯთ. #2</t>
  </si>
  <si>
    <t>ობიექტ. ხარჯთ. #3</t>
  </si>
  <si>
    <t>ობიექტ. ხარჯთ. #4</t>
  </si>
  <si>
    <t>ობიექტ. ხარჯთ. #5</t>
  </si>
  <si>
    <t>ობიექტ. ხარჯთ. #6</t>
  </si>
  <si>
    <t>ჯ ა მ ი თავი II</t>
  </si>
  <si>
    <t>3</t>
  </si>
  <si>
    <t>ჯამი</t>
  </si>
  <si>
    <t>დამატებითი ღირებულების გადასახადი 18%</t>
  </si>
  <si>
    <t>სულ კრებსითი სახარჯთაღრიცხვო ღირებულებით</t>
  </si>
  <si>
    <t>ობიექტ. ხარჯთ. #7</t>
  </si>
  <si>
    <t>ობიექტ. ხარჯთ. #9</t>
  </si>
  <si>
    <t>ობიექტ. ხარჯთ. #10</t>
  </si>
  <si>
    <t>ობიექტ. ხარჯთ. #11</t>
  </si>
  <si>
    <t>ობიექტ. ხარჯთ. #12</t>
  </si>
  <si>
    <t>ობიექტ. ხარჯთ. #13</t>
  </si>
  <si>
    <t>ობიექტ. ხარჯთ. #14</t>
  </si>
  <si>
    <t>ობიექტ. ხარჯთ. #15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</si>
  <si>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</si>
  <si>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</si>
  <si>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</si>
  <si>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</si>
  <si>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</si>
  <si>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</si>
  <si>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</si>
  <si>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</si>
  <si>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</si>
  <si>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</si>
  <si>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</si>
  <si>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</si>
  <si>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</si>
  <si>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</si>
  <si>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№</t>
  </si>
  <si>
    <t>შიფრი</t>
  </si>
  <si>
    <t>სამუშაოს დასახელება</t>
  </si>
  <si>
    <t>განზ.</t>
  </si>
  <si>
    <t>რაოდენობა</t>
  </si>
  <si>
    <t>მასალა</t>
  </si>
  <si>
    <t>ხელფასი</t>
  </si>
  <si>
    <t>მანქანა-მექანიზმები</t>
  </si>
  <si>
    <t xml:space="preserve"> ჯამი  (ლარი)</t>
  </si>
  <si>
    <t>სულ</t>
  </si>
  <si>
    <t>ერთ. ფასი</t>
  </si>
  <si>
    <t>2</t>
  </si>
  <si>
    <t>1. სამშენებლო სამუშაოები</t>
  </si>
  <si>
    <t>მ3</t>
  </si>
  <si>
    <t xml:space="preserve">შრომის დანახარჯები </t>
  </si>
  <si>
    <t>კაც/სთ</t>
  </si>
  <si>
    <t>ტნ</t>
  </si>
  <si>
    <t>გვ.141</t>
  </si>
  <si>
    <t xml:space="preserve">შრომითი დანახარჯი  </t>
  </si>
  <si>
    <t>კ/სთ</t>
  </si>
  <si>
    <t xml:space="preserve">ბეტონი მ300 </t>
  </si>
  <si>
    <t>არმატურა d-14  A-III</t>
  </si>
  <si>
    <t>კგ</t>
  </si>
  <si>
    <t>პროექტით</t>
  </si>
  <si>
    <t>არმატურა d-6  A-I</t>
  </si>
  <si>
    <t>ხის მასალა</t>
  </si>
  <si>
    <t xml:space="preserve">ფარი ყალიბის </t>
  </si>
  <si>
    <t>მ2</t>
  </si>
  <si>
    <t>მანქანა</t>
  </si>
  <si>
    <t>ლარი</t>
  </si>
  <si>
    <t xml:space="preserve">სხვა მასალა </t>
  </si>
  <si>
    <t>არმატურა d-12  A-III</t>
  </si>
  <si>
    <t>8-5-2</t>
  </si>
  <si>
    <t>სხვა მანქანა</t>
  </si>
  <si>
    <t>ქვიშა-ცემენტის ხსნარი მ100</t>
  </si>
  <si>
    <t>ც</t>
  </si>
  <si>
    <t>სხვა მასალა</t>
  </si>
  <si>
    <t xml:space="preserve">სჭვალი </t>
  </si>
  <si>
    <t>ცალი</t>
  </si>
  <si>
    <t>გრძ.მ</t>
  </si>
  <si>
    <t>ტ</t>
  </si>
  <si>
    <t>ელექტროდი</t>
  </si>
  <si>
    <t>15-164-8</t>
  </si>
  <si>
    <t>ოლიფა</t>
  </si>
  <si>
    <t>8-3-2</t>
  </si>
  <si>
    <t>ქვიშა-ხრეში</t>
  </si>
  <si>
    <t>ბეტონი მ300</t>
  </si>
  <si>
    <t>15-55-9</t>
  </si>
  <si>
    <t>მ/სთ</t>
  </si>
  <si>
    <t xml:space="preserve">ქვიშა-ცემენტის  ხსნარი </t>
  </si>
  <si>
    <t>15-54-1</t>
  </si>
  <si>
    <t>ფასადის დამუშავება დეკორატიული ნაშხეფით (ბრიზგით)</t>
  </si>
  <si>
    <t>ქვიშა-ცემენტის ხსნარი</t>
  </si>
  <si>
    <t>საღებავი წყალემულსიური, ფასადის, მაღალხარისხიანი</t>
  </si>
  <si>
    <t>ექსკავატორი ჩამჩის ტევადობით 0,25მ3-მდე პნევმოსვლაზე</t>
  </si>
  <si>
    <t>მანქ/სთ</t>
  </si>
  <si>
    <t>1-80-3</t>
  </si>
  <si>
    <t>III კატეგორიის გრუნტის დამუშავება ხელით ექსკავატორის მუშაობის შემდეგ</t>
  </si>
  <si>
    <t>შრომითი რესურსები</t>
  </si>
  <si>
    <t>III კატეგორიის გრუნტის დამუშავება ექსკავატორით და დატვირთვა ა/თვითმცლელზე</t>
  </si>
  <si>
    <t>1-23-6</t>
  </si>
  <si>
    <t>11-8-3+4</t>
  </si>
  <si>
    <t>გვ.31 პ205</t>
  </si>
  <si>
    <t>წებო-ცემენტი</t>
  </si>
  <si>
    <t xml:space="preserve">ჯამი </t>
  </si>
  <si>
    <t>შრომის დანახარჯი</t>
  </si>
  <si>
    <t>12-8-3</t>
  </si>
  <si>
    <t>ტრანსპორტირების ხარჯები მასალის ღირებულებიდან</t>
  </si>
  <si>
    <t xml:space="preserve">ზედნადები ხარჯები </t>
  </si>
  <si>
    <t xml:space="preserve">გეგმიური დაგროვება </t>
  </si>
  <si>
    <t>სხვა მასალები</t>
  </si>
  <si>
    <t>კომპლ.</t>
  </si>
  <si>
    <t xml:space="preserve">სხვა მანქანა </t>
  </si>
  <si>
    <t>სამფაზა ავტომატური გამომრთველით 100ა</t>
  </si>
  <si>
    <t>სამფაზა ავტომატური გამომრთველით 25ა</t>
  </si>
  <si>
    <t>სამფაზა ავტომატური გამომრთველით 16ა</t>
  </si>
  <si>
    <t>მ</t>
  </si>
  <si>
    <t>წყალსადენის მილსადენების მონტაჟი</t>
  </si>
  <si>
    <t>გრძ/მ</t>
  </si>
  <si>
    <t>მილი პოლიპროპილენის Pn-10 Ø25</t>
  </si>
  <si>
    <t>მილი პოლიპროპილენის Pn-10 Ø20</t>
  </si>
  <si>
    <t>მუხლი 90გრდ. Ø25</t>
  </si>
  <si>
    <t>მუხლი 90გრდ. Ø20</t>
  </si>
  <si>
    <t>სამკაპი 25/20</t>
  </si>
  <si>
    <t>გადამყვანი Ø25-20</t>
  </si>
  <si>
    <t>ვენტილი პლასტამსის Ø25</t>
  </si>
  <si>
    <t>ვენტილი პლასტამსის Ø20</t>
  </si>
  <si>
    <t>საკანალიზაციო მილი პოლივინილქლორიდის PVC Ø100</t>
  </si>
  <si>
    <t>საკანალიზაციო მილი  პოლივინილქლორიდისPVC Ø50</t>
  </si>
  <si>
    <t>სამკაპი ირიბი Ø100</t>
  </si>
  <si>
    <t>სამკაპი Ø50</t>
  </si>
  <si>
    <t>სამკაპი 90გრდ. Ø100</t>
  </si>
  <si>
    <t>მუხლი 90 გრდ. Ø100</t>
  </si>
  <si>
    <t>მუხლი 90 გრდ. Ø50</t>
  </si>
  <si>
    <t>სამკაპი 90გრდ. Ø100-50</t>
  </si>
  <si>
    <t>სამკაპი 90გრდ. Ø50</t>
  </si>
  <si>
    <t>გადამყვანი Ø100-50</t>
  </si>
  <si>
    <t>საცობი Ø100</t>
  </si>
  <si>
    <t>საბაზრო</t>
  </si>
  <si>
    <t>ტრანსპორტირების ხარჯები მასალების ღირებულებიდან</t>
  </si>
  <si>
    <t>მათ შორის: მოწყობილობა</t>
  </si>
  <si>
    <t>მასალების ტრანსპორტირების ხარჯი</t>
  </si>
  <si>
    <t>ზედნადები ხარჯები  -  ხელფასიდან</t>
  </si>
  <si>
    <t xml:space="preserve">მოგება  </t>
  </si>
  <si>
    <t>ჯამი 2</t>
  </si>
  <si>
    <t>ლოკალურ-რესურსული ხარჯთაღრიცხვა N3</t>
  </si>
  <si>
    <t>ავტოგრეიდერი 108 ცხ. ძ.</t>
  </si>
  <si>
    <t>გრუნტის  გატანა 5 კმ-მდე</t>
  </si>
  <si>
    <t xml:space="preserve">სამშენებლო ნაგავის გატანა ტერიტორიიდან 5 კმ-მდე </t>
  </si>
  <si>
    <t>კუბ.მ</t>
  </si>
  <si>
    <t xml:space="preserve">შრომის დანახარჯი </t>
  </si>
  <si>
    <t>თვითმავალი სატკეპნი 18ტ-მდე</t>
  </si>
  <si>
    <t xml:space="preserve">მოსარწყავ-მოსარეცხი მანქანა </t>
  </si>
  <si>
    <t xml:space="preserve">წყალი </t>
  </si>
  <si>
    <t>კუბ.მ.</t>
  </si>
  <si>
    <t>ბაზალტის ბორდიურების მოწყობა   10X30</t>
  </si>
  <si>
    <t>კაც.სთ</t>
  </si>
  <si>
    <t>სხვა მანქანები</t>
  </si>
  <si>
    <t>გვ.137 პ222</t>
  </si>
  <si>
    <t>27-7-2</t>
  </si>
  <si>
    <t>თვითმავალი სატკეპნი 10ტ-მდე</t>
  </si>
  <si>
    <t xml:space="preserve">27-19-3                                                    </t>
  </si>
  <si>
    <t>ბეტონი მ-200</t>
  </si>
  <si>
    <t>ცემენტის ხსნარი მ-75</t>
  </si>
  <si>
    <t>ბაზალტის ბორდიურები 10*30 სმ</t>
  </si>
  <si>
    <t>კვ.მ</t>
  </si>
  <si>
    <t>შრომის დანახარჯები</t>
  </si>
  <si>
    <t>ბულდოზერი 108 ცხ.ძ</t>
  </si>
  <si>
    <t>თვითმავალი სატკეპნი 5ტ-მდე</t>
  </si>
  <si>
    <t>ღორღი ფრ.0-40მმ</t>
  </si>
  <si>
    <t>წყალი</t>
  </si>
  <si>
    <t>ღორღის ტრანპორტირება 32 კმ-ზე</t>
  </si>
  <si>
    <t>გზის საფუძველის ზედა ფენის მოწყობა 0-40 ფრაქციული  ღორღით სისქით 8 სმ</t>
  </si>
  <si>
    <t>27-24-17,18</t>
  </si>
  <si>
    <t>მოსარწყავ-მოსარეცხი მანქანა 6000ლ</t>
  </si>
  <si>
    <t>ყალიბის ფარი</t>
  </si>
  <si>
    <t>ბეტონი მ200</t>
  </si>
  <si>
    <t>მინაპლასტიკური არმატურა  d=10 მმ</t>
  </si>
  <si>
    <t>მავთული შესაკრავი</t>
  </si>
  <si>
    <t>საფეხმავლო ბილიკის ზედაპირის მოპირკეთება დახერხილი ბაზალტის ფილებით</t>
  </si>
  <si>
    <t>11-30-7</t>
  </si>
  <si>
    <t>დახერხილი ბაზალტის ფილები სისქით 4 სმ</t>
  </si>
  <si>
    <t>ქვიშა</t>
  </si>
  <si>
    <t>30-3-2</t>
  </si>
  <si>
    <t>გვ.32 პ234</t>
  </si>
  <si>
    <t>ცემენტი მ-400</t>
  </si>
  <si>
    <t xml:space="preserve">27-44-2                       </t>
  </si>
  <si>
    <t xml:space="preserve">საფეხმავლო ბილიკის საფუძვლის მოწყობა ქვიშა-ცემენტის 10% მშრალი ნარევით  სისქით 5სმ                                                                   </t>
  </si>
  <si>
    <t>ტრანსპორტირების ხარჯები მასალების ღირებულებიდან (ინერტული მასალების: ქვიშა, ქვიშა-ხრეშის გარდა)</t>
  </si>
  <si>
    <t>ლოკალურ-რესურსული ხარჯთაღრიცხვა N4</t>
  </si>
  <si>
    <t>46-23-1</t>
  </si>
  <si>
    <t xml:space="preserve">შრომითი დანახარჯი </t>
  </si>
  <si>
    <t xml:space="preserve">მანქანა </t>
  </si>
  <si>
    <t>არსებული საყრდენი კედლის დაზიანებული მონაკვეთის დემონტაჟი შემდგომში ახალის მოწყობის მიზნით</t>
  </si>
  <si>
    <t xml:space="preserve">რკ/ბეტონის  მ300   საყრდენი კედლის მოწყობა სისქით 30 სმ </t>
  </si>
  <si>
    <t>6-11-3</t>
  </si>
  <si>
    <t>ტონა</t>
  </si>
  <si>
    <t>37-11</t>
  </si>
  <si>
    <t>100 ც</t>
  </si>
  <si>
    <t>მოპირკეთებული კედლის თავზე ლითონის დეკორატიული მოაჯირის მოწყობა</t>
  </si>
  <si>
    <t>კედლის ქუდსა და კედელში საანკერო ნახვრეტების მოწყობა, ანკერების ჩასმა და ხსნარით ამოვსება</t>
  </si>
  <si>
    <t>ცემენტის ხსნარი მ200</t>
  </si>
  <si>
    <t xml:space="preserve">მბრუნავი  კუტიკარის  მონტაჟი </t>
  </si>
  <si>
    <t>მბრუნავი კუტიკარი</t>
  </si>
  <si>
    <t xml:space="preserve">ელექტროდი </t>
  </si>
  <si>
    <t>9-17-5</t>
  </si>
  <si>
    <t xml:space="preserve">დეკორატიული მოაჯირის  მონტაჟი </t>
  </si>
  <si>
    <t xml:space="preserve"> გარე კედლის და დეკორატიული მოაჯირის  სარეაბილიტაციო  სამუშაოები</t>
  </si>
  <si>
    <t xml:space="preserve"> ლითონის ელემენტების შეღებვა ზეთოვანი საღებავით</t>
  </si>
  <si>
    <t xml:space="preserve">ტრანსპორტირების ხარჯები მასალების ღირებულებიდან </t>
  </si>
  <si>
    <t>შრომითი დანახარჯები</t>
  </si>
  <si>
    <t>6-1-2</t>
  </si>
  <si>
    <t xml:space="preserve">ბეტონი მ200 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</si>
  <si>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</si>
  <si>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>რკ/ბეტონის ძირის და კედლების მოწყობა B25 F200 W6 ბეტონისაგან შადრევანისათვის</t>
  </si>
  <si>
    <r>
      <t>ბეტონის წყალგაჟონვის საწინააღმდეგო  პალსტიფიკატორი  (1მ</t>
    </r>
    <r>
      <rPr>
        <vertAlign val="superscript"/>
        <sz val="10"/>
        <rFont val="Sylfaen"/>
        <family val="1"/>
        <charset val="204"/>
      </rPr>
      <t>3</t>
    </r>
    <r>
      <rPr>
        <sz val="10"/>
        <rFont val="Sylfaen"/>
        <family val="1"/>
        <charset val="204"/>
      </rPr>
      <t xml:space="preserve"> ბეტონზე დანამატი ლარში)</t>
    </r>
  </si>
  <si>
    <t xml:space="preserve">40 მმ სისქის ბეტონის მოჭიმვის მოწყობა იატაკზე </t>
  </si>
  <si>
    <t>შიდა და გარე  კედლების   ლესვა ცემენტის ხსნარით</t>
  </si>
  <si>
    <t>ხელოვნური გრანიტის  ფილები  (მაღალი ხარისხის)</t>
  </si>
  <si>
    <t>იატაკის მოწყობა ხელოვნური  გრანიტის ფილებით  (ფერი შეთანხმდეს დამკვეთთან)</t>
  </si>
  <si>
    <t>15-14-1</t>
  </si>
  <si>
    <t>კერამიკული ფილები</t>
  </si>
  <si>
    <t>კერამიკული ფილების მოწყობა აუზის შიდა კედლებზე</t>
  </si>
  <si>
    <t xml:space="preserve">კიდეების  მოპირკეთება  ბაზალტის ფილებით, </t>
  </si>
  <si>
    <t>შრომითი დანახარჯი</t>
  </si>
  <si>
    <t>1-81-3</t>
  </si>
  <si>
    <t>გრუნტის უკუჩაყრა ხელით</t>
  </si>
  <si>
    <t>1-80-7</t>
  </si>
  <si>
    <t>33-20-9</t>
  </si>
  <si>
    <t>დამიწების  მოწყობა თითოეული ლამპიონისათვის ხელით</t>
  </si>
  <si>
    <t>ქანჩი-ჭანჭიკი M8</t>
  </si>
  <si>
    <t>წერტილოვანი საძირკვლის   მოწყობა მონოლითური მ200 ბეტონისაგან ანკერებისათვის 04*0,4*0,6</t>
  </si>
  <si>
    <t>III კატეგორიის გრუნტის დამუშავება თხრილში ხელით დენის ქსელის მოსაწყობად (1311*0,2*0,25)</t>
  </si>
  <si>
    <t>D-40 მმ და D-25 მმ გოფრირებული პლასტმასის მილის მოწყობა ტრანშეაში</t>
  </si>
  <si>
    <t>დამიწების კონტურის მოწყობა</t>
  </si>
  <si>
    <t>დამიწების შტანგა მოთუთუებული D-20 H-1,5</t>
  </si>
  <si>
    <t>გოფრირებული მილი ცეცხლგამძლე  დ=25მმ</t>
  </si>
  <si>
    <t>გოფრირებული მილი ცეცხლგამძლე  დ=15მმ</t>
  </si>
  <si>
    <t>გოფრირებული მილი ცეცხლგამძლე  დ=40მმ</t>
  </si>
  <si>
    <t>ალუმინის 3X16+10 მმ2  და  NYM 3X1,5მმ2 კაბელის გატარება  გოფრირებულ მილში</t>
  </si>
  <si>
    <t>სპილენძის ორმაგიზოლაციანი  კაბელი NYM 3X1,5მმ2</t>
  </si>
  <si>
    <t>კაბელი  NAYY 3X16+10 მმ2 ორმაგი იზოლაციით</t>
  </si>
  <si>
    <t>კაბელი  NAYY 3X10+6 მმ2 ორმაგი იზოლაციით</t>
  </si>
  <si>
    <t>8-612-8</t>
  </si>
  <si>
    <t xml:space="preserve">სხვა მანქანა  </t>
  </si>
  <si>
    <t>სამფაზა ავტომატური გამომრთველით 10აა</t>
  </si>
  <si>
    <t>რკინის კარადა1800მმ*600მმ*400მმ  დაცვის IP65 კლასით</t>
  </si>
  <si>
    <t>გამანაწილებელი ფარი 24 ჯგუფიანი. შემყვანზე 3-ფაზა ავტომატური გამომრთველით 100ა, ჯგუფებში ერთფაზა ავტომატური გამომრთველით    10ა-6ც,   16ა-10ც, 25ა-8ც</t>
  </si>
  <si>
    <t>ლოკალურ-რესურსული ხარჯთაღრიცხვა N7</t>
  </si>
  <si>
    <t>გარე მოხმარების ფიტნესის ტრენაჟორების  მოწყობის  სამუშაოები</t>
  </si>
  <si>
    <t>1. მოედნის და საჩრდილობლის მოწყობის სამუშაოები</t>
  </si>
  <si>
    <t>მიწის მოჭრა და მოსწორება</t>
  </si>
  <si>
    <t>27-19-2</t>
  </si>
  <si>
    <t>ბეტონის ბორდიურის (0,23X0,12მ)  მოწყობა  მ-200  ბეტონის საფუძველზე</t>
  </si>
  <si>
    <t>გრძ. მ</t>
  </si>
  <si>
    <t>ბაზალტის ბორდიურები   25X10 სმ</t>
  </si>
  <si>
    <t>27-11-1</t>
  </si>
  <si>
    <t>ტერიტორიაზე ღორღის მოსამზადებელი ფენის მოწყობა (ფრაქციით 0-40)  საშ. სისქით 8 სმ.</t>
  </si>
  <si>
    <t>ავტოგრეიდერი საშუალო 108 ცხ.ძ</t>
  </si>
  <si>
    <t>ბულდოზერი  108 ცხ.ძ</t>
  </si>
  <si>
    <t>ნამტვრევი ქვის გამანაწილებელი მანქანა</t>
  </si>
  <si>
    <t xml:space="preserve">27-24-17,18                                            ს.რ.ფ.                                                                                                                                      </t>
  </si>
  <si>
    <t xml:space="preserve">რკ/ბეტონის ფილისა და დგარების ძირის მოწყობა  მ300 ბეტონისაგან,   ფილის სისქე 10სმ,  (იხ ნახაზი) </t>
  </si>
  <si>
    <t>სარწყავი ავტომანქანა 6000ლ</t>
  </si>
  <si>
    <t>მანქ.სთ</t>
  </si>
  <si>
    <t>ბეტონი მ-300</t>
  </si>
  <si>
    <t>არმატურა  A-III   D-10</t>
  </si>
  <si>
    <t>არმატურის ანკერები   A-III   D-20</t>
  </si>
  <si>
    <t xml:space="preserve">ყალიბის ფიცრის ფარი </t>
  </si>
  <si>
    <t xml:space="preserve"> მ2²</t>
  </si>
  <si>
    <t>11-20-3</t>
  </si>
  <si>
    <t xml:space="preserve">კაუჩუკის ფილების ზომით  (არანაკლებ 20*500*500მმ) დაგება ბეტონზე ორკომპონენტიანი წებოთი  (შესაბამისი მასალისა და სამუშაოების ღირებულების გათვალიწინებით)  </t>
  </si>
  <si>
    <t>კაუჩუკის ფილები სისქით 2 სმ</t>
  </si>
  <si>
    <t>სპეციალური წებო</t>
  </si>
  <si>
    <t>9-7-4</t>
  </si>
  <si>
    <t>საჩრდილობელი ფანჩატურის რკინის კონსტრუქციის მოწყობა  ტრენაჟორებისათვის</t>
  </si>
  <si>
    <t>რკინის მილი  D-76*3</t>
  </si>
  <si>
    <t>მილკვადრატი  40X20X2</t>
  </si>
  <si>
    <t>15-164-7</t>
  </si>
  <si>
    <t>ლითონის კონსტრუქციების  შეღებვა ორკომპონენტიანი  აკრილის საღებავით</t>
  </si>
  <si>
    <t xml:space="preserve">საღებავი ზეთოვანი </t>
  </si>
  <si>
    <t>პოლიკარბონატის  ფილები  სისქით 10 მმ</t>
  </si>
  <si>
    <t>9-10-1</t>
  </si>
  <si>
    <t>ტრენაჟორი „ნიჩბოსანი“  შეძენა-მონტაჟი (ესკიზის შესაბამისად)</t>
  </si>
  <si>
    <t>ტრენაჟორი „ნიჩბოსანი“</t>
  </si>
  <si>
    <t>კომპლ</t>
  </si>
  <si>
    <t>ტრენაჟორი „სხეულის ამზიდი“ შეძენა-მონტაჟი (ესკიზის შესაბამისად)</t>
  </si>
  <si>
    <t>ტრენაჟორი „სხეულის ამზიდი“</t>
  </si>
  <si>
    <t>ტრენაჟორი „აზიდვა მკერდიდან“  შეძენა-მონტაჟი (ესკიზის შესაბამისად)</t>
  </si>
  <si>
    <t>ტრენაჟორი „აზიდვა მკერდიდან“</t>
  </si>
  <si>
    <t>ტრენაჟორი „მიზიდვა მკერდისაკენ“ შეძენა-მონტაჟი (ესკიზის შესაბამისად)</t>
  </si>
  <si>
    <t>ტრენაჟორი „მიზიდვა მკერდისაკენ“</t>
  </si>
  <si>
    <t>ტრენაჟორი „აზიდვა ფეხებით“ შეძენა-მონტაჟი (ესკიზის შესაბამისად)</t>
  </si>
  <si>
    <t>ტრენაჟორი „აზიდვა ფეხებით“</t>
  </si>
  <si>
    <t>ტრენაჟორი „წელის კორექციისათვის“ შეძენა-მონტაჟი (ესკიზის შესაბამისად)</t>
  </si>
  <si>
    <t>ტრენაჟორი „წელის კორექციისათვის“</t>
  </si>
  <si>
    <t>ტრენაჟორი „ელიფტური“ შეძენა-მონტაჟი (ესკიზის შესაბამისად)</t>
  </si>
  <si>
    <t>ტრენაჟორი  „ელიფტური“</t>
  </si>
  <si>
    <t>ტრენაჟორი "ორმხრივი ძელი"  შეძენა-მონტაჟი (ესკიზის შესაბამისად)</t>
  </si>
  <si>
    <t>ტრენაჟორი "ორმხრივი ძელი"</t>
  </si>
  <si>
    <t>ტრენაჟორი „ტვისტერი“ შეძენა-მონტაჟი (ესკიზის შესაბამისად)</t>
  </si>
  <si>
    <t>ტრენაჟორი „ტვისტერი“</t>
  </si>
  <si>
    <t>ტრენაჟორი „მუცლისა და ზურგის კუნთებისათვის“ 
შეძენა-მონტაჟი (ესკიზის შესაბამისად)</t>
  </si>
  <si>
    <t xml:space="preserve">ტრენაჟორი „მუცლისა და ზურგის კუნთებისათვის“ </t>
  </si>
  <si>
    <t>ტრანსპორტირების ხარჯი მასალების ღირებულებიდან</t>
  </si>
  <si>
    <t>ლოკალურ-რესურსული ხარჯთაღრიცხვა N8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</si>
  <si>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</si>
  <si>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 xml:space="preserve">სათამაშო მოედნის მოპირკეთება კაუჩუკის ფილებისაგან </t>
  </si>
  <si>
    <t xml:space="preserve"> კაუჩუკის  ბორდიურების მოწყობა 10X10 სმ ბეტონის ფუძეზე </t>
  </si>
  <si>
    <t>კაუჩუკის ბორდიურები   10X10 სმ</t>
  </si>
  <si>
    <t>მცენარეული ფენის დატვირთვა ექსკავატორით ა/თვითმცლელზე</t>
  </si>
  <si>
    <t>48-18-(2+6)</t>
  </si>
  <si>
    <t>გაზონის ბალახის თესლი</t>
  </si>
  <si>
    <t>სატრანსპორტო  ხარჯები    (მასალის   ღირებულებიდან)</t>
  </si>
  <si>
    <t>ზედნადები    ხარჯები</t>
  </si>
  <si>
    <t>გეგმიური    დაგროვება</t>
  </si>
  <si>
    <t>ბავშვთა ატრაქციონების და ქვიშის ორმოს  მოწყობის  სამუშაოები</t>
  </si>
  <si>
    <t>საბავშვო გასართობი ხის ატრაქციონის-სასრიალოს  შეძენა-მონტაჟი</t>
  </si>
  <si>
    <t>საბავშვო გასართობი ატრაქციონის-სასრიალოს  შეძენა-მონტაჟი შშმ პირებისათვის</t>
  </si>
  <si>
    <t>აიწონა დაიწონას მოწყობა (სხვადასხვა კონფიგურაციის)</t>
  </si>
  <si>
    <t>საბავშვო გასართობი ატრაქციონის-„მბრუნავი კარუსელის“ შეძენა-მონტაჟი</t>
  </si>
  <si>
    <t>საბავშვო გასართობი ატრაქციონის-„საქანელას“ შეძენა-მონტაჟი</t>
  </si>
  <si>
    <t>საბავშვო გასართობი ატრაქციონის-„სათამაშო ზამბარაზე“ შეძენა-მონტაჟი (სხვადასხვა სათამაშო)</t>
  </si>
  <si>
    <t xml:space="preserve">ე.წ. კვარცის ქვიშის 20 სმ სისქის ფენის მოწყობა </t>
  </si>
  <si>
    <t>ქვიშა კვარცის</t>
  </si>
  <si>
    <t>რეზერვი გაუთვალისწინებელ  სამუშაოებზე - 3%</t>
  </si>
  <si>
    <t>6-1-8</t>
  </si>
  <si>
    <t>არმატურა d-8  A-I</t>
  </si>
  <si>
    <t>ლითონის ელემენტების შეღებვა ზეთოვანი საღებავით</t>
  </si>
  <si>
    <t>ჩამოგანილი ფიცარი III ხარისხ. 40მმ</t>
  </si>
  <si>
    <t>წებო Super502</t>
  </si>
  <si>
    <t>ფლაკონი</t>
  </si>
  <si>
    <t>სჭვალი თვითმჭრელი N18</t>
  </si>
  <si>
    <t>ლოკალურ-რესურსული ხარჯთაღრიცხვა N9</t>
  </si>
  <si>
    <t>ბანერის „მე        ასპინძა“  მოწყობის  სამუშაოები</t>
  </si>
  <si>
    <t>ჯამი 1</t>
  </si>
  <si>
    <t>ლოკალურ-რესურსული ხარჯთაღრიცხვა N10</t>
  </si>
  <si>
    <t>პარკის ტერიტორიის გამწვანების სამუშაოები</t>
  </si>
  <si>
    <t>ლოკალურ-რესურსული ხარჯთაღრიცხვა N12</t>
  </si>
  <si>
    <t>48-5-1</t>
  </si>
  <si>
    <t>1 ორმო</t>
  </si>
  <si>
    <t>ორმოების მომზადება ახალი ბუჩქნარის მოსაწყობად  ზომით 0,5*0,5*0,4</t>
  </si>
  <si>
    <t>ორმოების მომზადება ახალი ხეების დასარგავად ზომით 0,8*0,8*05</t>
  </si>
  <si>
    <t>48-5-11</t>
  </si>
  <si>
    <t>48-7-1</t>
  </si>
  <si>
    <t xml:space="preserve"> ახალი ბუჩქნარის მოწყობა  (ოთკუთხა ფორმის არანაკლებ  70სმ სიმაღლის ახალი ტუა-ს შეკრეჭილი ბუჩქი) </t>
  </si>
  <si>
    <t xml:space="preserve"> ახალი ხეების დარგვა  („ირმის რქა“ გაზრდილი 2-3 მ სიმაღლით) </t>
  </si>
  <si>
    <t>48-7-3</t>
  </si>
  <si>
    <t>განათების I ტიპის ლამპიონების მონტაჟი IP-65 დაცვის კლასით</t>
  </si>
  <si>
    <t xml:space="preserve">LED განათების ლამპიონები (სკვერის) IP-65 </t>
  </si>
  <si>
    <t>LED -Track განათების ლამპიონები (სხვადასხვა ფერის)   IP-65</t>
  </si>
  <si>
    <t xml:space="preserve">1-22-14 </t>
  </si>
  <si>
    <t>ექსკავატორი 0,5 მ3</t>
  </si>
  <si>
    <t>გვ.134 პ126</t>
  </si>
  <si>
    <t xml:space="preserve">მცენარეული ფენის შეზიდვა, მომზადება ხელით და გაზონის ბალახის დათესვა </t>
  </si>
  <si>
    <t>გარე კედლი და დეკორატიული მოაჯირი</t>
  </si>
  <si>
    <t>შადრევანის მონტაჟი მოწყობილობების ჩათვლით</t>
  </si>
  <si>
    <t>ჯამი 1+2</t>
  </si>
  <si>
    <t>გარე განათების  მოწყობის  სამუშაოები</t>
  </si>
  <si>
    <t>გარე განათების  მოწყობა</t>
  </si>
  <si>
    <t>გარე მოხმარების ფიტნესის ტრენაჟორები</t>
  </si>
  <si>
    <t>ბანერის „მე        ასპინძა“  მოწყობა</t>
  </si>
  <si>
    <t>არმატურა d-12 A-III</t>
  </si>
  <si>
    <t>შემავსებელი ფენის და  საფუძველის ქვედა ფენის მოწყობა ქვიშა ხრეშოვანი მასალით საშ. სისქით 20 სმ</t>
  </si>
  <si>
    <t>ლოკალურ-რესურსული ხარჯთაღრიცხვა N13</t>
  </si>
  <si>
    <t xml:space="preserve">  გატანა 5 კმ-მდე</t>
  </si>
  <si>
    <t>რკ/ბეტონის  მ300  კიბის საყრდენი კედლის, ძირისა და საფეხურების მოწყობა</t>
  </si>
  <si>
    <t xml:space="preserve">15-60-3 </t>
  </si>
  <si>
    <t>კედლის მაღალხარისხიანი ლესვა ქვიშა-ცემენტის  ხსნარით ლითონის ბადეზე</t>
  </si>
  <si>
    <t>ხრეშის  საფუძველის მოწყობა   დატკეპნით</t>
  </si>
  <si>
    <t>კედლის ფასადისა და კიდეების  მოპირკეთება  ბაზალტის ფილებით</t>
  </si>
  <si>
    <t>კედლის „ქუდის“ მოპირკეთება ბაზალტის დახერხილი ფილებით,  სისქით 5 სმ</t>
  </si>
  <si>
    <t>მილკვადრატი  60X60X3</t>
  </si>
  <si>
    <t>მილკვადრატი  40X60X3</t>
  </si>
  <si>
    <t>კვადრატი - სხმული  10X10</t>
  </si>
  <si>
    <t>ლოკალურ-რესურსული ხარჯთაღრიცხვა N14</t>
  </si>
  <si>
    <t>მოედნების მოწყობის   სამუშაოები</t>
  </si>
  <si>
    <t>ლოკალურ-რესურსული ხარჯთაღრიცხვა N15</t>
  </si>
  <si>
    <t>ბაზალტის ბორდიურების მოწყობა   8X20</t>
  </si>
  <si>
    <t>ბაზალტის ბორდიურები 8*20 სმ</t>
  </si>
  <si>
    <t>ჭადრაკის დაფის გვერდების ზედაპირის მოპირკეთება დახერხილი ბაზალტის ფილებით</t>
  </si>
  <si>
    <t>დახერხილი ბაზალტის ფილები სისქით 3 სმ</t>
  </si>
  <si>
    <t>პლასტმასის ჭადრაკის  ფიგურების შეძენა სიმაღლით 0,6 - 1,0 მ (32 ცალი)</t>
  </si>
  <si>
    <t>წებო-ცემენტი ყინვაგამძლე</t>
  </si>
  <si>
    <t>მოედნის  ზედაპირის მოპირკეთება დახერხილი ბაზალტის ფილებით</t>
  </si>
  <si>
    <t>შემავსებელი ფენის და  საფუძველის ქვედა ფენის მოწყობა ქვიშა ხრეშოვანი მასალით საშ. სისქით 10 სმ</t>
  </si>
  <si>
    <t xml:space="preserve">საფეხმავლო მოედნის  საფუძვლის მოწყობა ქვიშა-ცემენტის 10% მშრალი ნარევით  სისქით 5სმ                                                                   </t>
  </si>
  <si>
    <t xml:space="preserve"> საფეხმავლო ბილიკის საფარის მოწყობა ხელოვნური „საბალახე ფილებისაგან“  სისქით არანაკლებ 5 სმ                                             </t>
  </si>
  <si>
    <t xml:space="preserve">ხელოვნური „საბალახე ფილები“  სისქით არანაკლებ 5 სმ </t>
  </si>
  <si>
    <t>ბაზალტის ბორდიურების მოწყობა   10*30</t>
  </si>
  <si>
    <t>ნორმ. ერთ.</t>
  </si>
  <si>
    <t>არსებული წყაროს სარეაბილიტაციო  სამუშაოები</t>
  </si>
  <si>
    <t>აგური, დეკორატიული</t>
  </si>
  <si>
    <t>კედლის ფასადისა და კიდეების  მოპირკეთება  ბაზალტის ფილებით სისქით 3 სმ</t>
  </si>
  <si>
    <t>სკვერის დეკორატიული სკამის მოწყობა</t>
  </si>
  <si>
    <t>სკამი სკვერის, დეკორატიული</t>
  </si>
  <si>
    <t>დეკორატიული წყლის ვარცლის  მოწყობა</t>
  </si>
  <si>
    <t>წყლის ვარცლი, დეკორატიული</t>
  </si>
  <si>
    <t>სკვერის დეკორატიული საყვავილის მოწყობა</t>
  </si>
  <si>
    <t>საყვავილი სკვერის, დეკორატიული</t>
  </si>
  <si>
    <t>სკვერის დეკორატიული ნაგვის ურნის მოწყობა</t>
  </si>
  <si>
    <t>სკვერის დეკორატიული წყლის დასალევი „ფანტანის“  მოწყობა</t>
  </si>
  <si>
    <t>შეჭრილი ბილიკების და დეკორატიული სკამების მოწყობის  სამუშაოები</t>
  </si>
  <si>
    <t xml:space="preserve">ბეტონის სკამის  კედლის  ფასადის  მაღალხარისხიანი ლესვა ქვიშა-ცემენტის  ხსნარით </t>
  </si>
  <si>
    <t>დეკორატიული სკამის მოწყობა დამუშავებული ხის მასალისაგან</t>
  </si>
  <si>
    <t>ძელი ხის 6*6 დამუშავებული</t>
  </si>
  <si>
    <t xml:space="preserve"> მ200 ბეტონის მრგვალი სკამის მოწყობა </t>
  </si>
  <si>
    <t>ანკერული ქანჩი-ჭანჭიკი</t>
  </si>
  <si>
    <t xml:space="preserve"> მ200 ბეტონის სკამის მოწყობა </t>
  </si>
  <si>
    <t>დეკორატიული სკამის მოწყობა  პოლიმერული მასალით</t>
  </si>
  <si>
    <t>სკვერის დეკორატიული საყვავილის მოწყობა  პოლიმერული მასალით</t>
  </si>
  <si>
    <t xml:space="preserve">  პოლიმერული მასალა</t>
  </si>
  <si>
    <t xml:space="preserve"> ლარი</t>
  </si>
  <si>
    <t>მათ შორის მოწყობილობები</t>
  </si>
  <si>
    <t>შადრევანის კედლის „ქუდის“ მოპირკეთება ბაზალტის დახერხილი ფილებით,  სისქით 5 სმ</t>
  </si>
  <si>
    <t>33-252-2</t>
  </si>
  <si>
    <t>ლითონის ანძების შეღებვა ორკომპონენტიანი ვერცხლისფერი აკრილის საღებავით</t>
  </si>
  <si>
    <t>სამშენებლო სამუშაოები</t>
  </si>
  <si>
    <t>არსებული კედლის დემონტაჟი და ახლის მოწყობა</t>
  </si>
  <si>
    <t>არსებულ კედელზე „პერანგის“ მოწყობის სამუშაოები</t>
  </si>
  <si>
    <t>ბაზალტის  ფილები სისქით 3სმ</t>
  </si>
  <si>
    <t>არსებულ კედლის მოპირკეთების სამუშაოები</t>
  </si>
  <si>
    <t xml:space="preserve"> კუტიკარის  მონტაჟი </t>
  </si>
  <si>
    <t>საკეტი</t>
  </si>
  <si>
    <t>7-22-8</t>
  </si>
  <si>
    <t>ორმაგი გაღების ანჯამა</t>
  </si>
  <si>
    <t xml:space="preserve">ჭიშკარის  მონტაჟი </t>
  </si>
  <si>
    <t>7-22-1</t>
  </si>
  <si>
    <t>ანჯამა</t>
  </si>
  <si>
    <t>მილკვადრატი  80X80X3</t>
  </si>
  <si>
    <t>მილკვადრატი  40X40X3</t>
  </si>
  <si>
    <t xml:space="preserve">ჭადრაკის  მოედნის მოპირკეთება სხვადასხვა ფერის დახერხილი ბაზალტის ფილებისაგან </t>
  </si>
  <si>
    <t>დახერხილი ბაზალტის ფილები სისქით 3 სმ (სხვადასხვა ფერის)</t>
  </si>
  <si>
    <t>პარკის ტერიტორიის გამწვანება</t>
  </si>
  <si>
    <t>სიცარიელის შევსება  ქვიშა ხრეშოვანი მასალით</t>
  </si>
  <si>
    <t>სკვერის დეკორატიული სკამის მოწყობა (ესკიზის მიხედვით)</t>
  </si>
  <si>
    <t>მშენებლობის ძირითადი ობიექტების  ღირებულების ნაკრები სახარჯთაღრიცხვო ანგარიში</t>
  </si>
  <si>
    <t xml:space="preserve"> შიდა საფეხმავლო და ველობილიკების მოწყობა  (ექსპლიკაციის N 20 და 21)</t>
  </si>
  <si>
    <t>შადრევანი N1-ის მოწყობა-რეაბილიტაცია (ექსპლიკაციის N 6)</t>
  </si>
  <si>
    <t>ბავშვთა ატრაქციონების და ქვიშის ორმოს  მოწყობა  (ექსპლიკაციის N 12 და N13)</t>
  </si>
  <si>
    <t>კიბეების და  საფეხმავლო ბილიკების რაბილიტაციია  (ექსპლიკაციის N 22)</t>
  </si>
  <si>
    <t>წყაროს მოწყობა (ექსპლიკაციის N 10)</t>
  </si>
  <si>
    <t>სკამების და ურნების მოწყობა (ექსპლიკაციის N 18)</t>
  </si>
  <si>
    <t>1. შიდა  საფეხმავლო და ველო ბილიკი (ექსპიკაციის N 20 - საერთო სიგრძით 329 გრძ.მ. )</t>
  </si>
  <si>
    <t>შადრევანი N1-ის  მოწყობა-რეაბილიტაციის  სამუშაოები</t>
  </si>
  <si>
    <t xml:space="preserve">განათების III ტიპის  ბოძების მონტაჟი </t>
  </si>
  <si>
    <t>განათების ლამპიონების ანძა (იხ. ესკიზი)</t>
  </si>
  <si>
    <t>1. ატრაქციონების  მოწყობის სამუშაოები (ექსპლიკაციის N12)</t>
  </si>
  <si>
    <t>2. ქვიშის 6,0*6,0 მ მოედნის  მოწყობის სამუშაოები (ექსპლიკაციის N13)</t>
  </si>
  <si>
    <t>კიბეების და შიდა  საფეხმავლო ბილიკების რაბილიტაციია  სამუშაოები</t>
  </si>
  <si>
    <t>1.  კიბეები და საფეხმავლო  ბილიკი (ექსპლიკაციის N22, საერთო სიგრძით 132 გრძ.მ.)</t>
  </si>
  <si>
    <t>1. ჭადრაკის დაფის (მოედნის) მოწყობა (ექსპლიკაციის N8)</t>
  </si>
  <si>
    <t>3. დასასვენებელი  (ორი დიდი)  მოედნის და  სათამაშო მოედნებთან მისასვლელი ბილიკების მოწყობა ე.წ. საბალახე ფილისაგან (ექსპლიკაციის N14)</t>
  </si>
  <si>
    <t>4. ადმინისტრაციული და ტუალეტის მიმდებარე   მოედნის მოწყობა (ექსპლიკაციის N15)</t>
  </si>
  <si>
    <t>5.  ადმინისტრაციულ შენობასთან მისასვლელი საფეხმავლო  ბილიკი (ექსპლიკაციის N16, სიგრძით 14 გრძ.მ.)</t>
  </si>
  <si>
    <t>1. შადრევანი N1-ის მოედნის მოწყობა</t>
  </si>
  <si>
    <t>შადრევანი N1-ის მოედნის მოწყობის   სამუშაოები</t>
  </si>
  <si>
    <t>3. ადმინისტრაციულ კორპუსთან ბეტონის სკამის მოწყობა (2 ცალი)</t>
  </si>
  <si>
    <t xml:space="preserve"> დასასვენებელი ბეტონის სკამი (ექსპლიკაციის N18, 9 ცალი)</t>
  </si>
  <si>
    <t>2.  დასასვენებელი  კუნძულები (ექსპლიკაციის N17, 11 ცალი)</t>
  </si>
  <si>
    <t>შიდა  საფეხმავლო და ველობილიკების მოწყობის  სამშენებლო სამუშაოები</t>
  </si>
  <si>
    <t>2. გარე გამოყენების ტრენაჟორების მოწყობის სამუშაოები</t>
  </si>
  <si>
    <t>მიწის მცენარეული ფენა</t>
  </si>
  <si>
    <t>შედგენილია: 2022 წლის II კვარტლის ფასებში</t>
  </si>
  <si>
    <t xml:space="preserve"> საფეხმავლო ბილიკის საფარის მოწყობa ბეტონის 10*20*0,05  ე.წ. ბრუშჩატკის ფილებისაგან (სხვადასხვა ფერის)                                                        </t>
  </si>
  <si>
    <t>ბეტონის ფილები (ე.წ. ბრუშჩატკა-სხვადასხვა ფერის)</t>
  </si>
  <si>
    <t>საფეხმავლო ბილიკის და კიბის მოედნის ზედაპირის მოპირკეთება დახერხილი ბაზალტის ფილებით</t>
  </si>
  <si>
    <t>გვ.132 პ175</t>
  </si>
  <si>
    <t>გვ.36 პ.338</t>
  </si>
  <si>
    <t>გვ.37 p.351</t>
  </si>
  <si>
    <t>გვ.36 პ.345</t>
  </si>
  <si>
    <t>გვ.139</t>
  </si>
  <si>
    <t>გვ.131 პ.118</t>
  </si>
  <si>
    <t>გვ.35 პ.277</t>
  </si>
  <si>
    <t>გვ.133 პ.194</t>
  </si>
  <si>
    <t>გვ.133 პ.190</t>
  </si>
  <si>
    <t>გვ.133 პ.191</t>
  </si>
  <si>
    <t>გვ.131 პ.110</t>
  </si>
  <si>
    <t>გვ.1 პ.31</t>
  </si>
  <si>
    <t>გვ.133 პ.201</t>
  </si>
  <si>
    <t>გვ.34 პ.247</t>
  </si>
  <si>
    <t>გვ.34 პ.248</t>
  </si>
  <si>
    <t>გვ34. პ.243</t>
  </si>
  <si>
    <t>გვ.54 პ.108</t>
  </si>
  <si>
    <t>გვ.33 პ.203</t>
  </si>
  <si>
    <t>გვ.34 პ.218</t>
  </si>
  <si>
    <t>გვ.37 პ.378</t>
  </si>
  <si>
    <t>გვ.1 პ.18</t>
  </si>
  <si>
    <t>გვ.1 პ.1</t>
  </si>
  <si>
    <t xml:space="preserve">ბადე  ბათქაშისათვის </t>
  </si>
  <si>
    <t>გვ.9 პ.85</t>
  </si>
  <si>
    <t>გვ.35 პ.281</t>
  </si>
  <si>
    <t xml:space="preserve"> ბაზალტის დახეხილი ფილები სისქით 5 სმ მოხვეწილი ზედაპირით</t>
  </si>
  <si>
    <t>გვ.37 პ.353</t>
  </si>
  <si>
    <t xml:space="preserve">გვ.139 </t>
  </si>
  <si>
    <t>გვ.10 პ.22</t>
  </si>
  <si>
    <t>გვ.4 პ.88</t>
  </si>
  <si>
    <t>გვ.17 პ.66</t>
  </si>
  <si>
    <t>გვ.16 პ.44</t>
  </si>
  <si>
    <t>გვ.16 პ.49</t>
  </si>
  <si>
    <t>გვ.17 პ.79</t>
  </si>
  <si>
    <t>გვ.43 პ.16</t>
  </si>
  <si>
    <t>გვ.43 პ.37</t>
  </si>
  <si>
    <t xml:space="preserve">ცემენტის ხსნარი </t>
  </si>
  <si>
    <t>გვ.37 პ.385</t>
  </si>
  <si>
    <t>გვ.52 პ.17</t>
  </si>
  <si>
    <t>გვ.37 პ.365</t>
  </si>
  <si>
    <t>გვ.62 პ.327</t>
  </si>
  <si>
    <t>გვ.57 პ.63</t>
  </si>
  <si>
    <t>გვ.57 პ.62</t>
  </si>
  <si>
    <t>გვ.62 პ.340</t>
  </si>
  <si>
    <t>გვ.63 პ.405</t>
  </si>
  <si>
    <t>გვ.63 პ.404</t>
  </si>
  <si>
    <t>გვ.64 პ.412</t>
  </si>
  <si>
    <t>გვ.63 პ.408</t>
  </si>
  <si>
    <t>გვ.68 პ.626</t>
  </si>
  <si>
    <t>გვ.68 პ.633</t>
  </si>
  <si>
    <t>გვ.68 პ.629</t>
  </si>
  <si>
    <t>ტრაპი  ნიკელის (ან ლატუნის) გვერდითა Ø50</t>
  </si>
  <si>
    <t>გვ.56 პ.43</t>
  </si>
  <si>
    <t>გვ.57 პ.47</t>
  </si>
  <si>
    <t>გვ.36 პ335</t>
  </si>
  <si>
    <t>გვ.36 პ336</t>
  </si>
  <si>
    <t>გვ.109. პ189</t>
  </si>
  <si>
    <t>გვ.129 პ.38</t>
  </si>
  <si>
    <t>გვ.113  პ377</t>
  </si>
  <si>
    <t>გვ.113  პ379</t>
  </si>
  <si>
    <t>გვ.114  პ382</t>
  </si>
  <si>
    <t>დამიწების  ზოლოვანა 4X30  გალვანიზირებული</t>
  </si>
  <si>
    <t>გვ.115 პ.18</t>
  </si>
  <si>
    <t>გვ.115 პ.23</t>
  </si>
  <si>
    <t>გვ.91 პ.49</t>
  </si>
  <si>
    <t>გვ.91 პ.48</t>
  </si>
  <si>
    <t>გვ113 პ337</t>
  </si>
  <si>
    <t>გვ.107 პ78</t>
  </si>
  <si>
    <t>გვ.107 პ67</t>
  </si>
  <si>
    <t>გვ.107 პ63</t>
  </si>
  <si>
    <t>გვ.107 პ73</t>
  </si>
  <si>
    <t>გვ.96 პ177</t>
  </si>
  <si>
    <t>გვ.10 პ.24</t>
  </si>
  <si>
    <t>გვ.51 პ.5</t>
  </si>
  <si>
    <t>ორკომპონენტიანი  აკრილის საღებავი</t>
  </si>
  <si>
    <t>გვ.43 პ.15</t>
  </si>
  <si>
    <t>საჩრდილობელის გადახურვის და  მოწყობა პოლიკარბონატის ფილებისაგან  სისქით არანაკლებ 10 მმ</t>
  </si>
  <si>
    <t>გვ.37 პ.351</t>
  </si>
  <si>
    <t>გვ.51 პ.13</t>
  </si>
  <si>
    <t>გვ. 51. პ.13</t>
  </si>
  <si>
    <t>გვ.34 პ.244</t>
  </si>
  <si>
    <t>მოცულობით ასოებში დიოდური განათების ლენტების მონტაჟი</t>
  </si>
  <si>
    <t>შრომითი რესურსი</t>
  </si>
  <si>
    <t>კომპ.</t>
  </si>
  <si>
    <t>დიოდური განათების ლენტები, თეთრი ფერის, 14.4 W/M</t>
  </si>
  <si>
    <t>1</t>
  </si>
  <si>
    <t xml:space="preserve">ბანერის წინა ფასადის მოპირკეთება  5 მმ სისქის გამჭვირვალე ორგმინით </t>
  </si>
  <si>
    <t>ორგმინა 5 მმ სისქის</t>
  </si>
  <si>
    <t xml:space="preserve">სამაგრი დეტალები </t>
  </si>
  <si>
    <t>4</t>
  </si>
  <si>
    <t xml:space="preserve">      -ის ფორმის გამჭვირვალე ორგმინაზე შუქგამტარი გამჭვირვალე წითელი არაკალის მოწყობა</t>
  </si>
  <si>
    <t xml:space="preserve"> გამჭვირვალე წითელი არაკალი</t>
  </si>
  <si>
    <t>გვ.49 პ.67</t>
  </si>
  <si>
    <t>გვ.131 პ.111</t>
  </si>
  <si>
    <t>მცენარეული ფენის  ტრანსპორტირება</t>
  </si>
  <si>
    <t>III კატეგორიის გრუნტის დამუშავება ხელით და დატვირთვა ა/თვითმცლელზე</t>
  </si>
  <si>
    <t>კიბის მოედნის ზედაპირის, საფეხურების და შუბლის მოპირკეთება დახერხილი ბაზალტის ფილებით</t>
  </si>
  <si>
    <t>გვ.35 პ.280</t>
  </si>
  <si>
    <t>კედლის დამუშავება დეკორატიული ნაშხეფით (ბრიზგით)</t>
  </si>
  <si>
    <t>წყაროს დეკორატიული კედლების მოწყობა აგურით</t>
  </si>
  <si>
    <t>გვ.28 პ.13</t>
  </si>
  <si>
    <t>გვ.44 პ.49</t>
  </si>
  <si>
    <t>გვ.37 პ.379</t>
  </si>
  <si>
    <t>საყვავილე სკვერის, დეკორატიული</t>
  </si>
  <si>
    <t>ნაგვის ურნა  სკვერის, დეკორატიული</t>
  </si>
  <si>
    <t xml:space="preserve"> საფეხმავლო და ველობილიკების მოწყობის  სამშენებლო სამუშაოები</t>
  </si>
  <si>
    <t xml:space="preserve">  საფეხმავლო და ველო ბილიკი (ექსპლიკაციის N 25)</t>
  </si>
  <si>
    <t>27-9-4</t>
  </si>
  <si>
    <t xml:space="preserve">არსებული ა/ბ საფარის მოხსნა სანგრევი ჩაქუჩებით </t>
  </si>
  <si>
    <t>სანგრევი ჩაქუჩები</t>
  </si>
  <si>
    <t>27-9-7</t>
  </si>
  <si>
    <t>არსებული  ბაზალტის ბორდიურების  მოხსნა სანგრევი ჩაქუჩებით</t>
  </si>
  <si>
    <t>ენ და გ                            1-22-1</t>
  </si>
  <si>
    <t xml:space="preserve">სამშენებლო ნაგავის დატვირთვა ხელით ა/თვითმცლელზე </t>
  </si>
  <si>
    <t>გვ.137 პ219</t>
  </si>
  <si>
    <t>27-63-1</t>
  </si>
  <si>
    <t>გვ.136 პ198</t>
  </si>
  <si>
    <t>ავტოგუდრონატორი 3500 ლ.</t>
  </si>
  <si>
    <t>4,1პ430</t>
  </si>
  <si>
    <t xml:space="preserve">ბიტუმის ემულსია </t>
  </si>
  <si>
    <t>27-39-1,2                 27-40-1,2</t>
  </si>
  <si>
    <t xml:space="preserve">საფარის ქვედა ფენა - მსხვილმარცვლოვანი ფოროვანი ღორღოვანი ასფალტბეტონის ცხელი ნარევი,  სისქით 5 სმ  </t>
  </si>
  <si>
    <t>ნორმატიული შრომატევადობა                  (37.5+0.07X2)/1000</t>
  </si>
  <si>
    <t>გვ.137 პ232</t>
  </si>
  <si>
    <t>ასფალტობეტონის დამგები</t>
  </si>
  <si>
    <t>სატკეპნი საგზაო თვითმავალი გლუვი 5ტ</t>
  </si>
  <si>
    <t>თ12 პ213</t>
  </si>
  <si>
    <t>იგივე, 10ტ</t>
  </si>
  <si>
    <t>გვ.38 პ484</t>
  </si>
  <si>
    <t>მსხვილმარცვლოვანი ასფალტობეტონი</t>
  </si>
  <si>
    <t>27-63-1.</t>
  </si>
  <si>
    <t>თხევადი ბითუმის მოსხმა 0,3კგ/მ²</t>
  </si>
  <si>
    <t xml:space="preserve">საფარი - წვრილმარცვლოვანი მკვრივი ღორღოვანი ასფალტბეტონის ცხელი ნარევი, სისქით 3 სმ  </t>
  </si>
  <si>
    <t>ნორმატიული შრომატევადობა                  (37.5-0.07X2)/1000</t>
  </si>
  <si>
    <t>თ12  პ232</t>
  </si>
  <si>
    <t>თ12  პ212</t>
  </si>
  <si>
    <t>თ12  პ213</t>
  </si>
  <si>
    <t>გვ.38 პ487</t>
  </si>
  <si>
    <t>წვრილმარცვლოვანი ასფალტობეტონი</t>
  </si>
  <si>
    <t>ლოკალურ-რესურსული ხარჯთაღრიცხვა N1</t>
  </si>
  <si>
    <t xml:space="preserve">გარე  საფეხმავლო და ველობილიკების მოწყობა  </t>
  </si>
  <si>
    <t>მანქანა საღებავდამტანი</t>
  </si>
  <si>
    <t>გვ.40 პ21</t>
  </si>
  <si>
    <t>ერთკომპონენტიანი ნიშანსადები საღებავი, დამზადებული აკრილის ბაზაზე, გაუმჯობესებული ღამის ხილვადობის შუქდამაბრუნებელი მინის ბურთულაკებით, ზომით 100-600 მკმ, ГОСТ 23457-79 ის მიხედვით</t>
  </si>
  <si>
    <t>ლოკალურ-რესურსული ხარჯთაღრიცხვა N2</t>
  </si>
  <si>
    <t>გვ.133 პ.204</t>
  </si>
  <si>
    <t>გვ.132 პ.173</t>
  </si>
  <si>
    <t>გვ.42 პ.539</t>
  </si>
  <si>
    <t>გვ.42 პ.521</t>
  </si>
  <si>
    <t>გვ.42 პ.524</t>
  </si>
  <si>
    <t xml:space="preserve">ნორმატიული შრომატევადობა               </t>
  </si>
  <si>
    <t>ავტოსადგომი</t>
  </si>
  <si>
    <t xml:space="preserve">მცენარეული ფენის მომზადება ხელით და გაზონის ბალახის დათესვა </t>
  </si>
  <si>
    <t>შადრევანი N2-ის  მოედნის მოწყობის   სამუშაოები</t>
  </si>
  <si>
    <t>1. შადრევანი N2-ის მოედნის მოწყობა</t>
  </si>
  <si>
    <t>ქვიშის ტრანპორტირება 32 კმ-ზე</t>
  </si>
  <si>
    <t>ტრანსპორტირების ხარჯები მასალების ღირებულებიდან (ინერტული მასალების: ქვიშა, ქვიშა-ხრეშის მცენარეული ფენის გარდა)</t>
  </si>
  <si>
    <t>ტრანსპორტირების ხარჯები მასალების ღირებულებიდან (მცენარეული ფენის გარდა)</t>
  </si>
  <si>
    <t>შადრევანი N1-ის  მოედანი</t>
  </si>
  <si>
    <t>შადრევანი N2-ის  მოედანი</t>
  </si>
  <si>
    <t>ლოკალურ-რესურსული ხარჯთაღრიცხვა 5</t>
  </si>
  <si>
    <t>ლოკალურ-რესურსული ხარჯთაღრიცხვა N6</t>
  </si>
  <si>
    <t>ლოკალურ-რესურსული ხარჯთაღრიცხვა N11</t>
  </si>
  <si>
    <t>სათამაშო მოედნების მოწყობის   სამუშაოები (ექსპლიკაციის N8, N11, N14, N15 და N16)</t>
  </si>
  <si>
    <t>ლოკალურ-რესურსული ხარჯთაღრიცხვა N16</t>
  </si>
  <si>
    <t>ობიექტ. ხარჯთ. #16</t>
  </si>
  <si>
    <t>XVI</t>
  </si>
  <si>
    <t>დაბა ასპინძაში  მეფე თამარის, ერეკლე II, რუსთაველის, ტაბიძის ქუჩების და  მიმდებარე ტერიტორიის კეთილმოწყობის სამუშაოების</t>
  </si>
  <si>
    <t>ავტოსადგომის   მოწყობის   სამუშაოები</t>
  </si>
  <si>
    <t>ტერიტორიაზე არსებული სამშენებლო ნაგავის   დატვირთვა ექსკავატორით  ა/თვითმცლელზე</t>
  </si>
  <si>
    <t>Thuja orientalis  ტუია საბორდიურე - სიმაღლე არანაკლებ  70სმ  (მოეწყოს სწორხაზოვნად, 1 მ-ში 4 ცალი)</t>
  </si>
  <si>
    <t xml:space="preserve">Thuja orientalis compacta -კომპაქტური ტუია  80 სმ სიმაღლის </t>
  </si>
  <si>
    <t xml:space="preserve"> ახალი ხეების დარგვა  („მინდვრის ნეკერჩალი“ გაზრდილი 2-3 მ სიმაღლით) </t>
  </si>
  <si>
    <t xml:space="preserve"> ახალი ხეების დარგვა  („კავკასიური ცაცხვი“ გაზრდილი 2-3 მ სიმაღლით) </t>
  </si>
  <si>
    <t xml:space="preserve"> ახალი ხეების დარგვა  („ჰიმალაის კედარი“ გაზრდილი 2-3 მ სიმაღლით) </t>
  </si>
  <si>
    <t>енир 19-22-2</t>
  </si>
  <si>
    <t>არსებული ბაზალტის ზედაპირიანი  მოედნის მოხვეწა მოსახვეწი მანქანით</t>
  </si>
  <si>
    <t>ბანერის უკანა  ფასადის მოპირკეთება 3 მმ სისქის  ალუმინის  ფურცლებით</t>
  </si>
  <si>
    <t>გვ.12 პ.13</t>
  </si>
  <si>
    <t>ალუმინის ფურცელი 3 მმ</t>
  </si>
  <si>
    <t>მოცულობითი ასოების გვერდების  მოპირკეთება  3 მმ სისქის  ალუმინის  ფურცლებით</t>
  </si>
  <si>
    <t>VIII</t>
  </si>
  <si>
    <t>ობიექტ. ხარჯთ. #8</t>
  </si>
  <si>
    <t>საფუძველის ზედა ფენის მოწყობა 0-40 ფრაქციული  ღორღით სისქით 5 სმ</t>
  </si>
  <si>
    <t>27-8-1</t>
  </si>
  <si>
    <t>ხრეში</t>
  </si>
  <si>
    <t>ცემენტის ხსნარი m-75</t>
  </si>
  <si>
    <r>
      <t>ბეტონის წყალგაჟონვის საწინააღმდეგო  პლასტიფიკატორი  (1მ</t>
    </r>
    <r>
      <rPr>
        <vertAlign val="superscript"/>
        <sz val="10"/>
        <rFont val="Sylfaen"/>
        <family val="1"/>
        <charset val="204"/>
      </rPr>
      <t>3</t>
    </r>
    <r>
      <rPr>
        <sz val="10"/>
        <rFont val="Sylfaen"/>
        <family val="1"/>
        <charset val="204"/>
      </rPr>
      <t xml:space="preserve"> ბეტონზე დანამატი ლარში)</t>
    </r>
  </si>
  <si>
    <t>ქვიშა-ხრეშის ტრანსპორტირება 32 კმ-ზე</t>
  </si>
  <si>
    <t>ტრენაჟორები</t>
  </si>
  <si>
    <t>მათ შორის:</t>
  </si>
  <si>
    <t>III კატეგორიის გრუნტის დამუშავება  ხელით  განათების ლამპიონების საძირკვლებისთვის</t>
  </si>
  <si>
    <t xml:space="preserve">არსებული განათების ბოძის დემონტაჟი და დასაწყობება მუნიციპალიტეტის მიერ მითითებულ ადგილზე </t>
  </si>
  <si>
    <t>ამწე საავტომობილო სვლაზე 16 ტნ</t>
  </si>
  <si>
    <t>გეგმიური    დაგროვება მოწყობილობის გამოკლებით</t>
  </si>
  <si>
    <t xml:space="preserve">სამშენებლო ნაგვის გატანა ტერიტორიიდან 5 კმ-მდე </t>
  </si>
  <si>
    <t>მათ შორის: ფურნიტურა</t>
  </si>
  <si>
    <t>კომპრესორი მოძრავი</t>
  </si>
  <si>
    <t>გვ.137 პ.305</t>
  </si>
  <si>
    <t>გვ. 130 პ.100</t>
  </si>
  <si>
    <t>27-56-5</t>
  </si>
  <si>
    <t>მანქანების სადგომის  მონიშვნა ერთკომპონენტიანი ნიშანსადები საღებავით (თეთრი ფერი) წყვეტილი 1:3</t>
  </si>
  <si>
    <t xml:space="preserve"> გაზონის მოვლა</t>
  </si>
  <si>
    <t>48-27-3</t>
  </si>
  <si>
    <t xml:space="preserve">შრომის დანახარჯი                    </t>
  </si>
  <si>
    <t>გვ.2 პ.4</t>
  </si>
  <si>
    <t>ბეტონის ფილები -სხვადასხვა ფერის</t>
  </si>
  <si>
    <t>ბეტონის ფილები -სხვადასხვა ფერის)</t>
  </si>
  <si>
    <t>15-6-5</t>
  </si>
  <si>
    <t>ცემენტის ხსნარი</t>
  </si>
  <si>
    <t>ანკერი</t>
  </si>
  <si>
    <t>7-22-10</t>
  </si>
  <si>
    <t>ა/ამწე 10 ტნ</t>
  </si>
  <si>
    <t>გვ.129 პ.36</t>
  </si>
  <si>
    <t xml:space="preserve">საღებავი </t>
  </si>
  <si>
    <t>22-8-1</t>
  </si>
  <si>
    <t>მილგაყვანილობის მოწყობა  პლასტმასის საკანალიზაციო მილებით დ-50</t>
  </si>
  <si>
    <t>მილგაყვანილობის მოწყობა  პლასტმასის საკანალიზაციო მილებით დ-100</t>
  </si>
  <si>
    <t>22-8-3</t>
  </si>
  <si>
    <t>17-1-9</t>
  </si>
  <si>
    <t>ტრაპის მოწყობა  დ-100</t>
  </si>
  <si>
    <t>ტრაპის მოწყობა  დ-50</t>
  </si>
  <si>
    <t>ტრაპი  აუზის დ-100</t>
  </si>
  <si>
    <t>17-1-10</t>
  </si>
  <si>
    <t xml:space="preserve"> საფეხმავლო ბილიკის საფარის მოწყობa ბეტონის 10*20*0,05  სხვადასხვა ფერის  ფილებისაგან                                                      </t>
  </si>
  <si>
    <t>კუთხოვანა 50X50X3X1500 გალვანიზებული</t>
  </si>
  <si>
    <t>gv.115 p.24</t>
  </si>
  <si>
    <t>33-251-6</t>
  </si>
  <si>
    <t>საბურღი მანქანა</t>
  </si>
  <si>
    <t>ა/ამწე 16 ტნ</t>
  </si>
  <si>
    <t>გვ.135 პ.270</t>
  </si>
  <si>
    <t>34-103</t>
  </si>
  <si>
    <t>8-370-2</t>
  </si>
  <si>
    <t>გვ.46.პ13</t>
  </si>
  <si>
    <t>15-203-3
მისადაგ.</t>
  </si>
  <si>
    <t>9-4-6
მისადაგ.</t>
  </si>
  <si>
    <t xml:space="preserve">შრომის დანახარჯი    </t>
  </si>
  <si>
    <t xml:space="preserve">შრომის დანახარჯი              </t>
  </si>
  <si>
    <t xml:space="preserve">შრომის დანახარჯი   </t>
  </si>
  <si>
    <t>6-26-2</t>
  </si>
  <si>
    <t>გვ.132 პ.165</t>
  </si>
  <si>
    <t>გვ.37 პ.380</t>
  </si>
  <si>
    <t>კირ-ცემენტის ხსნარი</t>
  </si>
  <si>
    <t>კირ-'ცემენტის ხსნარი</t>
  </si>
  <si>
    <t xml:space="preserve"> საფეხმავლო ბილიკის საფარის მოწყობa ბეტონის 10*20*0,05  ფილებისაგან (სხვადასხვა ფერის)                                                        </t>
  </si>
  <si>
    <t>2. სანტექნიკური სამუშაოები</t>
  </si>
  <si>
    <t>ინვოისი</t>
  </si>
  <si>
    <t>sabazr</t>
  </si>
  <si>
    <t>ბეტონის საფარის მოწყობა სავალ ნაწილზე სისქით 10 სმ არმირებით,</t>
  </si>
  <si>
    <t xml:space="preserve"> საფეხმავლო ბილიკის საფარის მოწყობa ბეტონის 10*20*0,05   (სხვადასხვა ფერის)                                                        </t>
  </si>
  <si>
    <t>ბეტონის საფარის მოწყობა მთლიან ფართობზე სისქით 10 სმ არმირებით,</t>
  </si>
  <si>
    <t xml:space="preserve">პროჟექტორის  ტიპის ლამპიონების მონტაჟი ხეებზე IP-65 დაცვის კლასით  </t>
  </si>
  <si>
    <t>8-409-5</t>
  </si>
  <si>
    <t>ზედნადები ხარჯები სამშენებლო სამუშოებზე</t>
  </si>
  <si>
    <t>გეგმიური დაგროვება ტრენაჟორების გამოკლებით</t>
  </si>
  <si>
    <t>ამწე 25 ტ</t>
  </si>
  <si>
    <t>შრომის დანახარჯი      (0.405-0.00464X10=0.386)</t>
  </si>
  <si>
    <t>გვ51/1</t>
  </si>
  <si>
    <t>48-26-1,</t>
  </si>
  <si>
    <t>48-26-2</t>
  </si>
  <si>
    <t xml:space="preserve"> ახალი ბუჩქნარის მოწყობა  (მრგვალი ფორმის არანაკლებ  80 სმ სიმაღლის ახალი ტუია-ს შეკრეჭილი ბუჩქი) </t>
  </si>
  <si>
    <t xml:space="preserve">Lagerstroemia indica - ირმის რქა  არანაკლებ  2,5 მ სიმაღლის. ღეროს გარშემოწერილობა 10-12 სმ  </t>
  </si>
  <si>
    <t xml:space="preserve">Acer campestre - მინდვრის ნეკერჩხალი არანაკლებ  2,5 მ სიმაღლის.  ღეროს გარშემოწერილობა 10-12 სმ   </t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</si>
  <si>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</si>
  <si>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გზის საფუძვლის  ზედაპირის დამუშავება თხევადი ბიტუმით (1მ</t>
    </r>
    <r>
      <rPr>
        <b/>
        <vertAlign val="superscript"/>
        <sz val="10"/>
        <rFont val="Sylfaen"/>
        <family val="1"/>
        <charset val="204"/>
      </rPr>
      <t>2</t>
    </r>
    <r>
      <rPr>
        <b/>
        <sz val="10"/>
        <rFont val="Sylfaen"/>
        <family val="1"/>
        <charset val="204"/>
      </rPr>
      <t>-0,6კგ)</t>
    </r>
  </si>
  <si>
    <r>
      <t>ავტოსადგომის  საფუძვლის  ზედაპირის დამუშავება თხევადი ბიტუმით (1მ</t>
    </r>
    <r>
      <rPr>
        <b/>
        <vertAlign val="superscript"/>
        <sz val="10"/>
        <rFont val="Sylfaen"/>
        <family val="1"/>
        <charset val="204"/>
      </rPr>
      <t>2</t>
    </r>
    <r>
      <rPr>
        <b/>
        <sz val="10"/>
        <rFont val="Sylfaen"/>
        <family val="1"/>
        <charset val="204"/>
      </rPr>
      <t>-0,6კგ)</t>
    </r>
  </si>
  <si>
    <r>
      <t xml:space="preserve">ხსნარის ტუმბო </t>
    </r>
    <r>
      <rPr>
        <b/>
        <sz val="10"/>
        <rFont val="AcadNusx"/>
      </rPr>
      <t>1m3/sT</t>
    </r>
  </si>
  <si>
    <t xml:space="preserve">Tilia Caucasica - ცაცხვი კავკასიური არანაკლებ  2,5 მ სიმაღლის.   ღეროს გარშემოწერილობა 10-12 სმ   </t>
  </si>
  <si>
    <t xml:space="preserve">Cedrus deodara - ჰიმალაის კედარი არანაკლებ  2,5 მ სიმაღლის.    ღეროს გარშემოწერილობა 10-12 სმ </t>
  </si>
  <si>
    <t>შრომის დანახარჯი  (0.405-0.00464X10=0.386)</t>
  </si>
  <si>
    <t>6</t>
  </si>
  <si>
    <t xml:space="preserve"> ახლადჩარგული ხეების დამაგრება ქარისგან დასაცავად (თითო ხეზე 2მ-ის სიმაღლის 2ცალ აკაციის ჭიგოზე,)</t>
  </si>
  <si>
    <t>ჭიგო 2მ-ის სიმაღლის</t>
  </si>
  <si>
    <t>კანაფის ძაფი, თოკი დ=8მმ</t>
  </si>
  <si>
    <t>ჯვალოს ნაჭერი სისქით 1,5მმ</t>
  </si>
  <si>
    <t>ბუჩქების  მოვლა</t>
  </si>
  <si>
    <t>ხეების მოვლა</t>
  </si>
  <si>
    <t>ხეები</t>
  </si>
  <si>
    <t>მოსარწყავი მანქანა 6000ლ.</t>
  </si>
  <si>
    <t>მანქ. სთ.</t>
  </si>
  <si>
    <t xml:space="preserve"> </t>
  </si>
  <si>
    <t>%</t>
  </si>
  <si>
    <t>გეგმიური დაგროვება  (ფურნიტურის გამოკლებით)</t>
  </si>
  <si>
    <t>ზედნადები ხარჯები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</si>
</sst>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-;\-* #,##0.00_-;_-* &quot;-&quot;??_-;_-@_-"/>
    <numFmt numFmtId="165" formatCode="_(* #,##0.00_);_(* \(#,##0.00\);_(* &quot;-&quot;??_);_(@_)"/>
    <numFmt numFmtId="166" formatCode="#,##0.00;[Red]#,##0.00"/>
    <numFmt numFmtId="167" formatCode="#,##0.0000"/>
    <numFmt numFmtId="168" formatCode="#,##0.000"/>
    <numFmt numFmtId="169" formatCode="#,##0_);\-#,##0"/>
    <numFmt numFmtId="170" formatCode="#,##0.000;[Red]#,##0.000"/>
    <numFmt numFmtId="171" formatCode="#,##0.0000;[Red]#,##0.0000"/>
    <numFmt numFmtId="172" formatCode="0.000"/>
    <numFmt numFmtId="173" formatCode="0.0000"/>
    <numFmt numFmtId="174" formatCode="0.00000"/>
    <numFmt numFmtId="175" formatCode="0.0"/>
    <numFmt numFmtId="176" formatCode="#,##0.00000"/>
    <numFmt numFmtId="177" formatCode="#,##0.00_ ;[Red]\-#,##0.00\ "/>
    <numFmt numFmtId="178" formatCode="_-* #,##0.00\ _L_a_r_i_-;\-* #,##0.00\ _L_a_r_i_-;_-* &quot;-&quot;??\ _L_a_r_i_-;_-@_-"/>
    <numFmt numFmtId="179" formatCode="#,##0.00_ ;\-#,##0.00\ "/>
    <numFmt numFmtId="180" formatCode="_-* #,##0.000000_-;\-* #,##0.000000_-;_-* &quot;-&quot;??_-;_-@_-"/>
    <numFmt numFmtId="181" formatCode="_-* #,##0.0000_-;\-* #,##0.0000_-;_-* &quot;-&quot;??_-;_-@_-"/>
  </numFmts>
  <fonts count="3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sz val="9"/>
      <name val="Sylfaen"/>
      <family val="1"/>
      <charset val="204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theme="1"/>
      <name val="Calibri"/>
      <family val="2"/>
      <charset val="1"/>
      <scheme val="minor"/>
    </font>
    <font>
      <sz val="10"/>
      <color theme="1"/>
      <name val="Sylfaen"/>
      <family val="1"/>
      <charset val="204"/>
    </font>
    <font>
      <sz val="10"/>
      <name val="Arial"/>
      <family val="2"/>
      <charset val="204"/>
    </font>
    <font>
      <sz val="8"/>
      <name val="Sylfaen"/>
      <family val="1"/>
      <charset val="204"/>
    </font>
    <font>
      <b/>
      <sz val="8"/>
      <name val="Sylfaen"/>
      <family val="1"/>
      <charset val="204"/>
    </font>
    <font>
      <b/>
      <sz val="10"/>
      <color theme="1"/>
      <name val="Sylfaen"/>
      <family val="1"/>
      <charset val="204"/>
    </font>
    <font>
      <i/>
      <sz val="10"/>
      <name val="Sylfae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vertAlign val="superscript"/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Sylfaen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  <charset val="204"/>
    </font>
    <font>
      <b/>
      <sz val="10"/>
      <color rgb="FFFF0000"/>
      <name val="Calibri"/>
      <family val="2"/>
      <charset val="1"/>
      <scheme val="minor"/>
    </font>
    <font>
      <b/>
      <sz val="10"/>
      <name val="AcadNusx"/>
    </font>
    <font>
      <sz val="10"/>
      <name val="AcadNusx"/>
    </font>
    <font>
      <sz val="10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1" applyNumberFormat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0" fontId="17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20" fillId="0" borderId="0"/>
    <xf numFmtId="0" fontId="11" fillId="0" borderId="0"/>
    <xf numFmtId="0" fontId="22" fillId="0" borderId="0"/>
    <xf numFmtId="0" fontId="2" fillId="0" borderId="0"/>
    <xf numFmtId="0" fontId="11" fillId="0" borderId="0"/>
    <xf numFmtId="0" fontId="1" fillId="0" borderId="0"/>
  </cellStyleXfs>
  <cellXfs count="1204">
    <xf numFmtId="0" fontId="0" fillId="0" borderId="0" xfId="0"/>
    <xf numFmtId="0" fontId="9" fillId="0" borderId="0" xfId="0" applyFo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4" applyFont="1" applyFill="1" applyAlignment="1">
      <alignment horizontal="center" vertical="center" wrapText="1"/>
    </xf>
    <xf numFmtId="49" fontId="12" fillId="0" borderId="18" xfId="4" applyNumberFormat="1" applyFont="1" applyFill="1" applyBorder="1" applyAlignment="1">
      <alignment horizontal="center" vertical="center" wrapText="1"/>
    </xf>
    <xf numFmtId="0" fontId="7" fillId="0" borderId="18" xfId="4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4" fontId="8" fillId="0" borderId="9" xfId="4" applyNumberFormat="1" applyFont="1" applyFill="1" applyBorder="1" applyAlignment="1">
      <alignment horizontal="center" vertical="center" wrapText="1"/>
    </xf>
    <xf numFmtId="4" fontId="8" fillId="0" borderId="10" xfId="4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166" fontId="7" fillId="0" borderId="2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center" vertical="center" wrapText="1" shrinkToFit="1"/>
    </xf>
    <xf numFmtId="0" fontId="8" fillId="0" borderId="9" xfId="4" applyFont="1" applyFill="1" applyBorder="1" applyAlignment="1">
      <alignment horizontal="center" vertical="center" wrapText="1"/>
    </xf>
    <xf numFmtId="167" fontId="8" fillId="0" borderId="9" xfId="4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left" vertical="top" wrapText="1"/>
    </xf>
    <xf numFmtId="0" fontId="7" fillId="0" borderId="7" xfId="4" applyFont="1" applyFill="1" applyBorder="1" applyAlignment="1">
      <alignment horizontal="center" vertical="center" wrapText="1"/>
    </xf>
    <xf numFmtId="167" fontId="7" fillId="0" borderId="7" xfId="4" applyNumberFormat="1" applyFont="1" applyFill="1" applyBorder="1" applyAlignment="1">
      <alignment horizontal="center" vertical="center" wrapText="1"/>
    </xf>
    <xf numFmtId="4" fontId="7" fillId="0" borderId="7" xfId="4" applyNumberFormat="1" applyFont="1" applyFill="1" applyBorder="1" applyAlignment="1">
      <alignment horizontal="center" vertical="center" wrapText="1"/>
    </xf>
    <xf numFmtId="4" fontId="7" fillId="0" borderId="21" xfId="4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left" vertical="center" wrapText="1"/>
    </xf>
    <xf numFmtId="167" fontId="12" fillId="0" borderId="7" xfId="4" applyNumberFormat="1" applyFont="1" applyFill="1" applyBorder="1" applyAlignment="1">
      <alignment horizontal="center" vertical="center" wrapText="1"/>
    </xf>
    <xf numFmtId="168" fontId="7" fillId="0" borderId="7" xfId="4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6" xfId="4" applyNumberFormat="1" applyFont="1" applyFill="1" applyBorder="1" applyAlignment="1">
      <alignment horizontal="center" vertical="center" wrapText="1"/>
    </xf>
    <xf numFmtId="0" fontId="7" fillId="0" borderId="12" xfId="4" applyFont="1" applyFill="1" applyBorder="1" applyAlignment="1">
      <alignment horizontal="left" vertical="top" wrapText="1"/>
    </xf>
    <xf numFmtId="167" fontId="7" fillId="0" borderId="12" xfId="4" applyNumberFormat="1" applyFont="1" applyFill="1" applyBorder="1" applyAlignment="1">
      <alignment horizontal="center" vertical="center" wrapText="1"/>
    </xf>
    <xf numFmtId="4" fontId="7" fillId="0" borderId="12" xfId="4" applyNumberFormat="1" applyFont="1" applyFill="1" applyBorder="1" applyAlignment="1">
      <alignment horizontal="center" vertical="center" wrapText="1"/>
    </xf>
    <xf numFmtId="4" fontId="7" fillId="0" borderId="13" xfId="4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7" fillId="0" borderId="7" xfId="1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9" fontId="12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167" fontId="12" fillId="0" borderId="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167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4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167" fontId="7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49" fontId="12" fillId="0" borderId="3" xfId="4" applyNumberFormat="1" applyFont="1" applyFill="1" applyBorder="1" applyAlignment="1">
      <alignment horizontal="center" vertical="center" wrapText="1"/>
    </xf>
    <xf numFmtId="4" fontId="8" fillId="0" borderId="6" xfId="4" applyNumberFormat="1" applyFont="1" applyFill="1" applyBorder="1" applyAlignment="1">
      <alignment horizontal="center" vertical="top" wrapText="1"/>
    </xf>
    <xf numFmtId="4" fontId="8" fillId="0" borderId="6" xfId="4" applyNumberFormat="1" applyFont="1" applyFill="1" applyBorder="1" applyAlignment="1">
      <alignment horizontal="center" vertical="center" wrapText="1"/>
    </xf>
    <xf numFmtId="4" fontId="8" fillId="0" borderId="7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left" vertical="top" wrapText="1"/>
    </xf>
    <xf numFmtId="167" fontId="7" fillId="0" borderId="2" xfId="4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172" fontId="7" fillId="0" borderId="7" xfId="0" applyNumberFormat="1" applyFont="1" applyFill="1" applyBorder="1" applyAlignment="1" applyProtection="1">
      <alignment horizontal="center" vertical="center" wrapText="1"/>
    </xf>
    <xf numFmtId="2" fontId="7" fillId="0" borderId="7" xfId="1" applyNumberFormat="1" applyFont="1" applyFill="1" applyBorder="1" applyAlignment="1" applyProtection="1">
      <alignment horizontal="center" vertical="center" wrapText="1"/>
    </xf>
    <xf numFmtId="4" fontId="7" fillId="0" borderId="7" xfId="1" applyNumberFormat="1" applyFont="1" applyFill="1" applyBorder="1" applyAlignment="1" applyProtection="1">
      <alignment horizontal="center" vertical="center" wrapText="1"/>
    </xf>
    <xf numFmtId="4" fontId="7" fillId="0" borderId="21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center" vertical="center" wrapText="1"/>
    </xf>
    <xf numFmtId="4" fontId="8" fillId="0" borderId="9" xfId="4" applyNumberFormat="1" applyFont="1" applyFill="1" applyBorder="1" applyAlignment="1">
      <alignment horizontal="center" vertical="top" wrapText="1"/>
    </xf>
    <xf numFmtId="4" fontId="8" fillId="0" borderId="22" xfId="4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166" fontId="8" fillId="0" borderId="25" xfId="0" applyNumberFormat="1" applyFont="1" applyFill="1" applyBorder="1" applyAlignment="1">
      <alignment horizontal="center" vertical="center"/>
    </xf>
    <xf numFmtId="49" fontId="12" fillId="0" borderId="25" xfId="4" applyNumberFormat="1" applyFont="1" applyFill="1" applyBorder="1" applyAlignment="1">
      <alignment horizontal="center" vertical="center" wrapText="1"/>
    </xf>
    <xf numFmtId="0" fontId="7" fillId="0" borderId="25" xfId="4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4" fontId="7" fillId="0" borderId="23" xfId="0" applyNumberFormat="1" applyFont="1" applyFill="1" applyBorder="1" applyAlignment="1">
      <alignment horizontal="center" vertical="center" wrapText="1"/>
    </xf>
    <xf numFmtId="167" fontId="7" fillId="0" borderId="25" xfId="4" applyNumberFormat="1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>
      <alignment horizontal="center" vertical="center" wrapText="1"/>
    </xf>
    <xf numFmtId="167" fontId="8" fillId="0" borderId="6" xfId="0" applyNumberFormat="1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167" fontId="8" fillId="0" borderId="6" xfId="4" applyNumberFormat="1" applyFont="1" applyFill="1" applyBorder="1" applyAlignment="1">
      <alignment horizontal="center" vertical="center" wrapText="1"/>
    </xf>
    <xf numFmtId="167" fontId="8" fillId="0" borderId="25" xfId="0" applyNumberFormat="1" applyFont="1" applyFill="1" applyBorder="1" applyAlignment="1">
      <alignment horizontal="center" vertical="center"/>
    </xf>
    <xf numFmtId="4" fontId="7" fillId="0" borderId="25" xfId="4" applyNumberFormat="1" applyFont="1" applyFill="1" applyBorder="1" applyAlignment="1">
      <alignment horizontal="center" vertical="center" wrapText="1"/>
    </xf>
    <xf numFmtId="4" fontId="7" fillId="0" borderId="6" xfId="4" applyNumberFormat="1" applyFont="1" applyFill="1" applyBorder="1" applyAlignment="1">
      <alignment horizontal="center" vertical="center" wrapText="1"/>
    </xf>
    <xf numFmtId="49" fontId="7" fillId="0" borderId="12" xfId="4" applyNumberFormat="1" applyFont="1" applyFill="1" applyBorder="1" applyAlignment="1">
      <alignment horizontal="center" vertical="center" wrapText="1"/>
    </xf>
    <xf numFmtId="167" fontId="7" fillId="0" borderId="18" xfId="4" applyNumberFormat="1" applyFont="1" applyFill="1" applyBorder="1" applyAlignment="1">
      <alignment horizontal="center" vertical="center" wrapText="1"/>
    </xf>
    <xf numFmtId="4" fontId="7" fillId="0" borderId="18" xfId="4" applyNumberFormat="1" applyFont="1" applyFill="1" applyBorder="1" applyAlignment="1">
      <alignment horizontal="center" vertical="center" wrapText="1"/>
    </xf>
    <xf numFmtId="4" fontId="8" fillId="0" borderId="6" xfId="4" applyNumberFormat="1" applyFont="1" applyFill="1" applyBorder="1" applyAlignment="1">
      <alignment horizont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" fontId="7" fillId="0" borderId="2" xfId="1" applyNumberFormat="1" applyFont="1" applyFill="1" applyBorder="1" applyAlignment="1" applyProtection="1">
      <alignment horizontal="center" vertical="center" wrapText="1"/>
    </xf>
    <xf numFmtId="4" fontId="7" fillId="0" borderId="18" xfId="1" applyNumberFormat="1" applyFont="1" applyFill="1" applyBorder="1" applyAlignment="1" applyProtection="1">
      <alignment horizontal="center" vertical="center" wrapText="1"/>
    </xf>
    <xf numFmtId="4" fontId="7" fillId="0" borderId="23" xfId="1" applyNumberFormat="1" applyFont="1" applyFill="1" applyBorder="1" applyAlignment="1" applyProtection="1">
      <alignment horizontal="center" vertical="center" wrapText="1"/>
    </xf>
    <xf numFmtId="167" fontId="7" fillId="0" borderId="6" xfId="4" applyNumberFormat="1" applyFont="1" applyFill="1" applyBorder="1" applyAlignment="1">
      <alignment horizontal="center" vertical="center" wrapText="1"/>
    </xf>
    <xf numFmtId="4" fontId="7" fillId="0" borderId="22" xfId="4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quotePrefix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29" xfId="4" applyFont="1" applyFill="1" applyBorder="1" applyAlignment="1">
      <alignment vertical="center" wrapText="1"/>
    </xf>
    <xf numFmtId="167" fontId="8" fillId="0" borderId="7" xfId="4" applyNumberFormat="1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top" wrapText="1"/>
    </xf>
    <xf numFmtId="0" fontId="12" fillId="0" borderId="12" xfId="8" applyFont="1" applyFill="1" applyBorder="1" applyAlignment="1">
      <alignment horizontal="center" vertical="center" wrapText="1"/>
    </xf>
    <xf numFmtId="0" fontId="7" fillId="0" borderId="12" xfId="8" applyFont="1" applyFill="1" applyBorder="1" applyAlignment="1">
      <alignment horizontal="center" vertical="top" wrapText="1"/>
    </xf>
    <xf numFmtId="167" fontId="7" fillId="0" borderId="12" xfId="8" applyNumberFormat="1" applyFont="1" applyFill="1" applyBorder="1" applyAlignment="1">
      <alignment horizontal="center" vertical="center" wrapText="1"/>
    </xf>
    <xf numFmtId="4" fontId="7" fillId="0" borderId="12" xfId="8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167" fontId="8" fillId="0" borderId="9" xfId="0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left" vertical="center" wrapText="1"/>
    </xf>
    <xf numFmtId="173" fontId="7" fillId="0" borderId="7" xfId="4" applyNumberFormat="1" applyFont="1" applyFill="1" applyBorder="1" applyAlignment="1">
      <alignment horizontal="center" vertical="center"/>
    </xf>
    <xf numFmtId="173" fontId="7" fillId="0" borderId="7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7" fillId="0" borderId="7" xfId="6" applyNumberFormat="1" applyFont="1" applyFill="1" applyBorder="1" applyAlignment="1">
      <alignment horizontal="left" vertical="center" wrapText="1"/>
    </xf>
    <xf numFmtId="0" fontId="7" fillId="0" borderId="7" xfId="6" applyNumberFormat="1" applyFont="1" applyFill="1" applyBorder="1" applyAlignment="1">
      <alignment horizontal="center" vertical="center" wrapText="1"/>
    </xf>
    <xf numFmtId="173" fontId="7" fillId="0" borderId="7" xfId="0" applyNumberFormat="1" applyFont="1" applyFill="1" applyBorder="1" applyAlignment="1">
      <alignment horizontal="center" vertical="center" wrapText="1"/>
    </xf>
    <xf numFmtId="172" fontId="7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4" fontId="8" fillId="0" borderId="0" xfId="4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4" fontId="7" fillId="0" borderId="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quotePrefix="1" applyNumberFormat="1" applyFont="1" applyFill="1" applyBorder="1" applyAlignment="1">
      <alignment horizontal="center" vertical="top" wrapText="1"/>
    </xf>
    <xf numFmtId="173" fontId="7" fillId="0" borderId="12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" fontId="7" fillId="0" borderId="14" xfId="4" applyNumberFormat="1" applyFont="1" applyFill="1" applyBorder="1" applyAlignment="1">
      <alignment vertical="center" wrapText="1"/>
    </xf>
    <xf numFmtId="1" fontId="12" fillId="0" borderId="15" xfId="4" applyNumberFormat="1" applyFont="1" applyFill="1" applyBorder="1" applyAlignment="1">
      <alignment horizontal="center" vertical="center" wrapText="1"/>
    </xf>
    <xf numFmtId="1" fontId="7" fillId="0" borderId="15" xfId="4" applyNumberFormat="1" applyFont="1" applyFill="1" applyBorder="1" applyAlignment="1">
      <alignment horizontal="center" vertical="center" wrapText="1"/>
    </xf>
    <xf numFmtId="1" fontId="7" fillId="0" borderId="16" xfId="4" applyNumberFormat="1" applyFont="1" applyFill="1" applyBorder="1" applyAlignment="1">
      <alignment horizontal="center" vertical="center" wrapText="1"/>
    </xf>
    <xf numFmtId="1" fontId="7" fillId="0" borderId="19" xfId="4" applyNumberFormat="1" applyFont="1" applyFill="1" applyBorder="1" applyAlignment="1">
      <alignment vertical="center" wrapText="1"/>
    </xf>
    <xf numFmtId="1" fontId="12" fillId="0" borderId="25" xfId="4" applyNumberFormat="1" applyFont="1" applyFill="1" applyBorder="1" applyAlignment="1">
      <alignment horizontal="center" vertical="center" wrapText="1"/>
    </xf>
    <xf numFmtId="1" fontId="7" fillId="0" borderId="25" xfId="4" applyNumberFormat="1" applyFont="1" applyFill="1" applyBorder="1" applyAlignment="1">
      <alignment horizontal="center" vertical="center" wrapText="1"/>
    </xf>
    <xf numFmtId="1" fontId="7" fillId="0" borderId="26" xfId="4" applyNumberFormat="1" applyFont="1" applyFill="1" applyBorder="1" applyAlignment="1">
      <alignment horizontal="center" vertical="center" wrapText="1"/>
    </xf>
    <xf numFmtId="0" fontId="7" fillId="0" borderId="12" xfId="4" applyFont="1" applyFill="1" applyBorder="1" applyAlignment="1">
      <alignment horizontal="left" vertical="center" wrapText="1"/>
    </xf>
    <xf numFmtId="173" fontId="7" fillId="0" borderId="2" xfId="0" applyNumberFormat="1" applyFont="1" applyFill="1" applyBorder="1" applyAlignment="1">
      <alignment horizontal="center" vertical="center"/>
    </xf>
    <xf numFmtId="4" fontId="8" fillId="0" borderId="12" xfId="4" applyNumberFormat="1" applyFont="1" applyFill="1" applyBorder="1" applyAlignment="1">
      <alignment horizontal="center" vertical="center" wrapText="1"/>
    </xf>
    <xf numFmtId="4" fontId="7" fillId="0" borderId="12" xfId="4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vertical="center" wrapText="1"/>
    </xf>
    <xf numFmtId="2" fontId="7" fillId="0" borderId="7" xfId="0" applyNumberFormat="1" applyFont="1" applyFill="1" applyBorder="1" applyAlignment="1"/>
    <xf numFmtId="2" fontId="7" fillId="0" borderId="7" xfId="0" applyNumberFormat="1" applyFont="1" applyFill="1" applyBorder="1" applyAlignment="1">
      <alignment wrapText="1"/>
    </xf>
    <xf numFmtId="2" fontId="7" fillId="0" borderId="7" xfId="4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wrapText="1"/>
    </xf>
    <xf numFmtId="2" fontId="7" fillId="0" borderId="12" xfId="4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vertical="center" wrapText="1"/>
    </xf>
    <xf numFmtId="173" fontId="8" fillId="0" borderId="9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wrapText="1"/>
    </xf>
    <xf numFmtId="0" fontId="7" fillId="0" borderId="12" xfId="4" applyFont="1" applyFill="1" applyBorder="1" applyAlignment="1">
      <alignment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1" fontId="9" fillId="0" borderId="0" xfId="0" applyNumberFormat="1" applyFont="1"/>
    <xf numFmtId="49" fontId="9" fillId="0" borderId="0" xfId="0" applyNumberFormat="1" applyFont="1"/>
    <xf numFmtId="4" fontId="8" fillId="0" borderId="9" xfId="4" applyNumberFormat="1" applyFont="1" applyFill="1" applyBorder="1" applyAlignment="1">
      <alignment horizont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70" fontId="7" fillId="0" borderId="12" xfId="0" applyNumberFormat="1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4" fontId="8" fillId="0" borderId="9" xfId="3" applyNumberFormat="1" applyFont="1" applyFill="1" applyBorder="1" applyAlignment="1">
      <alignment horizontal="center" vertical="center"/>
    </xf>
    <xf numFmtId="4" fontId="8" fillId="0" borderId="10" xfId="3" applyNumberFormat="1" applyFont="1" applyFill="1" applyBorder="1" applyAlignment="1">
      <alignment horizontal="center" vertical="center"/>
    </xf>
    <xf numFmtId="167" fontId="7" fillId="0" borderId="7" xfId="3" applyNumberFormat="1" applyFont="1" applyFill="1" applyBorder="1" applyAlignment="1">
      <alignment horizontal="center" vertical="center"/>
    </xf>
    <xf numFmtId="4" fontId="7" fillId="0" borderId="7" xfId="3" applyNumberFormat="1" applyFont="1" applyFill="1" applyBorder="1" applyAlignment="1">
      <alignment horizontal="center" vertical="center"/>
    </xf>
    <xf numFmtId="4" fontId="7" fillId="0" borderId="21" xfId="3" applyNumberFormat="1" applyFont="1" applyFill="1" applyBorder="1" applyAlignment="1">
      <alignment horizontal="center" vertical="center"/>
    </xf>
    <xf numFmtId="4" fontId="7" fillId="0" borderId="12" xfId="3" applyNumberFormat="1" applyFont="1" applyFill="1" applyBorder="1" applyAlignment="1">
      <alignment horizontal="center" vertical="center"/>
    </xf>
    <xf numFmtId="4" fontId="7" fillId="0" borderId="13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23" xfId="3" applyNumberFormat="1" applyFont="1" applyFill="1" applyBorder="1" applyAlignment="1">
      <alignment horizontal="center" vertical="center"/>
    </xf>
    <xf numFmtId="49" fontId="7" fillId="0" borderId="2" xfId="4" applyNumberFormat="1" applyFont="1" applyFill="1" applyBorder="1" applyAlignment="1">
      <alignment horizontal="center" vertical="center" wrapText="1"/>
    </xf>
    <xf numFmtId="2" fontId="8" fillId="0" borderId="9" xfId="1" applyNumberFormat="1" applyFont="1" applyFill="1" applyBorder="1" applyAlignment="1" applyProtection="1">
      <alignment horizontal="center" vertical="center" wrapText="1"/>
    </xf>
    <xf numFmtId="4" fontId="7" fillId="0" borderId="9" xfId="1" applyNumberFormat="1" applyFont="1" applyFill="1" applyBorder="1" applyAlignment="1" applyProtection="1">
      <alignment horizontal="center" vertical="center" wrapText="1"/>
    </xf>
    <xf numFmtId="4" fontId="15" fillId="0" borderId="9" xfId="1" applyNumberFormat="1" applyFont="1" applyFill="1" applyBorder="1" applyAlignment="1" applyProtection="1">
      <alignment horizontal="center" vertical="center" wrapText="1"/>
    </xf>
    <xf numFmtId="4" fontId="7" fillId="0" borderId="10" xfId="1" applyNumberFormat="1" applyFont="1" applyFill="1" applyBorder="1" applyAlignment="1" applyProtection="1">
      <alignment horizontal="center" vertical="center" wrapText="1"/>
    </xf>
    <xf numFmtId="49" fontId="12" fillId="0" borderId="7" xfId="12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>
      <alignment horizontal="center" wrapText="1"/>
    </xf>
    <xf numFmtId="4" fontId="7" fillId="0" borderId="12" xfId="1" applyNumberFormat="1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4" fontId="8" fillId="0" borderId="9" xfId="3" applyNumberFormat="1" applyFont="1" applyFill="1" applyBorder="1" applyAlignment="1">
      <alignment horizontal="center" vertical="center" wrapText="1"/>
    </xf>
    <xf numFmtId="4" fontId="7" fillId="0" borderId="9" xfId="3" applyNumberFormat="1" applyFont="1" applyFill="1" applyBorder="1" applyAlignment="1">
      <alignment horizontal="center" vertical="center" wrapText="1"/>
    </xf>
    <xf numFmtId="4" fontId="8" fillId="0" borderId="10" xfId="3" applyNumberFormat="1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vertical="top" wrapText="1"/>
    </xf>
    <xf numFmtId="173" fontId="7" fillId="0" borderId="7" xfId="3" applyNumberFormat="1" applyFont="1" applyFill="1" applyBorder="1" applyAlignment="1">
      <alignment horizontal="center" vertical="center" wrapText="1"/>
    </xf>
    <xf numFmtId="167" fontId="7" fillId="0" borderId="7" xfId="3" applyNumberFormat="1" applyFont="1" applyFill="1" applyBorder="1" applyAlignment="1">
      <alignment horizontal="center" vertical="center" wrapText="1"/>
    </xf>
    <xf numFmtId="4" fontId="7" fillId="0" borderId="7" xfId="3" applyNumberFormat="1" applyFont="1" applyFill="1" applyBorder="1" applyAlignment="1">
      <alignment horizontal="center" vertical="center" wrapText="1"/>
    </xf>
    <xf numFmtId="4" fontId="7" fillId="0" borderId="21" xfId="3" applyNumberFormat="1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4" fontId="7" fillId="0" borderId="12" xfId="3" applyNumberFormat="1" applyFont="1" applyFill="1" applyBorder="1" applyAlignment="1">
      <alignment horizontal="center" vertical="center" wrapText="1"/>
    </xf>
    <xf numFmtId="4" fontId="7" fillId="0" borderId="13" xfId="3" applyNumberFormat="1" applyFont="1" applyFill="1" applyBorder="1" applyAlignment="1">
      <alignment horizontal="center" vertical="center" wrapText="1"/>
    </xf>
    <xf numFmtId="49" fontId="12" fillId="0" borderId="12" xfId="12" applyNumberFormat="1" applyFont="1" applyFill="1" applyBorder="1" applyAlignment="1">
      <alignment horizontal="center" vertical="center" wrapText="1"/>
    </xf>
    <xf numFmtId="49" fontId="12" fillId="0" borderId="2" xfId="12" applyNumberFormat="1" applyFont="1" applyFill="1" applyBorder="1" applyAlignment="1">
      <alignment horizontal="center" vertical="center" wrapText="1"/>
    </xf>
    <xf numFmtId="49" fontId="12" fillId="0" borderId="9" xfId="3" applyNumberFormat="1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4" fontId="7" fillId="0" borderId="10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vertical="center" wrapText="1"/>
    </xf>
    <xf numFmtId="168" fontId="7" fillId="0" borderId="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34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6" fillId="0" borderId="33" xfId="6" applyNumberFormat="1" applyFont="1" applyFill="1" applyBorder="1" applyAlignment="1">
      <alignment horizontal="center" vertical="center" wrapText="1"/>
    </xf>
    <xf numFmtId="0" fontId="7" fillId="0" borderId="5" xfId="6" applyNumberFormat="1" applyFont="1" applyFill="1" applyBorder="1" applyAlignment="1">
      <alignment horizontal="center" vertical="center" wrapText="1"/>
    </xf>
    <xf numFmtId="0" fontId="7" fillId="0" borderId="35" xfId="6" applyNumberFormat="1" applyFont="1" applyFill="1" applyBorder="1" applyAlignment="1">
      <alignment horizontal="center" vertical="center" wrapText="1"/>
    </xf>
    <xf numFmtId="0" fontId="7" fillId="0" borderId="12" xfId="6" applyNumberFormat="1" applyFont="1" applyFill="1" applyBorder="1" applyAlignment="1">
      <alignment horizontal="left" vertical="center" wrapText="1"/>
    </xf>
    <xf numFmtId="0" fontId="7" fillId="0" borderId="12" xfId="6" applyNumberFormat="1" applyFont="1" applyFill="1" applyBorder="1" applyAlignment="1">
      <alignment horizontal="center" vertical="center" wrapText="1"/>
    </xf>
    <xf numFmtId="174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4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13" fillId="0" borderId="18" xfId="0" quotePrefix="1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49" fontId="8" fillId="0" borderId="9" xfId="4" applyNumberFormat="1" applyFont="1" applyFill="1" applyBorder="1" applyAlignment="1">
      <alignment horizontal="center" vertical="center" wrapText="1"/>
    </xf>
    <xf numFmtId="49" fontId="8" fillId="0" borderId="9" xfId="4" applyNumberFormat="1" applyFont="1" applyFill="1" applyBorder="1" applyAlignment="1">
      <alignment vertical="center" wrapText="1"/>
    </xf>
    <xf numFmtId="2" fontId="8" fillId="0" borderId="9" xfId="4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8" fillId="0" borderId="6" xfId="4" applyFont="1" applyFill="1" applyBorder="1" applyAlignment="1">
      <alignment horizontal="left" vertical="center" wrapText="1"/>
    </xf>
    <xf numFmtId="0" fontId="8" fillId="0" borderId="9" xfId="4" applyFont="1" applyFill="1" applyBorder="1" applyAlignment="1">
      <alignment horizontal="left" vertical="center" wrapText="1"/>
    </xf>
    <xf numFmtId="4" fontId="12" fillId="0" borderId="7" xfId="4" applyNumberFormat="1" applyFont="1" applyFill="1" applyBorder="1" applyAlignment="1">
      <alignment horizontal="center" vertical="center" wrapText="1"/>
    </xf>
    <xf numFmtId="1" fontId="8" fillId="3" borderId="25" xfId="4" applyNumberFormat="1" applyFont="1" applyFill="1" applyBorder="1" applyAlignment="1">
      <alignment horizontal="center" vertical="center" wrapText="1"/>
    </xf>
    <xf numFmtId="1" fontId="7" fillId="3" borderId="25" xfId="4" applyNumberFormat="1" applyFont="1" applyFill="1" applyBorder="1" applyAlignment="1">
      <alignment horizontal="center" vertical="center" wrapText="1"/>
    </xf>
    <xf numFmtId="1" fontId="7" fillId="4" borderId="19" xfId="4" applyNumberFormat="1" applyFont="1" applyFill="1" applyBorder="1" applyAlignment="1">
      <alignment vertical="center" wrapText="1"/>
    </xf>
    <xf numFmtId="1" fontId="12" fillId="4" borderId="25" xfId="4" applyNumberFormat="1" applyFont="1" applyFill="1" applyBorder="1" applyAlignment="1">
      <alignment horizontal="center" vertical="center" wrapText="1"/>
    </xf>
    <xf numFmtId="1" fontId="7" fillId="4" borderId="25" xfId="4" applyNumberFormat="1" applyFont="1" applyFill="1" applyBorder="1" applyAlignment="1">
      <alignment horizontal="center" vertical="center" wrapText="1"/>
    </xf>
    <xf numFmtId="1" fontId="7" fillId="4" borderId="26" xfId="4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167" fontId="8" fillId="0" borderId="9" xfId="6" applyNumberFormat="1" applyFont="1" applyFill="1" applyBorder="1" applyAlignment="1">
      <alignment horizontal="center" vertical="center" wrapText="1"/>
    </xf>
    <xf numFmtId="167" fontId="7" fillId="0" borderId="7" xfId="6" applyNumberFormat="1" applyFont="1" applyFill="1" applyBorder="1" applyAlignment="1">
      <alignment horizontal="center" wrapText="1"/>
    </xf>
    <xf numFmtId="1" fontId="8" fillId="0" borderId="25" xfId="4" applyNumberFormat="1" applyFont="1" applyFill="1" applyBorder="1" applyAlignment="1">
      <alignment horizontal="center" vertical="center" wrapText="1"/>
    </xf>
    <xf numFmtId="2" fontId="7" fillId="0" borderId="7" xfId="6" applyNumberFormat="1" applyFont="1" applyFill="1" applyBorder="1" applyAlignment="1">
      <alignment horizontal="left" vertical="center" wrapText="1"/>
    </xf>
    <xf numFmtId="2" fontId="7" fillId="0" borderId="7" xfId="6" applyNumberFormat="1" applyFont="1" applyFill="1" applyBorder="1" applyAlignment="1">
      <alignment horizontal="center" wrapText="1"/>
    </xf>
    <xf numFmtId="1" fontId="8" fillId="3" borderId="14" xfId="4" applyNumberFormat="1" applyFont="1" applyFill="1" applyBorder="1" applyAlignment="1">
      <alignment vertical="center" wrapText="1"/>
    </xf>
    <xf numFmtId="1" fontId="13" fillId="3" borderId="15" xfId="4" applyNumberFormat="1" applyFont="1" applyFill="1" applyBorder="1" applyAlignment="1">
      <alignment horizontal="center" vertical="center" wrapText="1"/>
    </xf>
    <xf numFmtId="1" fontId="8" fillId="3" borderId="15" xfId="4" applyNumberFormat="1" applyFont="1" applyFill="1" applyBorder="1" applyAlignment="1">
      <alignment horizontal="center" vertical="center" wrapText="1"/>
    </xf>
    <xf numFmtId="1" fontId="8" fillId="3" borderId="16" xfId="4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 vertical="center" wrapText="1"/>
    </xf>
    <xf numFmtId="0" fontId="8" fillId="0" borderId="25" xfId="4" applyFont="1" applyFill="1" applyBorder="1" applyAlignment="1">
      <alignment horizontal="center" vertical="center" wrapText="1"/>
    </xf>
    <xf numFmtId="4" fontId="8" fillId="0" borderId="25" xfId="4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13" fillId="0" borderId="9" xfId="4" applyNumberFormat="1" applyFont="1" applyFill="1" applyBorder="1" applyAlignment="1">
      <alignment horizontal="center" vertical="center" wrapText="1"/>
    </xf>
    <xf numFmtId="1" fontId="12" fillId="3" borderId="25" xfId="4" applyNumberFormat="1" applyFont="1" applyFill="1" applyBorder="1" applyAlignment="1">
      <alignment horizontal="center" vertical="center" wrapText="1"/>
    </xf>
    <xf numFmtId="1" fontId="7" fillId="3" borderId="26" xfId="4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49" fontId="6" fillId="0" borderId="6" xfId="4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9" xfId="4" applyNumberFormat="1" applyFont="1" applyFill="1" applyBorder="1" applyAlignment="1">
      <alignment horizontal="center" vertical="center" wrapText="1"/>
    </xf>
    <xf numFmtId="49" fontId="12" fillId="0" borderId="7" xfId="12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3" fillId="0" borderId="7" xfId="0" quotePrefix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167" fontId="8" fillId="0" borderId="7" xfId="0" applyNumberFormat="1" applyFont="1" applyFill="1" applyBorder="1" applyAlignment="1">
      <alignment horizontal="center" vertical="center" wrapText="1"/>
    </xf>
    <xf numFmtId="1" fontId="8" fillId="4" borderId="25" xfId="4" applyNumberFormat="1" applyFont="1" applyFill="1" applyBorder="1" applyAlignment="1">
      <alignment horizontal="center" vertical="center" wrapText="1"/>
    </xf>
    <xf numFmtId="1" fontId="8" fillId="4" borderId="15" xfId="4" applyNumberFormat="1" applyFont="1" applyFill="1" applyBorder="1" applyAlignment="1">
      <alignment horizontal="center" vertical="center" wrapText="1"/>
    </xf>
    <xf numFmtId="0" fontId="7" fillId="4" borderId="18" xfId="4" applyFont="1" applyFill="1" applyBorder="1" applyAlignment="1">
      <alignment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2" fontId="7" fillId="4" borderId="18" xfId="4" applyNumberFormat="1" applyFont="1" applyFill="1" applyBorder="1" applyAlignment="1">
      <alignment horizontal="center" vertical="center"/>
    </xf>
    <xf numFmtId="4" fontId="8" fillId="4" borderId="18" xfId="4" applyNumberFormat="1" applyFont="1" applyFill="1" applyBorder="1" applyAlignment="1">
      <alignment horizontal="center" vertical="center" wrapText="1"/>
    </xf>
    <xf numFmtId="4" fontId="7" fillId="4" borderId="18" xfId="4" applyNumberFormat="1" applyFont="1" applyFill="1" applyBorder="1" applyAlignment="1">
      <alignment horizontal="center" vertical="center" wrapText="1"/>
    </xf>
    <xf numFmtId="0" fontId="7" fillId="0" borderId="12" xfId="4" applyFont="1" applyFill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>
      <alignment horizontal="center" vertical="center" wrapText="1"/>
    </xf>
    <xf numFmtId="4" fontId="9" fillId="0" borderId="0" xfId="0" applyNumberFormat="1" applyFont="1"/>
    <xf numFmtId="49" fontId="21" fillId="0" borderId="0" xfId="0" applyNumberFormat="1" applyFont="1"/>
    <xf numFmtId="1" fontId="8" fillId="0" borderId="19" xfId="4" applyNumberFormat="1" applyFont="1" applyFill="1" applyBorder="1" applyAlignment="1">
      <alignment vertical="center" wrapText="1"/>
    </xf>
    <xf numFmtId="1" fontId="8" fillId="0" borderId="26" xfId="4" applyNumberFormat="1" applyFont="1" applyFill="1" applyBorder="1" applyAlignment="1">
      <alignment horizontal="center" vertical="center" wrapText="1"/>
    </xf>
    <xf numFmtId="0" fontId="12" fillId="0" borderId="12" xfId="0" quotePrefix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1" fontId="8" fillId="4" borderId="14" xfId="4" applyNumberFormat="1" applyFont="1" applyFill="1" applyBorder="1" applyAlignment="1">
      <alignment vertical="center" wrapText="1"/>
    </xf>
    <xf numFmtId="1" fontId="13" fillId="4" borderId="15" xfId="4" applyNumberFormat="1" applyFont="1" applyFill="1" applyBorder="1" applyAlignment="1">
      <alignment horizontal="center" vertical="center" wrapText="1"/>
    </xf>
    <xf numFmtId="1" fontId="8" fillId="4" borderId="16" xfId="4" applyNumberFormat="1" applyFont="1" applyFill="1" applyBorder="1" applyAlignment="1">
      <alignment horizontal="center" vertical="center" wrapText="1"/>
    </xf>
    <xf numFmtId="49" fontId="12" fillId="0" borderId="12" xfId="4" applyNumberFormat="1" applyFont="1" applyFill="1" applyBorder="1" applyAlignment="1">
      <alignment horizontal="center" vertical="center" wrapText="1"/>
    </xf>
    <xf numFmtId="0" fontId="7" fillId="0" borderId="2" xfId="4" quotePrefix="1" applyFont="1" applyFill="1" applyBorder="1" applyAlignment="1">
      <alignment horizontal="left" vertical="center" wrapText="1"/>
    </xf>
    <xf numFmtId="1" fontId="8" fillId="4" borderId="25" xfId="4" quotePrefix="1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Fill="1" applyBorder="1" applyAlignment="1">
      <alignment horizontal="center" vertical="center" wrapText="1"/>
    </xf>
    <xf numFmtId="0" fontId="8" fillId="0" borderId="9" xfId="0" quotePrefix="1" applyNumberFormat="1" applyFont="1" applyFill="1" applyBorder="1" applyAlignment="1">
      <alignment horizontal="center" vertical="center" wrapText="1"/>
    </xf>
    <xf numFmtId="4" fontId="8" fillId="0" borderId="9" xfId="4" quotePrefix="1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center" wrapText="1"/>
    </xf>
    <xf numFmtId="9" fontId="8" fillId="0" borderId="7" xfId="2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left" vertical="center" wrapText="1"/>
    </xf>
    <xf numFmtId="49" fontId="12" fillId="0" borderId="7" xfId="4" quotePrefix="1" applyNumberFormat="1" applyFont="1" applyFill="1" applyBorder="1" applyAlignment="1">
      <alignment horizontal="center" vertical="center" wrapText="1"/>
    </xf>
    <xf numFmtId="0" fontId="7" fillId="0" borderId="7" xfId="4" quotePrefix="1" applyFont="1" applyFill="1" applyBorder="1" applyAlignment="1">
      <alignment horizontal="left" vertical="top" wrapText="1"/>
    </xf>
    <xf numFmtId="0" fontId="12" fillId="0" borderId="7" xfId="0" quotePrefix="1" applyFont="1" applyFill="1" applyBorder="1" applyAlignment="1">
      <alignment horizontal="center" vertical="center"/>
    </xf>
    <xf numFmtId="2" fontId="7" fillId="0" borderId="7" xfId="0" quotePrefix="1" applyNumberFormat="1" applyFont="1" applyFill="1" applyBorder="1" applyAlignment="1">
      <alignment horizontal="left" vertical="center" wrapText="1"/>
    </xf>
    <xf numFmtId="0" fontId="7" fillId="0" borderId="7" xfId="6" quotePrefix="1" applyNumberFormat="1" applyFont="1" applyFill="1" applyBorder="1" applyAlignment="1">
      <alignment horizontal="left" vertical="center" wrapText="1"/>
    </xf>
    <xf numFmtId="49" fontId="12" fillId="0" borderId="7" xfId="12" quotePrefix="1" applyNumberFormat="1" applyFont="1" applyFill="1" applyBorder="1" applyAlignment="1">
      <alignment horizontal="left" vertical="center" wrapText="1"/>
    </xf>
    <xf numFmtId="0" fontId="12" fillId="0" borderId="7" xfId="3" quotePrefix="1" applyFont="1" applyFill="1" applyBorder="1" applyAlignment="1">
      <alignment horizontal="center" vertical="center" wrapText="1"/>
    </xf>
    <xf numFmtId="0" fontId="8" fillId="0" borderId="9" xfId="4" quotePrefix="1" applyFont="1" applyFill="1" applyBorder="1" applyAlignment="1">
      <alignment horizontal="center" vertical="center" wrapText="1"/>
    </xf>
    <xf numFmtId="4" fontId="8" fillId="0" borderId="9" xfId="0" quotePrefix="1" applyNumberFormat="1" applyFont="1" applyFill="1" applyBorder="1" applyAlignment="1">
      <alignment horizontal="center" vertical="center" wrapText="1"/>
    </xf>
    <xf numFmtId="178" fontId="8" fillId="0" borderId="9" xfId="1" applyNumberFormat="1" applyFont="1" applyFill="1" applyBorder="1" applyAlignment="1">
      <alignment horizontal="center" vertical="center" wrapText="1"/>
    </xf>
    <xf numFmtId="179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178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78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4" quotePrefix="1" applyNumberFormat="1" applyFont="1" applyFill="1" applyBorder="1" applyAlignment="1">
      <alignment horizontal="center" vertical="center" wrapText="1"/>
    </xf>
    <xf numFmtId="0" fontId="8" fillId="0" borderId="18" xfId="0" quotePrefix="1" applyFont="1" applyFill="1" applyBorder="1" applyAlignment="1">
      <alignment horizontal="left" vertical="center" wrapText="1"/>
    </xf>
    <xf numFmtId="0" fontId="8" fillId="0" borderId="9" xfId="0" quotePrefix="1" applyFont="1" applyFill="1" applyBorder="1" applyAlignment="1">
      <alignment horizontal="left" vertical="center" wrapText="1"/>
    </xf>
    <xf numFmtId="0" fontId="7" fillId="0" borderId="7" xfId="4" quotePrefix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vertical="center" wrapText="1"/>
    </xf>
    <xf numFmtId="9" fontId="8" fillId="0" borderId="12" xfId="2" applyFont="1" applyFill="1" applyBorder="1" applyAlignment="1">
      <alignment horizontal="center" vertical="center" wrapText="1"/>
    </xf>
    <xf numFmtId="167" fontId="8" fillId="0" borderId="12" xfId="4" applyNumberFormat="1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9" fontId="8" fillId="0" borderId="15" xfId="2" applyFont="1" applyFill="1" applyBorder="1" applyAlignment="1">
      <alignment horizontal="center" vertical="top" wrapText="1"/>
    </xf>
    <xf numFmtId="167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30" xfId="4" applyFont="1" applyFill="1" applyBorder="1" applyAlignment="1">
      <alignment vertical="center" wrapText="1"/>
    </xf>
    <xf numFmtId="9" fontId="8" fillId="0" borderId="2" xfId="2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9" fontId="8" fillId="0" borderId="7" xfId="2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2" fillId="0" borderId="15" xfId="0" quotePrefix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167" fontId="7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73" fontId="7" fillId="0" borderId="7" xfId="4" applyNumberFormat="1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/>
    </xf>
    <xf numFmtId="1" fontId="7" fillId="4" borderId="14" xfId="4" applyNumberFormat="1" applyFont="1" applyFill="1" applyBorder="1" applyAlignment="1">
      <alignment vertical="center" wrapText="1"/>
    </xf>
    <xf numFmtId="1" fontId="12" fillId="4" borderId="15" xfId="4" applyNumberFormat="1" applyFont="1" applyFill="1" applyBorder="1" applyAlignment="1">
      <alignment horizontal="center" vertical="center" wrapText="1"/>
    </xf>
    <xf numFmtId="1" fontId="7" fillId="4" borderId="15" xfId="4" applyNumberFormat="1" applyFont="1" applyFill="1" applyBorder="1" applyAlignment="1">
      <alignment horizontal="center" vertical="center" wrapText="1"/>
    </xf>
    <xf numFmtId="1" fontId="7" fillId="4" borderId="16" xfId="4" applyNumberFormat="1" applyFont="1" applyFill="1" applyBorder="1" applyAlignment="1">
      <alignment horizontal="center" vertical="center" wrapText="1"/>
    </xf>
    <xf numFmtId="9" fontId="7" fillId="0" borderId="12" xfId="2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 vertical="center" wrapText="1"/>
    </xf>
    <xf numFmtId="167" fontId="7" fillId="0" borderId="0" xfId="4" applyNumberFormat="1" applyFont="1" applyFill="1" applyBorder="1" applyAlignment="1">
      <alignment horizontal="center" vertical="center" wrapText="1"/>
    </xf>
    <xf numFmtId="4" fontId="7" fillId="0" borderId="0" xfId="4" applyNumberFormat="1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vertical="center" wrapText="1"/>
    </xf>
    <xf numFmtId="1" fontId="12" fillId="0" borderId="0" xfId="4" applyNumberFormat="1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12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49" fontId="12" fillId="0" borderId="0" xfId="4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7" fontId="8" fillId="0" borderId="0" xfId="6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4" fontId="12" fillId="0" borderId="0" xfId="4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49" fontId="8" fillId="0" borderId="0" xfId="0" quotePrefix="1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7" fillId="0" borderId="0" xfId="6" applyNumberFormat="1" applyFont="1" applyFill="1" applyBorder="1" applyAlignment="1">
      <alignment horizontal="left" vertical="center" wrapText="1"/>
    </xf>
    <xf numFmtId="0" fontId="7" fillId="0" borderId="0" xfId="6" applyNumberFormat="1" applyFont="1" applyFill="1" applyBorder="1" applyAlignment="1">
      <alignment horizontal="center" vertical="center" wrapText="1"/>
    </xf>
    <xf numFmtId="167" fontId="8" fillId="0" borderId="0" xfId="4" applyNumberFormat="1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left" vertical="top" wrapText="1"/>
    </xf>
    <xf numFmtId="4" fontId="8" fillId="0" borderId="0" xfId="4" applyNumberFormat="1" applyFont="1" applyFill="1" applyBorder="1" applyAlignment="1">
      <alignment horizontal="center" vertical="top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vertical="center" wrapText="1"/>
    </xf>
    <xf numFmtId="49" fontId="7" fillId="0" borderId="0" xfId="4" applyNumberFormat="1" applyFont="1" applyFill="1" applyBorder="1" applyAlignment="1">
      <alignment horizontal="center" vertical="center" wrapText="1"/>
    </xf>
    <xf numFmtId="9" fontId="7" fillId="0" borderId="0" xfId="2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" fontId="8" fillId="0" borderId="0" xfId="4" applyNumberFormat="1" applyFont="1" applyFill="1" applyBorder="1" applyAlignment="1">
      <alignment horizontal="center" vertical="center" wrapText="1"/>
    </xf>
    <xf numFmtId="2" fontId="7" fillId="0" borderId="0" xfId="6" applyNumberFormat="1" applyFont="1" applyFill="1" applyBorder="1" applyAlignment="1">
      <alignment horizontal="left" vertical="center" wrapText="1"/>
    </xf>
    <xf numFmtId="2" fontId="7" fillId="0" borderId="0" xfId="6" applyNumberFormat="1" applyFont="1" applyFill="1" applyBorder="1" applyAlignment="1">
      <alignment horizontal="center" wrapText="1"/>
    </xf>
    <xf numFmtId="167" fontId="7" fillId="0" borderId="0" xfId="6" applyNumberFormat="1" applyFont="1" applyFill="1" applyBorder="1" applyAlignment="1">
      <alignment horizontal="center" wrapText="1"/>
    </xf>
    <xf numFmtId="49" fontId="12" fillId="0" borderId="0" xfId="4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6" applyNumberFormat="1" applyFont="1" applyFill="1" applyBorder="1" applyAlignment="1">
      <alignment vertical="center" wrapText="1"/>
    </xf>
    <xf numFmtId="49" fontId="12" fillId="0" borderId="0" xfId="0" quotePrefix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8" xfId="4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173" fontId="7" fillId="0" borderId="0" xfId="4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1" applyNumberFormat="1" applyFont="1" applyFill="1" applyBorder="1" applyAlignment="1" applyProtection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>
      <alignment horizontal="center" vertical="center" wrapText="1"/>
    </xf>
    <xf numFmtId="2" fontId="8" fillId="0" borderId="9" xfId="0" quotePrefix="1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4" fontId="23" fillId="0" borderId="9" xfId="4" applyNumberFormat="1" applyFont="1" applyFill="1" applyBorder="1" applyAlignment="1">
      <alignment horizontal="center" vertical="center" wrapText="1"/>
    </xf>
    <xf numFmtId="4" fontId="6" fillId="0" borderId="9" xfId="4" applyNumberFormat="1" applyFont="1" applyFill="1" applyBorder="1" applyAlignment="1">
      <alignment horizontal="center" vertical="center" wrapText="1"/>
    </xf>
    <xf numFmtId="4" fontId="6" fillId="0" borderId="10" xfId="4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4" fontId="6" fillId="0" borderId="7" xfId="4" applyNumberFormat="1" applyFont="1" applyFill="1" applyBorder="1" applyAlignment="1">
      <alignment horizontal="center" vertical="center" wrapText="1"/>
    </xf>
    <xf numFmtId="4" fontId="6" fillId="0" borderId="21" xfId="4" applyNumberFormat="1" applyFont="1" applyFill="1" applyBorder="1" applyAlignment="1">
      <alignment horizontal="center" vertical="center" wrapText="1"/>
    </xf>
    <xf numFmtId="4" fontId="23" fillId="0" borderId="12" xfId="4" applyNumberFormat="1" applyFont="1" applyFill="1" applyBorder="1" applyAlignment="1">
      <alignment horizontal="center" vertical="center" wrapText="1"/>
    </xf>
    <xf numFmtId="4" fontId="6" fillId="0" borderId="12" xfId="4" applyNumberFormat="1" applyFont="1" applyFill="1" applyBorder="1" applyAlignment="1">
      <alignment horizontal="center" vertical="center" wrapText="1"/>
    </xf>
    <xf numFmtId="4" fontId="6" fillId="0" borderId="13" xfId="4" applyNumberFormat="1" applyFont="1" applyFill="1" applyBorder="1" applyAlignment="1">
      <alignment horizontal="center" vertical="center" wrapText="1"/>
    </xf>
    <xf numFmtId="0" fontId="25" fillId="0" borderId="9" xfId="9" applyFont="1" applyFill="1" applyBorder="1" applyAlignment="1">
      <alignment horizontal="center" vertical="center"/>
    </xf>
    <xf numFmtId="2" fontId="25" fillId="0" borderId="9" xfId="9" applyNumberFormat="1" applyFont="1" applyFill="1" applyBorder="1" applyAlignment="1">
      <alignment horizontal="center" vertical="center"/>
    </xf>
    <xf numFmtId="2" fontId="25" fillId="0" borderId="10" xfId="9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left" vertical="center" wrapText="1"/>
    </xf>
    <xf numFmtId="0" fontId="24" fillId="0" borderId="7" xfId="9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/>
    </xf>
    <xf numFmtId="172" fontId="24" fillId="0" borderId="7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left" vertical="center" wrapText="1"/>
    </xf>
    <xf numFmtId="2" fontId="24" fillId="0" borderId="12" xfId="0" applyNumberFormat="1" applyFont="1" applyFill="1" applyBorder="1" applyAlignment="1">
      <alignment horizontal="center" vertical="center"/>
    </xf>
    <xf numFmtId="0" fontId="12" fillId="0" borderId="9" xfId="16" applyFont="1" applyFill="1" applyBorder="1" applyAlignment="1">
      <alignment horizontal="center" vertical="center"/>
    </xf>
    <xf numFmtId="0" fontId="8" fillId="0" borderId="9" xfId="16" applyFont="1" applyFill="1" applyBorder="1" applyAlignment="1">
      <alignment horizontal="left" vertical="center"/>
    </xf>
    <xf numFmtId="0" fontId="8" fillId="0" borderId="9" xfId="16" applyFont="1" applyFill="1" applyBorder="1" applyAlignment="1">
      <alignment horizontal="center" vertical="center"/>
    </xf>
    <xf numFmtId="172" fontId="8" fillId="0" borderId="9" xfId="16" applyNumberFormat="1" applyFont="1" applyFill="1" applyBorder="1" applyAlignment="1">
      <alignment horizontal="center" vertical="center"/>
    </xf>
    <xf numFmtId="0" fontId="24" fillId="0" borderId="9" xfId="13" applyFont="1" applyFill="1" applyBorder="1" applyAlignment="1">
      <alignment horizontal="center" vertical="center"/>
    </xf>
    <xf numFmtId="2" fontId="24" fillId="0" borderId="9" xfId="13" applyNumberFormat="1" applyFont="1" applyFill="1" applyBorder="1" applyAlignment="1">
      <alignment horizontal="center" vertical="center"/>
    </xf>
    <xf numFmtId="2" fontId="24" fillId="0" borderId="9" xfId="16" applyNumberFormat="1" applyFont="1" applyFill="1" applyBorder="1" applyAlignment="1">
      <alignment horizontal="center" vertical="center"/>
    </xf>
    <xf numFmtId="2" fontId="24" fillId="0" borderId="10" xfId="16" applyNumberFormat="1" applyFont="1" applyFill="1" applyBorder="1" applyAlignment="1">
      <alignment horizontal="center" vertical="center"/>
    </xf>
    <xf numFmtId="0" fontId="8" fillId="0" borderId="9" xfId="9" applyFont="1" applyFill="1" applyBorder="1" applyAlignment="1">
      <alignment horizontal="center" vertical="center"/>
    </xf>
    <xf numFmtId="2" fontId="8" fillId="0" borderId="9" xfId="9" applyNumberFormat="1" applyFont="1" applyFill="1" applyBorder="1" applyAlignment="1">
      <alignment horizontal="center" vertical="center"/>
    </xf>
    <xf numFmtId="2" fontId="24" fillId="0" borderId="9" xfId="9" applyNumberFormat="1" applyFont="1" applyFill="1" applyBorder="1" applyAlignment="1">
      <alignment horizontal="center" vertical="center"/>
    </xf>
    <xf numFmtId="2" fontId="24" fillId="0" borderId="10" xfId="9" applyNumberFormat="1" applyFont="1" applyFill="1" applyBorder="1" applyAlignment="1">
      <alignment horizontal="center" vertical="center"/>
    </xf>
    <xf numFmtId="4" fontId="8" fillId="0" borderId="26" xfId="4" applyNumberFormat="1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0" xfId="9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9" fontId="7" fillId="0" borderId="0" xfId="2" applyFont="1" applyFill="1" applyBorder="1" applyAlignment="1">
      <alignment horizontal="center" vertical="top" wrapText="1"/>
    </xf>
    <xf numFmtId="9" fontId="7" fillId="0" borderId="0" xfId="2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horizontal="center" vertical="top" wrapText="1"/>
    </xf>
    <xf numFmtId="9" fontId="8" fillId="0" borderId="0" xfId="2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1" fontId="8" fillId="0" borderId="0" xfId="4" applyNumberFormat="1" applyFont="1" applyFill="1" applyBorder="1" applyAlignment="1">
      <alignment horizontal="center" vertical="center"/>
    </xf>
    <xf numFmtId="174" fontId="8" fillId="0" borderId="0" xfId="4" applyNumberFormat="1" applyFont="1" applyFill="1" applyBorder="1" applyAlignment="1">
      <alignment horizontal="center" vertical="center"/>
    </xf>
    <xf numFmtId="173" fontId="8" fillId="0" borderId="0" xfId="4" applyNumberFormat="1" applyFont="1" applyFill="1" applyBorder="1" applyAlignment="1">
      <alignment horizontal="center" vertical="center"/>
    </xf>
    <xf numFmtId="4" fontId="23" fillId="0" borderId="0" xfId="4" applyNumberFormat="1" applyFont="1" applyFill="1" applyBorder="1" applyAlignment="1">
      <alignment horizontal="center" vertical="center" wrapText="1"/>
    </xf>
    <xf numFmtId="4" fontId="6" fillId="0" borderId="0" xfId="4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167" fontId="6" fillId="0" borderId="0" xfId="4" applyNumberFormat="1" applyFont="1" applyFill="1" applyBorder="1" applyAlignment="1">
      <alignment horizontal="center" vertical="center" wrapText="1"/>
    </xf>
    <xf numFmtId="1" fontId="7" fillId="0" borderId="14" xfId="4" applyNumberFormat="1" applyFont="1" applyFill="1" applyBorder="1" applyAlignment="1">
      <alignment horizontal="center" vertical="center" wrapText="1"/>
    </xf>
    <xf numFmtId="1" fontId="7" fillId="4" borderId="19" xfId="4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49" fontId="24" fillId="0" borderId="7" xfId="0" quotePrefix="1" applyNumberFormat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3" fillId="0" borderId="24" xfId="4" applyNumberFormat="1" applyFont="1" applyFill="1" applyBorder="1" applyAlignment="1">
      <alignment horizontal="center" vertical="center" wrapText="1"/>
    </xf>
    <xf numFmtId="0" fontId="8" fillId="0" borderId="24" xfId="4" applyFont="1" applyFill="1" applyBorder="1" applyAlignment="1">
      <alignment horizontal="center" vertical="center" wrapText="1"/>
    </xf>
    <xf numFmtId="167" fontId="8" fillId="0" borderId="24" xfId="4" applyNumberFormat="1" applyFont="1" applyFill="1" applyBorder="1" applyAlignment="1">
      <alignment horizontal="center" vertical="center" wrapText="1"/>
    </xf>
    <xf numFmtId="4" fontId="8" fillId="0" borderId="24" xfId="4" applyNumberFormat="1" applyFont="1" applyFill="1" applyBorder="1" applyAlignment="1">
      <alignment horizontal="center" vertical="center" wrapText="1"/>
    </xf>
    <xf numFmtId="4" fontId="7" fillId="0" borderId="34" xfId="4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13" fillId="0" borderId="18" xfId="4" applyNumberFormat="1" applyFont="1" applyFill="1" applyBorder="1" applyAlignment="1">
      <alignment horizontal="center" vertical="center" wrapText="1"/>
    </xf>
    <xf numFmtId="0" fontId="8" fillId="0" borderId="18" xfId="4" applyFont="1" applyFill="1" applyBorder="1" applyAlignment="1">
      <alignment horizontal="center" vertical="center" wrapText="1"/>
    </xf>
    <xf numFmtId="4" fontId="8" fillId="0" borderId="18" xfId="4" applyNumberFormat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8" fillId="0" borderId="6" xfId="0" quotePrefix="1" applyFont="1" applyFill="1" applyBorder="1" applyAlignment="1">
      <alignment horizontal="left" vertical="center" wrapText="1"/>
    </xf>
    <xf numFmtId="49" fontId="12" fillId="0" borderId="9" xfId="4" quotePrefix="1" applyNumberFormat="1" applyFont="1" applyFill="1" applyBorder="1" applyAlignment="1">
      <alignment horizontal="center" vertical="center" wrapText="1"/>
    </xf>
    <xf numFmtId="172" fontId="8" fillId="0" borderId="9" xfId="0" applyNumberFormat="1" applyFont="1" applyFill="1" applyBorder="1" applyAlignment="1">
      <alignment horizontal="center" vertical="center" wrapText="1"/>
    </xf>
    <xf numFmtId="4" fontId="7" fillId="0" borderId="9" xfId="13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/>
    </xf>
    <xf numFmtId="173" fontId="7" fillId="0" borderId="7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7" fillId="0" borderId="7" xfId="13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2" xfId="13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25" xfId="4" applyFont="1" applyFill="1" applyBorder="1" applyAlignment="1">
      <alignment horizontal="right" vertical="top" wrapText="1"/>
    </xf>
    <xf numFmtId="0" fontId="7" fillId="0" borderId="7" xfId="4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4" fontId="7" fillId="4" borderId="25" xfId="4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8" fillId="0" borderId="9" xfId="6" applyNumberFormat="1" applyFont="1" applyFill="1" applyBorder="1" applyAlignment="1">
      <alignment horizontal="center" vertical="center" wrapText="1"/>
    </xf>
    <xf numFmtId="4" fontId="7" fillId="0" borderId="7" xfId="6" applyNumberFormat="1" applyFont="1" applyFill="1" applyBorder="1" applyAlignment="1">
      <alignment horizontal="center" wrapText="1"/>
    </xf>
    <xf numFmtId="4" fontId="8" fillId="0" borderId="7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vertical="center" wrapText="1"/>
    </xf>
    <xf numFmtId="9" fontId="8" fillId="0" borderId="9" xfId="2" applyFont="1" applyFill="1" applyBorder="1" applyAlignment="1">
      <alignment horizontal="center" vertical="center" wrapText="1"/>
    </xf>
    <xf numFmtId="4" fontId="8" fillId="0" borderId="6" xfId="6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vertical="center" wrapText="1"/>
    </xf>
    <xf numFmtId="49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4" applyFont="1" applyFill="1" applyBorder="1" applyAlignment="1">
      <alignment horizontal="right" vertical="top" wrapText="1"/>
    </xf>
    <xf numFmtId="0" fontId="8" fillId="0" borderId="7" xfId="4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12" xfId="0" quotePrefix="1" applyFont="1" applyFill="1" applyBorder="1" applyAlignment="1">
      <alignment horizontal="right" vertical="center" wrapText="1"/>
    </xf>
    <xf numFmtId="4" fontId="8" fillId="0" borderId="21" xfId="4" applyNumberFormat="1" applyFont="1" applyFill="1" applyBorder="1" applyAlignment="1">
      <alignment horizontal="center" vertical="center" wrapText="1"/>
    </xf>
    <xf numFmtId="4" fontId="7" fillId="4" borderId="15" xfId="4" applyNumberFormat="1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/>
    </xf>
    <xf numFmtId="4" fontId="8" fillId="0" borderId="12" xfId="4" applyNumberFormat="1" applyFont="1" applyFill="1" applyBorder="1" applyAlignment="1">
      <alignment horizontal="left" vertical="center" wrapText="1"/>
    </xf>
    <xf numFmtId="0" fontId="8" fillId="0" borderId="7" xfId="4" applyFont="1" applyFill="1" applyBorder="1" applyAlignment="1">
      <alignment horizontal="left" vertical="center" wrapText="1"/>
    </xf>
    <xf numFmtId="0" fontId="7" fillId="0" borderId="7" xfId="4" applyFont="1" applyFill="1" applyBorder="1" applyAlignment="1">
      <alignment vertical="center" wrapText="1"/>
    </xf>
    <xf numFmtId="0" fontId="13" fillId="0" borderId="9" xfId="16" applyFont="1" applyFill="1" applyBorder="1" applyAlignment="1">
      <alignment horizontal="center" vertical="center"/>
    </xf>
    <xf numFmtId="2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173" fontId="8" fillId="0" borderId="7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24" xfId="4" applyFont="1" applyFill="1" applyBorder="1" applyAlignment="1">
      <alignment horizontal="right" vertical="top" wrapText="1"/>
    </xf>
    <xf numFmtId="9" fontId="8" fillId="0" borderId="6" xfId="2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right" vertical="center" wrapText="1"/>
    </xf>
    <xf numFmtId="0" fontId="8" fillId="0" borderId="7" xfId="0" quotePrefix="1" applyFont="1" applyFill="1" applyBorder="1" applyAlignment="1">
      <alignment horizontal="right" vertical="center" wrapText="1"/>
    </xf>
    <xf numFmtId="2" fontId="8" fillId="0" borderId="7" xfId="0" applyNumberFormat="1" applyFont="1" applyFill="1" applyBorder="1" applyAlignment="1">
      <alignment horizontal="right" vertical="center" wrapText="1"/>
    </xf>
    <xf numFmtId="0" fontId="8" fillId="0" borderId="2" xfId="0" quotePrefix="1" applyFont="1" applyFill="1" applyBorder="1" applyAlignment="1">
      <alignment horizontal="right" vertical="center" wrapText="1"/>
    </xf>
    <xf numFmtId="0" fontId="8" fillId="0" borderId="9" xfId="4" applyFont="1" applyFill="1" applyBorder="1" applyAlignment="1">
      <alignment horizontal="right" vertical="top" wrapText="1"/>
    </xf>
    <xf numFmtId="0" fontId="8" fillId="0" borderId="7" xfId="3" applyFont="1" applyFill="1" applyBorder="1" applyAlignment="1">
      <alignment vertical="center" wrapText="1"/>
    </xf>
    <xf numFmtId="4" fontId="8" fillId="0" borderId="7" xfId="3" applyNumberFormat="1" applyFont="1" applyFill="1" applyBorder="1" applyAlignment="1">
      <alignment horizontal="center" vertical="center"/>
    </xf>
    <xf numFmtId="4" fontId="8" fillId="0" borderId="2" xfId="3" applyNumberFormat="1" applyFont="1" applyFill="1" applyBorder="1" applyAlignment="1">
      <alignment horizontal="center" vertical="center"/>
    </xf>
    <xf numFmtId="0" fontId="8" fillId="0" borderId="7" xfId="3" quotePrefix="1" applyFont="1" applyFill="1" applyBorder="1" applyAlignment="1">
      <alignment horizontal="left" vertical="center" wrapText="1"/>
    </xf>
    <xf numFmtId="173" fontId="8" fillId="0" borderId="2" xfId="0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right" vertical="center" wrapText="1"/>
    </xf>
    <xf numFmtId="0" fontId="8" fillId="0" borderId="7" xfId="0" quotePrefix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right" vertical="top" wrapText="1"/>
    </xf>
    <xf numFmtId="0" fontId="8" fillId="0" borderId="9" xfId="0" applyFont="1" applyFill="1" applyBorder="1" applyAlignment="1">
      <alignment horizontal="right" vertical="center" wrapText="1"/>
    </xf>
    <xf numFmtId="4" fontId="8" fillId="0" borderId="7" xfId="3" applyNumberFormat="1" applyFont="1" applyFill="1" applyBorder="1" applyAlignment="1">
      <alignment horizontal="center" vertical="center" wrapText="1"/>
    </xf>
    <xf numFmtId="4" fontId="8" fillId="0" borderId="12" xfId="3" applyNumberFormat="1" applyFont="1" applyFill="1" applyBorder="1" applyAlignment="1">
      <alignment horizontal="center" vertical="center" wrapText="1"/>
    </xf>
    <xf numFmtId="49" fontId="13" fillId="0" borderId="9" xfId="12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2" xfId="8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7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4" applyNumberFormat="1" applyFont="1" applyFill="1" applyBorder="1" applyAlignment="1">
      <alignment horizontal="center" vertical="center" wrapText="1"/>
    </xf>
    <xf numFmtId="4" fontId="8" fillId="3" borderId="15" xfId="4" applyNumberFormat="1" applyFont="1" applyFill="1" applyBorder="1" applyAlignment="1">
      <alignment horizontal="center" vertical="center" wrapText="1"/>
    </xf>
    <xf numFmtId="4" fontId="8" fillId="4" borderId="15" xfId="4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Fill="1" applyBorder="1" applyAlignment="1">
      <alignment horizontal="center" vertical="center"/>
    </xf>
    <xf numFmtId="4" fontId="7" fillId="3" borderId="25" xfId="4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center" vertical="center"/>
    </xf>
    <xf numFmtId="49" fontId="8" fillId="0" borderId="6" xfId="0" quotePrefix="1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13" fillId="0" borderId="15" xfId="4" applyNumberFormat="1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right" vertical="top" wrapText="1"/>
    </xf>
    <xf numFmtId="0" fontId="8" fillId="0" borderId="15" xfId="4" applyFont="1" applyFill="1" applyBorder="1" applyAlignment="1">
      <alignment horizontal="center" vertical="center" wrapText="1"/>
    </xf>
    <xf numFmtId="167" fontId="8" fillId="0" borderId="15" xfId="4" applyNumberFormat="1" applyFont="1" applyFill="1" applyBorder="1" applyAlignment="1">
      <alignment horizontal="center" vertical="center" wrapText="1"/>
    </xf>
    <xf numFmtId="4" fontId="8" fillId="0" borderId="15" xfId="4" applyNumberFormat="1" applyFont="1" applyFill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center" wrapText="1"/>
    </xf>
    <xf numFmtId="0" fontId="8" fillId="0" borderId="9" xfId="3" quotePrefix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4" fontId="7" fillId="0" borderId="9" xfId="3" applyNumberFormat="1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 wrapText="1"/>
    </xf>
    <xf numFmtId="4" fontId="7" fillId="0" borderId="10" xfId="3" applyNumberFormat="1" applyFont="1" applyFill="1" applyBorder="1" applyAlignment="1">
      <alignment horizontal="center" vertical="center"/>
    </xf>
    <xf numFmtId="0" fontId="7" fillId="0" borderId="7" xfId="3" quotePrefix="1" applyFont="1" applyFill="1" applyBorder="1" applyAlignment="1">
      <alignment horizontal="left" vertical="center" wrapText="1"/>
    </xf>
    <xf numFmtId="0" fontId="7" fillId="0" borderId="12" xfId="3" quotePrefix="1" applyFont="1" applyFill="1" applyBorder="1" applyAlignment="1">
      <alignment horizontal="left" vertical="center" wrapText="1"/>
    </xf>
    <xf numFmtId="49" fontId="12" fillId="0" borderId="7" xfId="12" quotePrefix="1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/>
    </xf>
    <xf numFmtId="165" fontId="9" fillId="0" borderId="0" xfId="0" applyNumberFormat="1" applyFont="1"/>
    <xf numFmtId="4" fontId="14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0" fontId="8" fillId="0" borderId="0" xfId="0" applyFont="1" applyFill="1" applyBorder="1" applyAlignment="1">
      <alignment horizontal="left" vertical="center" wrapText="1"/>
    </xf>
    <xf numFmtId="49" fontId="12" fillId="0" borderId="9" xfId="4" applyNumberFormat="1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4" fontId="7" fillId="0" borderId="9" xfId="4" applyNumberFormat="1" applyFont="1" applyFill="1" applyBorder="1" applyAlignment="1">
      <alignment horizontal="center" vertical="center" wrapText="1"/>
    </xf>
    <xf numFmtId="4" fontId="7" fillId="0" borderId="10" xfId="4" applyNumberFormat="1" applyFont="1" applyFill="1" applyBorder="1" applyAlignment="1">
      <alignment horizontal="center" vertical="center" wrapText="1"/>
    </xf>
    <xf numFmtId="4" fontId="7" fillId="0" borderId="23" xfId="4" applyNumberFormat="1" applyFont="1" applyFill="1" applyBorder="1" applyAlignment="1">
      <alignment horizontal="center" vertical="center" wrapText="1"/>
    </xf>
    <xf numFmtId="49" fontId="12" fillId="0" borderId="7" xfId="4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49" fontId="13" fillId="0" borderId="9" xfId="0" quotePrefix="1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49" fontId="12" fillId="0" borderId="12" xfId="0" quotePrefix="1" applyNumberFormat="1" applyFont="1" applyFill="1" applyBorder="1" applyAlignment="1">
      <alignment horizontal="center" vertical="center" wrapText="1"/>
    </xf>
    <xf numFmtId="0" fontId="7" fillId="0" borderId="29" xfId="4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7" xfId="0" quotePrefix="1" applyNumberFormat="1" applyFont="1" applyFill="1" applyBorder="1" applyAlignment="1">
      <alignment horizontal="center" vertical="center" wrapText="1"/>
    </xf>
    <xf numFmtId="49" fontId="12" fillId="0" borderId="9" xfId="4" applyNumberFormat="1" applyFont="1" applyFill="1" applyBorder="1" applyAlignment="1">
      <alignment horizontal="center" vertical="center" wrapText="1"/>
    </xf>
    <xf numFmtId="49" fontId="12" fillId="0" borderId="7" xfId="4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4" fontId="7" fillId="0" borderId="23" xfId="4" applyNumberFormat="1" applyFont="1" applyFill="1" applyBorder="1" applyAlignment="1">
      <alignment horizontal="center" vertical="center" wrapText="1"/>
    </xf>
    <xf numFmtId="49" fontId="12" fillId="0" borderId="12" xfId="0" quotePrefix="1" applyNumberFormat="1" applyFont="1" applyFill="1" applyBorder="1" applyAlignment="1">
      <alignment horizontal="center" vertical="center" wrapText="1"/>
    </xf>
    <xf numFmtId="0" fontId="7" fillId="0" borderId="29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left" vertical="center" wrapText="1"/>
    </xf>
    <xf numFmtId="0" fontId="8" fillId="0" borderId="9" xfId="0" quotePrefix="1" applyFont="1" applyFill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0" fontId="31" fillId="0" borderId="0" xfId="0" applyFont="1"/>
    <xf numFmtId="1" fontId="31" fillId="0" borderId="0" xfId="0" applyNumberFormat="1" applyFont="1"/>
    <xf numFmtId="1" fontId="7" fillId="0" borderId="9" xfId="4" applyNumberFormat="1" applyFont="1" applyFill="1" applyBorder="1" applyAlignment="1">
      <alignment horizontal="center" vertical="center"/>
    </xf>
    <xf numFmtId="4" fontId="8" fillId="0" borderId="9" xfId="4" applyNumberFormat="1" applyFont="1" applyFill="1" applyBorder="1" applyAlignment="1">
      <alignment horizontal="center" vertical="center"/>
    </xf>
    <xf numFmtId="173" fontId="7" fillId="0" borderId="12" xfId="4" applyNumberFormat="1" applyFont="1" applyFill="1" applyBorder="1" applyAlignment="1">
      <alignment horizontal="center" vertical="center"/>
    </xf>
    <xf numFmtId="1" fontId="7" fillId="0" borderId="6" xfId="4" applyNumberFormat="1" applyFont="1" applyFill="1" applyBorder="1" applyAlignment="1">
      <alignment horizontal="center" vertical="center"/>
    </xf>
    <xf numFmtId="4" fontId="8" fillId="0" borderId="6" xfId="4" applyNumberFormat="1" applyFont="1" applyFill="1" applyBorder="1" applyAlignment="1">
      <alignment horizontal="center" vertical="center"/>
    </xf>
    <xf numFmtId="172" fontId="7" fillId="0" borderId="2" xfId="4" applyNumberFormat="1" applyFont="1" applyFill="1" applyBorder="1" applyAlignment="1">
      <alignment horizontal="center" vertical="center"/>
    </xf>
    <xf numFmtId="4" fontId="12" fillId="0" borderId="9" xfId="4" applyNumberFormat="1" applyFont="1" applyFill="1" applyBorder="1" applyAlignment="1">
      <alignment horizontal="center" vertical="center" wrapText="1"/>
    </xf>
    <xf numFmtId="167" fontId="6" fillId="0" borderId="7" xfId="4" applyNumberFormat="1" applyFont="1" applyFill="1" applyBorder="1" applyAlignment="1">
      <alignment horizontal="center" vertical="center" wrapText="1"/>
    </xf>
    <xf numFmtId="167" fontId="7" fillId="0" borderId="6" xfId="0" applyNumberFormat="1" applyFont="1" applyFill="1" applyBorder="1" applyAlignment="1">
      <alignment horizontal="center" vertical="center" wrapText="1"/>
    </xf>
    <xf numFmtId="167" fontId="7" fillId="0" borderId="9" xfId="6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31" fillId="0" borderId="0" xfId="0" applyFont="1" applyFill="1"/>
    <xf numFmtId="173" fontId="7" fillId="0" borderId="7" xfId="6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174" fontId="7" fillId="0" borderId="7" xfId="4" applyNumberFormat="1" applyFont="1" applyFill="1" applyBorder="1" applyAlignment="1">
      <alignment horizontal="center" vertical="center"/>
    </xf>
    <xf numFmtId="180" fontId="29" fillId="0" borderId="0" xfId="1" applyNumberFormat="1" applyFont="1" applyFill="1"/>
    <xf numFmtId="2" fontId="7" fillId="0" borderId="9" xfId="0" applyNumberFormat="1" applyFont="1" applyFill="1" applyBorder="1" applyAlignment="1">
      <alignment horizontal="center" vertical="center"/>
    </xf>
    <xf numFmtId="172" fontId="7" fillId="0" borderId="7" xfId="0" applyNumberFormat="1" applyFont="1" applyFill="1" applyBorder="1" applyAlignment="1">
      <alignment horizontal="center" vertical="center"/>
    </xf>
    <xf numFmtId="172" fontId="7" fillId="0" borderId="7" xfId="5" applyNumberFormat="1" applyFont="1" applyFill="1" applyBorder="1" applyAlignment="1">
      <alignment horizontal="center" vertical="center"/>
    </xf>
    <xf numFmtId="174" fontId="7" fillId="0" borderId="1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/>
    <xf numFmtId="0" fontId="7" fillId="0" borderId="2" xfId="0" applyFont="1" applyFill="1" applyBorder="1"/>
    <xf numFmtId="172" fontId="7" fillId="0" borderId="2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quotePrefix="1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left" vertical="center" wrapText="1"/>
    </xf>
    <xf numFmtId="0" fontId="24" fillId="0" borderId="9" xfId="9" applyFont="1" applyFill="1" applyBorder="1" applyAlignment="1">
      <alignment horizontal="center" vertical="center"/>
    </xf>
    <xf numFmtId="4" fontId="25" fillId="0" borderId="9" xfId="9" applyNumberFormat="1" applyFont="1" applyFill="1" applyBorder="1" applyAlignment="1">
      <alignment horizontal="center" vertical="center"/>
    </xf>
    <xf numFmtId="174" fontId="24" fillId="0" borderId="7" xfId="0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/>
    </xf>
    <xf numFmtId="173" fontId="24" fillId="0" borderId="7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vertical="center" wrapText="1"/>
    </xf>
    <xf numFmtId="173" fontId="29" fillId="0" borderId="0" xfId="0" applyNumberFormat="1" applyFont="1" applyFill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172" fontId="7" fillId="0" borderId="9" xfId="16" applyNumberFormat="1" applyFont="1" applyFill="1" applyBorder="1" applyAlignment="1">
      <alignment horizontal="center" vertical="center"/>
    </xf>
    <xf numFmtId="167" fontId="8" fillId="0" borderId="9" xfId="16" applyNumberFormat="1" applyFont="1" applyFill="1" applyBorder="1" applyAlignment="1">
      <alignment horizontal="center" vertical="center"/>
    </xf>
    <xf numFmtId="0" fontId="7" fillId="0" borderId="9" xfId="9" applyFont="1" applyFill="1" applyBorder="1" applyAlignment="1">
      <alignment horizontal="center" vertical="center"/>
    </xf>
    <xf numFmtId="4" fontId="8" fillId="0" borderId="9" xfId="9" applyNumberFormat="1" applyFont="1" applyFill="1" applyBorder="1" applyAlignment="1">
      <alignment horizontal="center" vertical="center"/>
    </xf>
    <xf numFmtId="173" fontId="24" fillId="0" borderId="12" xfId="0" applyNumberFormat="1" applyFont="1" applyFill="1" applyBorder="1" applyAlignment="1">
      <alignment horizontal="center" vertical="center"/>
    </xf>
    <xf numFmtId="0" fontId="32" fillId="0" borderId="0" xfId="0" applyFont="1"/>
    <xf numFmtId="0" fontId="31" fillId="0" borderId="0" xfId="0" applyFont="1" applyFill="1" applyAlignment="1">
      <alignment horizontal="center" vertical="center"/>
    </xf>
    <xf numFmtId="49" fontId="33" fillId="0" borderId="0" xfId="0" applyNumberFormat="1" applyFont="1" applyFill="1"/>
    <xf numFmtId="4" fontId="31" fillId="0" borderId="0" xfId="0" applyNumberFormat="1" applyFont="1" applyFill="1"/>
    <xf numFmtId="4" fontId="31" fillId="0" borderId="0" xfId="0" applyNumberFormat="1" applyFont="1" applyFill="1" applyAlignment="1">
      <alignment horizontal="center" vertical="center"/>
    </xf>
    <xf numFmtId="49" fontId="33" fillId="0" borderId="0" xfId="0" applyNumberFormat="1" applyFont="1"/>
    <xf numFmtId="0" fontId="34" fillId="0" borderId="0" xfId="0" applyFont="1"/>
    <xf numFmtId="4" fontId="31" fillId="0" borderId="0" xfId="0" applyNumberFormat="1" applyFont="1"/>
    <xf numFmtId="1" fontId="31" fillId="0" borderId="0" xfId="0" applyNumberFormat="1" applyFont="1" applyFill="1"/>
    <xf numFmtId="173" fontId="29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/>
    <xf numFmtId="0" fontId="7" fillId="0" borderId="0" xfId="0" applyFont="1" applyFill="1" applyAlignment="1">
      <alignment horizontal="center" vertical="center"/>
    </xf>
    <xf numFmtId="49" fontId="13" fillId="0" borderId="6" xfId="0" quotePrefix="1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49" fontId="12" fillId="0" borderId="0" xfId="0" applyNumberFormat="1" applyFont="1" applyFill="1" applyBorder="1"/>
    <xf numFmtId="0" fontId="7" fillId="0" borderId="0" xfId="0" applyFont="1" applyFill="1" applyBorder="1"/>
    <xf numFmtId="173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4" fontId="7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49" fontId="33" fillId="0" borderId="0" xfId="0" applyNumberFormat="1" applyFont="1" applyFill="1" applyBorder="1"/>
    <xf numFmtId="4" fontId="3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49" fontId="13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167" fontId="7" fillId="0" borderId="6" xfId="6" applyNumberFormat="1" applyFont="1" applyFill="1" applyBorder="1" applyAlignment="1">
      <alignment horizontal="center" vertical="center" wrapText="1"/>
    </xf>
    <xf numFmtId="181" fontId="29" fillId="0" borderId="0" xfId="1" applyNumberFormat="1" applyFont="1" applyFill="1"/>
    <xf numFmtId="0" fontId="8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" fontId="32" fillId="0" borderId="0" xfId="0" applyNumberFormat="1" applyFont="1"/>
    <xf numFmtId="0" fontId="34" fillId="0" borderId="0" xfId="0" applyFont="1" applyFill="1"/>
    <xf numFmtId="167" fontId="7" fillId="0" borderId="7" xfId="0" applyNumberFormat="1" applyFont="1" applyFill="1" applyBorder="1" applyAlignment="1" applyProtection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center" vertical="center" wrapText="1"/>
    </xf>
    <xf numFmtId="49" fontId="13" fillId="0" borderId="6" xfId="4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2" fontId="7" fillId="4" borderId="18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1" fontId="34" fillId="0" borderId="0" xfId="0" applyNumberFormat="1" applyFont="1" applyBorder="1"/>
    <xf numFmtId="1" fontId="34" fillId="0" borderId="0" xfId="0" applyNumberFormat="1" applyFont="1"/>
    <xf numFmtId="1" fontId="13" fillId="0" borderId="25" xfId="4" applyNumberFormat="1" applyFont="1" applyFill="1" applyBorder="1" applyAlignment="1">
      <alignment horizontal="center" vertical="center" wrapText="1"/>
    </xf>
    <xf numFmtId="0" fontId="35" fillId="0" borderId="0" xfId="0" applyFont="1"/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9" fontId="8" fillId="0" borderId="15" xfId="2" applyNumberFormat="1" applyFont="1" applyFill="1" applyBorder="1" applyAlignment="1">
      <alignment horizontal="center" vertical="center" wrapText="1"/>
    </xf>
    <xf numFmtId="49" fontId="12" fillId="0" borderId="7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49" fontId="12" fillId="0" borderId="7" xfId="3" quotePrefix="1" applyNumberFormat="1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2" fontId="12" fillId="0" borderId="7" xfId="3" applyNumberFormat="1" applyFont="1" applyFill="1" applyBorder="1" applyAlignment="1">
      <alignment horizontal="center" vertical="center"/>
    </xf>
    <xf numFmtId="49" fontId="12" fillId="0" borderId="12" xfId="3" applyNumberFormat="1" applyFont="1" applyFill="1" applyBorder="1" applyAlignment="1">
      <alignment horizontal="center" vertical="center"/>
    </xf>
    <xf numFmtId="49" fontId="12" fillId="0" borderId="9" xfId="3" applyNumberFormat="1" applyFont="1" applyFill="1" applyBorder="1" applyAlignment="1">
      <alignment horizontal="center" vertical="center"/>
    </xf>
    <xf numFmtId="0" fontId="7" fillId="0" borderId="9" xfId="3" applyFont="1" applyFill="1" applyBorder="1" applyAlignment="1">
      <alignment vertical="center" wrapText="1"/>
    </xf>
    <xf numFmtId="2" fontId="12" fillId="0" borderId="9" xfId="3" applyNumberFormat="1" applyFont="1" applyFill="1" applyBorder="1" applyAlignment="1">
      <alignment horizontal="center" vertical="center"/>
    </xf>
    <xf numFmtId="2" fontId="12" fillId="0" borderId="12" xfId="3" applyNumberFormat="1" applyFont="1" applyFill="1" applyBorder="1" applyAlignment="1">
      <alignment horizontal="center" vertical="center"/>
    </xf>
    <xf numFmtId="171" fontId="7" fillId="0" borderId="7" xfId="0" applyNumberFormat="1" applyFont="1" applyFill="1" applyBorder="1" applyAlignment="1">
      <alignment horizontal="center" vertical="center" wrapText="1"/>
    </xf>
    <xf numFmtId="170" fontId="7" fillId="0" borderId="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172" fontId="7" fillId="0" borderId="7" xfId="0" applyNumberFormat="1" applyFont="1" applyFill="1" applyBorder="1" applyAlignment="1">
      <alignment horizontal="center" wrapText="1"/>
    </xf>
    <xf numFmtId="0" fontId="7" fillId="0" borderId="0" xfId="0" applyFont="1"/>
    <xf numFmtId="177" fontId="8" fillId="0" borderId="9" xfId="0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/>
    <xf numFmtId="168" fontId="7" fillId="0" borderId="38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/>
    <xf numFmtId="0" fontId="7" fillId="0" borderId="39" xfId="0" applyFont="1" applyFill="1" applyBorder="1" applyAlignment="1">
      <alignment horizontal="center" vertical="center" wrapText="1"/>
    </xf>
    <xf numFmtId="168" fontId="7" fillId="0" borderId="4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/>
    <xf numFmtId="175" fontId="7" fillId="0" borderId="1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top"/>
    </xf>
    <xf numFmtId="49" fontId="12" fillId="0" borderId="6" xfId="0" applyNumberFormat="1" applyFont="1" applyFill="1" applyBorder="1"/>
    <xf numFmtId="4" fontId="7" fillId="0" borderId="41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/>
    </xf>
    <xf numFmtId="168" fontId="8" fillId="0" borderId="38" xfId="0" applyNumberFormat="1" applyFont="1" applyFill="1" applyBorder="1" applyAlignment="1">
      <alignment horizontal="center" vertical="center" wrapText="1"/>
    </xf>
    <xf numFmtId="49" fontId="12" fillId="0" borderId="7" xfId="0" quotePrefix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" fontId="8" fillId="0" borderId="9" xfId="0" applyNumberFormat="1" applyFont="1" applyFill="1" applyBorder="1"/>
    <xf numFmtId="49" fontId="6" fillId="0" borderId="3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" xfId="0" applyNumberFormat="1" applyFont="1" applyFill="1" applyBorder="1"/>
    <xf numFmtId="4" fontId="7" fillId="0" borderId="10" xfId="0" applyNumberFormat="1" applyFont="1" applyFill="1" applyBorder="1"/>
    <xf numFmtId="4" fontId="7" fillId="0" borderId="2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7" fillId="0" borderId="6" xfId="0" applyNumberFormat="1" applyFont="1" applyFill="1" applyBorder="1"/>
    <xf numFmtId="2" fontId="7" fillId="0" borderId="25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0" fontId="7" fillId="0" borderId="14" xfId="0" applyFont="1" applyFill="1" applyBorder="1"/>
    <xf numFmtId="0" fontId="7" fillId="0" borderId="15" xfId="0" applyFont="1" applyFill="1" applyBorder="1"/>
    <xf numFmtId="4" fontId="7" fillId="0" borderId="15" xfId="0" applyNumberFormat="1" applyFont="1" applyFill="1" applyBorder="1"/>
    <xf numFmtId="4" fontId="7" fillId="0" borderId="16" xfId="0" applyNumberFormat="1" applyFont="1" applyFill="1" applyBorder="1"/>
    <xf numFmtId="49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/>
    <xf numFmtId="49" fontId="8" fillId="0" borderId="6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/>
    <xf numFmtId="4" fontId="7" fillId="0" borderId="7" xfId="0" applyNumberFormat="1" applyFont="1" applyFill="1" applyBorder="1"/>
    <xf numFmtId="2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/>
    <xf numFmtId="0" fontId="8" fillId="4" borderId="15" xfId="0" applyFont="1" applyFill="1" applyBorder="1" applyAlignment="1">
      <alignment horizontal="center" vertical="center" wrapText="1"/>
    </xf>
    <xf numFmtId="49" fontId="12" fillId="0" borderId="6" xfId="6" applyNumberFormat="1" applyFont="1" applyFill="1" applyBorder="1" applyAlignment="1">
      <alignment horizontal="center" vertical="center" wrapText="1"/>
    </xf>
    <xf numFmtId="0" fontId="8" fillId="0" borderId="6" xfId="6" applyNumberFormat="1" applyFont="1" applyFill="1" applyBorder="1" applyAlignment="1">
      <alignment horizontal="center" vertical="center" wrapText="1"/>
    </xf>
    <xf numFmtId="49" fontId="12" fillId="0" borderId="7" xfId="6" applyNumberFormat="1" applyFont="1" applyFill="1" applyBorder="1" applyAlignment="1">
      <alignment horizontal="center" vertical="center" wrapText="1"/>
    </xf>
    <xf numFmtId="2" fontId="7" fillId="0" borderId="7" xfId="6" applyNumberFormat="1" applyFont="1" applyFill="1" applyBorder="1" applyAlignment="1">
      <alignment horizontal="center" vertical="center" wrapText="1"/>
    </xf>
    <xf numFmtId="49" fontId="12" fillId="0" borderId="2" xfId="6" applyNumberFormat="1" applyFont="1" applyFill="1" applyBorder="1" applyAlignment="1">
      <alignment horizontal="center" vertical="center" wrapText="1"/>
    </xf>
    <xf numFmtId="0" fontId="7" fillId="0" borderId="2" xfId="6" applyNumberFormat="1" applyFont="1" applyFill="1" applyBorder="1" applyAlignment="1">
      <alignment horizontal="left" vertical="center" wrapText="1"/>
    </xf>
    <xf numFmtId="0" fontId="7" fillId="0" borderId="2" xfId="6" applyNumberFormat="1" applyFont="1" applyFill="1" applyBorder="1" applyAlignment="1">
      <alignment horizontal="center" vertical="center" wrapText="1"/>
    </xf>
    <xf numFmtId="0" fontId="8" fillId="0" borderId="25" xfId="0" quotePrefix="1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wrapText="1"/>
    </xf>
    <xf numFmtId="0" fontId="8" fillId="0" borderId="25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top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49" fontId="8" fillId="0" borderId="9" xfId="0" quotePrefix="1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Alignment="1">
      <alignment horizontal="center" vertical="center"/>
    </xf>
    <xf numFmtId="1" fontId="34" fillId="0" borderId="0" xfId="0" applyNumberFormat="1" applyFont="1" applyFill="1"/>
    <xf numFmtId="49" fontId="7" fillId="0" borderId="2" xfId="0" applyNumberFormat="1" applyFont="1" applyFill="1" applyBorder="1" applyAlignment="1">
      <alignment horizontal="left" vertical="center" wrapText="1"/>
    </xf>
    <xf numFmtId="0" fontId="13" fillId="0" borderId="9" xfId="0" quotePrefix="1" applyFont="1" applyFill="1" applyBorder="1" applyAlignment="1">
      <alignment horizontal="center" vertical="center" wrapText="1"/>
    </xf>
    <xf numFmtId="173" fontId="7" fillId="0" borderId="9" xfId="0" applyNumberFormat="1" applyFont="1" applyFill="1" applyBorder="1" applyAlignment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9" xfId="1" applyNumberFormat="1" applyFont="1" applyFill="1" applyBorder="1" applyAlignment="1" applyProtection="1">
      <alignment horizontal="center" vertical="center" wrapText="1"/>
    </xf>
    <xf numFmtId="2" fontId="7" fillId="0" borderId="10" xfId="1" applyNumberFormat="1" applyFont="1" applyFill="1" applyBorder="1" applyAlignment="1" applyProtection="1">
      <alignment horizontal="center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 applyProtection="1">
      <alignment horizontal="center" vertical="center" wrapText="1"/>
    </xf>
    <xf numFmtId="0" fontId="12" fillId="0" borderId="9" xfId="0" quotePrefix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1" fillId="0" borderId="0" xfId="0" applyFont="1" applyAlignment="1">
      <alignment wrapText="1"/>
    </xf>
    <xf numFmtId="4" fontId="31" fillId="0" borderId="0" xfId="0" applyNumberFormat="1" applyFont="1" applyAlignment="1">
      <alignment horizontal="center" vertical="center" wrapText="1"/>
    </xf>
    <xf numFmtId="1" fontId="31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49" fontId="12" fillId="0" borderId="2" xfId="0" applyNumberFormat="1" applyFont="1" applyFill="1" applyBorder="1" applyAlignment="1">
      <alignment wrapText="1"/>
    </xf>
    <xf numFmtId="49" fontId="33" fillId="0" borderId="0" xfId="0" applyNumberFormat="1" applyFont="1" applyAlignment="1">
      <alignment wrapText="1"/>
    </xf>
    <xf numFmtId="1" fontId="7" fillId="3" borderId="15" xfId="4" applyNumberFormat="1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/>
    </xf>
    <xf numFmtId="0" fontId="7" fillId="0" borderId="12" xfId="0" applyFont="1" applyFill="1" applyBorder="1"/>
    <xf numFmtId="172" fontId="7" fillId="0" borderId="12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 wrapText="1"/>
    </xf>
    <xf numFmtId="174" fontId="8" fillId="0" borderId="9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quotePrefix="1" applyFont="1" applyFill="1" applyBorder="1" applyAlignment="1">
      <alignment horizontal="left" vertical="center" wrapText="1"/>
    </xf>
    <xf numFmtId="49" fontId="8" fillId="0" borderId="7" xfId="0" quotePrefix="1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174" fontId="8" fillId="0" borderId="6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left" vertical="center" wrapText="1"/>
    </xf>
    <xf numFmtId="49" fontId="7" fillId="0" borderId="0" xfId="0" applyNumberFormat="1" applyFont="1"/>
    <xf numFmtId="49" fontId="7" fillId="0" borderId="7" xfId="0" quotePrefix="1" applyNumberFormat="1" applyFont="1" applyFill="1" applyBorder="1" applyAlignment="1">
      <alignment horizontal="center" vertical="center" wrapText="1"/>
    </xf>
    <xf numFmtId="4" fontId="31" fillId="0" borderId="7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/>
    <xf numFmtId="0" fontId="7" fillId="0" borderId="0" xfId="0" applyFont="1" applyFill="1"/>
    <xf numFmtId="0" fontId="7" fillId="0" borderId="6" xfId="6" applyNumberFormat="1" applyFont="1" applyFill="1" applyBorder="1" applyAlignment="1">
      <alignment horizontal="center" vertical="center" wrapText="1"/>
    </xf>
    <xf numFmtId="172" fontId="7" fillId="0" borderId="9" xfId="0" applyNumberFormat="1" applyFont="1" applyFill="1" applyBorder="1" applyAlignment="1">
      <alignment horizontal="center" vertical="center" wrapText="1"/>
    </xf>
    <xf numFmtId="4" fontId="7" fillId="0" borderId="7" xfId="13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top" wrapText="1"/>
    </xf>
    <xf numFmtId="0" fontId="31" fillId="0" borderId="0" xfId="0" applyFont="1" applyFill="1" applyAlignment="1">
      <alignment wrapText="1"/>
    </xf>
    <xf numFmtId="0" fontId="38" fillId="0" borderId="0" xfId="0" applyFont="1" applyFill="1" applyAlignment="1">
      <alignment horizontal="center" wrapText="1"/>
    </xf>
    <xf numFmtId="0" fontId="32" fillId="0" borderId="0" xfId="0" applyFont="1" applyFill="1" applyAlignment="1">
      <alignment wrapText="1"/>
    </xf>
    <xf numFmtId="49" fontId="33" fillId="0" borderId="0" xfId="0" applyNumberFormat="1" applyFont="1" applyFill="1" applyAlignment="1">
      <alignment wrapText="1"/>
    </xf>
    <xf numFmtId="4" fontId="31" fillId="0" borderId="0" xfId="0" applyNumberFormat="1" applyFont="1" applyFill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7" fillId="0" borderId="4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173" fontId="12" fillId="0" borderId="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7" fillId="0" borderId="12" xfId="0" quotePrefix="1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168" fontId="7" fillId="0" borderId="4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8" fillId="0" borderId="13" xfId="8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/>
    <xf numFmtId="49" fontId="13" fillId="0" borderId="9" xfId="3" applyNumberFormat="1" applyFont="1" applyFill="1" applyBorder="1" applyAlignment="1">
      <alignment horizontal="center" vertical="center"/>
    </xf>
    <xf numFmtId="49" fontId="13" fillId="0" borderId="9" xfId="3" quotePrefix="1" applyNumberFormat="1" applyFont="1" applyFill="1" applyBorder="1" applyAlignment="1">
      <alignment horizontal="center" vertical="center"/>
    </xf>
    <xf numFmtId="167" fontId="7" fillId="0" borderId="12" xfId="3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wrapText="1"/>
    </xf>
    <xf numFmtId="1" fontId="8" fillId="0" borderId="29" xfId="0" applyNumberFormat="1" applyFont="1" applyFill="1" applyBorder="1" applyAlignment="1">
      <alignment horizontal="center" vertical="center" wrapText="1"/>
    </xf>
    <xf numFmtId="0" fontId="36" fillId="0" borderId="29" xfId="0" applyFont="1" applyFill="1" applyBorder="1"/>
    <xf numFmtId="0" fontId="37" fillId="0" borderId="7" xfId="0" applyFont="1" applyFill="1" applyBorder="1"/>
    <xf numFmtId="0" fontId="8" fillId="0" borderId="7" xfId="0" applyFont="1" applyFill="1" applyBorder="1" applyAlignment="1">
      <alignment horizontal="right" vertical="center"/>
    </xf>
    <xf numFmtId="0" fontId="36" fillId="0" borderId="7" xfId="0" applyFont="1" applyFill="1" applyBorder="1"/>
    <xf numFmtId="4" fontId="8" fillId="0" borderId="21" xfId="0" applyNumberFormat="1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1" fontId="8" fillId="3" borderId="14" xfId="4" applyNumberFormat="1" applyFont="1" applyFill="1" applyBorder="1" applyAlignment="1">
      <alignment horizontal="center" vertical="center" wrapText="1"/>
    </xf>
    <xf numFmtId="0" fontId="7" fillId="0" borderId="27" xfId="4" applyFont="1" applyFill="1" applyBorder="1" applyAlignment="1">
      <alignment horizontal="center" vertical="center" wrapText="1"/>
    </xf>
    <xf numFmtId="0" fontId="8" fillId="0" borderId="29" xfId="4" applyFont="1" applyFill="1" applyBorder="1" applyAlignment="1">
      <alignment horizontal="center" vertical="center" wrapText="1"/>
    </xf>
    <xf numFmtId="4" fontId="8" fillId="0" borderId="16" xfId="4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6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horizontal="center"/>
    </xf>
    <xf numFmtId="0" fontId="7" fillId="0" borderId="7" xfId="13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12" fillId="0" borderId="7" xfId="0" quotePrefix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172" fontId="8" fillId="0" borderId="6" xfId="0" applyNumberFormat="1" applyFont="1" applyFill="1" applyBorder="1" applyAlignment="1">
      <alignment horizontal="center" vertical="center" wrapText="1"/>
    </xf>
    <xf numFmtId="4" fontId="7" fillId="0" borderId="6" xfId="13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 wrapText="1"/>
    </xf>
    <xf numFmtId="4" fontId="7" fillId="0" borderId="25" xfId="13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4" fontId="7" fillId="0" borderId="12" xfId="13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center" vertical="top" wrapText="1"/>
    </xf>
    <xf numFmtId="2" fontId="7" fillId="0" borderId="9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0" fontId="12" fillId="0" borderId="12" xfId="0" quotePrefix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6" xfId="0" quotePrefix="1" applyFont="1" applyFill="1" applyBorder="1" applyAlignment="1">
      <alignment horizontal="left" vertical="center" wrapText="1"/>
    </xf>
    <xf numFmtId="49" fontId="12" fillId="0" borderId="15" xfId="4" applyNumberFormat="1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167" fontId="7" fillId="0" borderId="15" xfId="4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Fill="1" applyAlignment="1">
      <alignment vertical="center" wrapText="1"/>
    </xf>
    <xf numFmtId="1" fontId="7" fillId="0" borderId="19" xfId="4" applyNumberFormat="1" applyFont="1" applyFill="1" applyBorder="1" applyAlignment="1">
      <alignment horizontal="center" vertical="center" wrapText="1"/>
    </xf>
    <xf numFmtId="1" fontId="7" fillId="3" borderId="19" xfId="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quotePrefix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9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0" xfId="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4" quotePrefix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7" fillId="0" borderId="0" xfId="4" quotePrefix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30" xfId="4" applyFont="1" applyFill="1" applyBorder="1" applyAlignment="1">
      <alignment horizontal="center" vertical="center" wrapText="1"/>
    </xf>
    <xf numFmtId="49" fontId="12" fillId="0" borderId="9" xfId="4" applyNumberFormat="1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167" fontId="7" fillId="0" borderId="9" xfId="4" applyNumberFormat="1" applyFont="1" applyFill="1" applyBorder="1" applyAlignment="1">
      <alignment horizontal="center" wrapText="1"/>
    </xf>
    <xf numFmtId="4" fontId="7" fillId="0" borderId="9" xfId="4" applyNumberFormat="1" applyFont="1" applyFill="1" applyBorder="1" applyAlignment="1">
      <alignment horizontal="center" vertical="center" wrapText="1"/>
    </xf>
    <xf numFmtId="4" fontId="7" fillId="0" borderId="10" xfId="4" applyNumberFormat="1" applyFont="1" applyFill="1" applyBorder="1" applyAlignment="1">
      <alignment horizontal="center" vertical="center" wrapText="1"/>
    </xf>
    <xf numFmtId="4" fontId="7" fillId="0" borderId="23" xfId="4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2" fillId="0" borderId="7" xfId="4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1" fontId="7" fillId="0" borderId="8" xfId="6" applyNumberFormat="1" applyFont="1" applyFill="1" applyBorder="1" applyAlignment="1">
      <alignment horizontal="center" vertical="center" wrapText="1"/>
    </xf>
    <xf numFmtId="1" fontId="7" fillId="0" borderId="29" xfId="6" applyNumberFormat="1" applyFont="1" applyFill="1" applyBorder="1" applyAlignment="1">
      <alignment horizontal="center" vertical="center" wrapText="1"/>
    </xf>
    <xf numFmtId="1" fontId="7" fillId="0" borderId="30" xfId="6" applyNumberFormat="1" applyFont="1" applyFill="1" applyBorder="1" applyAlignment="1">
      <alignment horizontal="center" vertical="center" wrapText="1"/>
    </xf>
    <xf numFmtId="49" fontId="13" fillId="0" borderId="9" xfId="0" quotePrefix="1" applyNumberFormat="1" applyFont="1" applyFill="1" applyBorder="1" applyAlignment="1">
      <alignment horizontal="center" vertical="center" wrapText="1"/>
    </xf>
    <xf numFmtId="49" fontId="13" fillId="0" borderId="7" xfId="0" quotePrefix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24" fillId="0" borderId="19" xfId="9" applyFont="1" applyFill="1" applyBorder="1" applyAlignment="1">
      <alignment horizontal="center" vertical="center"/>
    </xf>
    <xf numFmtId="0" fontId="24" fillId="0" borderId="17" xfId="9" applyFont="1" applyFill="1" applyBorder="1" applyAlignment="1">
      <alignment horizontal="center" vertical="center"/>
    </xf>
    <xf numFmtId="0" fontId="24" fillId="0" borderId="20" xfId="9" applyFont="1" applyFill="1" applyBorder="1" applyAlignment="1">
      <alignment horizontal="center" vertical="center"/>
    </xf>
    <xf numFmtId="0" fontId="24" fillId="0" borderId="19" xfId="16" applyFont="1" applyFill="1" applyBorder="1" applyAlignment="1">
      <alignment horizontal="center" vertical="center"/>
    </xf>
    <xf numFmtId="0" fontId="24" fillId="0" borderId="17" xfId="16" applyFont="1" applyFill="1" applyBorder="1" applyAlignment="1">
      <alignment horizontal="center" vertical="center"/>
    </xf>
    <xf numFmtId="0" fontId="24" fillId="0" borderId="8" xfId="16" applyFont="1" applyFill="1" applyBorder="1" applyAlignment="1">
      <alignment horizontal="center" vertical="center"/>
    </xf>
    <xf numFmtId="0" fontId="24" fillId="0" borderId="29" xfId="16" applyFont="1" applyFill="1" applyBorder="1" applyAlignment="1">
      <alignment horizontal="center" vertical="center"/>
    </xf>
    <xf numFmtId="0" fontId="24" fillId="0" borderId="11" xfId="16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13" fillId="0" borderId="6" xfId="0" quotePrefix="1" applyNumberFormat="1" applyFont="1" applyFill="1" applyBorder="1" applyAlignment="1">
      <alignment horizontal="center" vertical="center" wrapText="1"/>
    </xf>
    <xf numFmtId="1" fontId="7" fillId="0" borderId="27" xfId="6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11" xfId="6" applyNumberFormat="1" applyFont="1" applyFill="1" applyBorder="1" applyAlignment="1">
      <alignment horizontal="center" vertical="center" wrapText="1"/>
    </xf>
    <xf numFmtId="169" fontId="7" fillId="0" borderId="19" xfId="0" applyNumberFormat="1" applyFont="1" applyFill="1" applyBorder="1" applyAlignment="1">
      <alignment horizontal="center" vertical="center" wrapText="1"/>
    </xf>
    <xf numFmtId="169" fontId="7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169" fontId="6" fillId="0" borderId="17" xfId="0" applyNumberFormat="1" applyFont="1" applyFill="1" applyBorder="1" applyAlignment="1">
      <alignment horizontal="center" vertical="center" wrapText="1"/>
    </xf>
    <xf numFmtId="169" fontId="7" fillId="0" borderId="20" xfId="0" applyNumberFormat="1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center" vertical="center" wrapText="1"/>
    </xf>
    <xf numFmtId="0" fontId="6" fillId="0" borderId="20" xfId="4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7" fillId="0" borderId="19" xfId="12" applyFont="1" applyFill="1" applyBorder="1" applyAlignment="1">
      <alignment horizontal="center" vertical="center" wrapText="1"/>
    </xf>
    <xf numFmtId="0" fontId="7" fillId="0" borderId="17" xfId="12" applyFont="1" applyFill="1" applyBorder="1" applyAlignment="1">
      <alignment horizontal="center" vertical="center" wrapText="1"/>
    </xf>
    <xf numFmtId="0" fontId="7" fillId="0" borderId="20" xfId="12" applyFont="1" applyFill="1" applyBorder="1" applyAlignment="1">
      <alignment horizontal="center" vertical="center" wrapText="1"/>
    </xf>
    <xf numFmtId="49" fontId="13" fillId="0" borderId="12" xfId="0" quotePrefix="1" applyNumberFormat="1" applyFont="1" applyFill="1" applyBorder="1" applyAlignment="1">
      <alignment horizontal="center" vertical="center" wrapText="1"/>
    </xf>
    <xf numFmtId="49" fontId="12" fillId="0" borderId="6" xfId="0" quotePrefix="1" applyNumberFormat="1" applyFont="1" applyFill="1" applyBorder="1" applyAlignment="1">
      <alignment horizontal="center" vertical="center" wrapText="1"/>
    </xf>
    <xf numFmtId="49" fontId="12" fillId="0" borderId="12" xfId="0" quotePrefix="1" applyNumberFormat="1" applyFont="1" applyFill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horizontal="center" vertical="center" wrapText="1"/>
    </xf>
    <xf numFmtId="0" fontId="7" fillId="0" borderId="8" xfId="12" applyFont="1" applyFill="1" applyBorder="1" applyAlignment="1">
      <alignment horizontal="center" vertical="center" wrapText="1"/>
    </xf>
    <xf numFmtId="0" fontId="7" fillId="0" borderId="29" xfId="12" applyFont="1" applyFill="1" applyBorder="1" applyAlignment="1">
      <alignment horizontal="center" vertical="center" wrapText="1"/>
    </xf>
    <xf numFmtId="0" fontId="7" fillId="0" borderId="11" xfId="12" applyFont="1" applyFill="1" applyBorder="1" applyAlignment="1">
      <alignment horizontal="center" vertical="center" wrapText="1"/>
    </xf>
    <xf numFmtId="0" fontId="7" fillId="0" borderId="29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wrapText="1"/>
    </xf>
    <xf numFmtId="0" fontId="6" fillId="0" borderId="19" xfId="4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9" fontId="12" fillId="0" borderId="9" xfId="0" quotePrefix="1" applyNumberFormat="1" applyFont="1" applyFill="1" applyBorder="1" applyAlignment="1">
      <alignment horizontal="center" vertical="center" wrapText="1"/>
    </xf>
    <xf numFmtId="49" fontId="12" fillId="0" borderId="7" xfId="0" quotePrefix="1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</cellXfs>
  <cellStyles count="20">
    <cellStyle name="Comma" xfId="1" builtinId="3"/>
    <cellStyle name="Normal" xfId="0" builtinId="0"/>
    <cellStyle name="Normal 10" xfId="9"/>
    <cellStyle name="Normal 11 2 2" xfId="12"/>
    <cellStyle name="Normal 13" xfId="17"/>
    <cellStyle name="Normal 17" xfId="16"/>
    <cellStyle name="Normal 2" xfId="5"/>
    <cellStyle name="Normal 2 2 2" xfId="14"/>
    <cellStyle name="Normal 2 2 2 2" xfId="19"/>
    <cellStyle name="Normal 3" xfId="15"/>
    <cellStyle name="Normal 3 2" xfId="7"/>
    <cellStyle name="Normal 37" xfId="8"/>
    <cellStyle name="Normal 38 2" xfId="11"/>
    <cellStyle name="Normal_gare wyalsadfenigagarini 10" xfId="13"/>
    <cellStyle name="Output" xfId="3" builtinId="21"/>
    <cellStyle name="Percent" xfId="2" builtinId="5"/>
    <cellStyle name="Обычный 2 2" xfId="18"/>
    <cellStyle name="Обычный 3" xfId="6"/>
    <cellStyle name="Обычный 5 2" xfId="10"/>
    <cellStyle name="Обычный_Лист1" xfId="4"/>
  </cellStyles>
  <dxfs count="40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24</xdr:row>
      <xdr:rowOff>57150</xdr:rowOff>
    </xdr:from>
    <xdr:to>
      <xdr:col>2</xdr:col>
      <xdr:colOff>953660</xdr:colOff>
      <xdr:row>24</xdr:row>
      <xdr:rowOff>307108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7372350"/>
          <a:ext cx="201185" cy="249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2943225</xdr:colOff>
      <xdr:row>2</xdr:row>
      <xdr:rowOff>0</xdr:rowOff>
    </xdr:from>
    <xdr:to>
      <xdr:col>3</xdr:col>
      <xdr:colOff>134510</xdr:colOff>
      <xdr:row>3</xdr:row>
      <xdr:rowOff>59458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0" y="381000"/>
          <a:ext cx="201185" cy="249958"/>
        </a:xfrm>
        <a:prstGeom prst="rect">
          <a:avLst/>
        </a:prstGeom>
      </xdr:spPr>
    </xdr:pic>
    <xdr:clientData/>
  </xdr:twoCellAnchor>
  <xdr:twoCellAnchor>
    <xdr:from>
      <xdr:col>2</xdr:col>
      <xdr:colOff>127856</xdr:colOff>
      <xdr:row>37</xdr:row>
      <xdr:rowOff>35902</xdr:rowOff>
    </xdr:from>
    <xdr:to>
      <xdr:col>2</xdr:col>
      <xdr:colOff>307772</xdr:colOff>
      <xdr:row>37</xdr:row>
      <xdr:rowOff>268736</xdr:rowOff>
    </xdr:to>
    <xdr:sp macro="" textlink="">
      <xdr:nvSpPr>
        <xdr:cNvPr id="4" name="Сердце 3"/>
        <xdr:cNvSpPr/>
      </xdr:nvSpPr>
      <xdr:spPr>
        <a:xfrm>
          <a:off x="899381" y="8313127"/>
          <a:ext cx="179916" cy="232834"/>
        </a:xfrm>
        <a:prstGeom prst="hear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J43"/>
  <sheetViews>
    <sheetView view="pageBreakPreview" topLeftCell="A3" zoomScaleNormal="120" zoomScaleSheetLayoutView="100" workbookViewId="0">
      <selection activeCell="L12" sqref="L12"/>
    </sheetView>
  </sheetViews>
  <sheetFormatPr defaultRowHeight="12.75" x14ac:dyDescent="0.2"/>
  <cols>
    <col min="1" max="1" width="5.5703125" style="215" customWidth="1"/>
    <col min="2" max="2" width="12.5703125" style="1" customWidth="1"/>
    <col min="3" max="3" width="48.5703125" style="1" customWidth="1"/>
    <col min="4" max="4" width="13.140625" style="1" bestFit="1" customWidth="1"/>
    <col min="5" max="5" width="11.28515625" style="1" bestFit="1" customWidth="1"/>
    <col min="6" max="6" width="13.140625" style="1" customWidth="1"/>
    <col min="7" max="7" width="9.85546875" style="1" bestFit="1" customWidth="1"/>
    <col min="8" max="8" width="13" style="1" customWidth="1"/>
    <col min="9" max="9" width="11" style="1" bestFit="1" customWidth="1"/>
    <col min="10" max="10" width="18.42578125" style="216" customWidth="1"/>
    <col min="11" max="16384" width="9.140625" style="1"/>
  </cols>
  <sheetData>
    <row r="1" spans="1:8" ht="15" x14ac:dyDescent="0.2">
      <c r="A1" s="1083"/>
      <c r="B1" s="1083"/>
      <c r="C1" s="1084"/>
      <c r="D1" s="1084"/>
      <c r="E1" s="1084"/>
      <c r="F1" s="1084"/>
      <c r="G1" s="1084"/>
      <c r="H1" s="1084"/>
    </row>
    <row r="2" spans="1:8" ht="15" x14ac:dyDescent="0.2">
      <c r="A2" s="1083"/>
      <c r="B2" s="1083"/>
      <c r="C2" s="2"/>
      <c r="D2" s="3"/>
      <c r="E2" s="3"/>
      <c r="F2" s="3"/>
      <c r="G2" s="3"/>
      <c r="H2" s="3"/>
    </row>
    <row r="3" spans="1:8" ht="31.5" customHeight="1" x14ac:dyDescent="0.2">
      <c r="A3" s="557"/>
      <c r="B3" s="1085" t="s">
        <v>643</v>
      </c>
      <c r="C3" s="1085"/>
      <c r="D3" s="1085"/>
      <c r="E3" s="1085"/>
      <c r="F3" s="1085"/>
      <c r="G3" s="1085"/>
      <c r="H3" s="1085"/>
    </row>
    <row r="4" spans="1:8" ht="15" x14ac:dyDescent="0.2">
      <c r="A4" s="1075" t="s">
        <v>0</v>
      </c>
      <c r="B4" s="1075"/>
      <c r="C4" s="1075"/>
      <c r="D4" s="4">
        <f>H35</f>
        <v>0</v>
      </c>
      <c r="E4" s="5" t="s">
        <v>421</v>
      </c>
      <c r="F4" s="6"/>
      <c r="G4" s="6"/>
      <c r="H4" s="6"/>
    </row>
    <row r="5" spans="1:8" ht="15" x14ac:dyDescent="0.2">
      <c r="A5" s="1075" t="s">
        <v>1</v>
      </c>
      <c r="B5" s="1075"/>
      <c r="C5" s="1075"/>
      <c r="D5" s="4">
        <f>H34</f>
        <v>0</v>
      </c>
      <c r="E5" s="5" t="s">
        <v>421</v>
      </c>
      <c r="F5" s="6"/>
      <c r="G5" s="6"/>
      <c r="H5" s="6"/>
    </row>
    <row r="6" spans="1:8" ht="15" x14ac:dyDescent="0.2">
      <c r="A6" s="1073" t="s">
        <v>445</v>
      </c>
      <c r="B6" s="1073"/>
      <c r="C6" s="1073"/>
      <c r="D6" s="1073"/>
      <c r="E6" s="1073"/>
      <c r="F6" s="1073"/>
      <c r="G6" s="1073"/>
      <c r="H6" s="1073"/>
    </row>
    <row r="7" spans="1:8" ht="15" x14ac:dyDescent="0.2">
      <c r="A7" s="1074"/>
      <c r="B7" s="1075"/>
      <c r="C7" s="1075"/>
      <c r="D7" s="1075"/>
      <c r="E7" s="1075"/>
      <c r="F7" s="1075"/>
      <c r="G7" s="1075"/>
      <c r="H7" s="1075"/>
    </row>
    <row r="8" spans="1:8" ht="22.5" customHeight="1" x14ac:dyDescent="0.2">
      <c r="A8" s="1076" t="s">
        <v>2</v>
      </c>
      <c r="B8" s="1078" t="s">
        <v>3</v>
      </c>
      <c r="C8" s="1078" t="s">
        <v>4</v>
      </c>
      <c r="D8" s="1080" t="s">
        <v>5</v>
      </c>
      <c r="E8" s="1081"/>
      <c r="F8" s="1081"/>
      <c r="G8" s="1081"/>
      <c r="H8" s="1082"/>
    </row>
    <row r="9" spans="1:8" ht="60" x14ac:dyDescent="0.2">
      <c r="A9" s="1077"/>
      <c r="B9" s="1079"/>
      <c r="C9" s="1079"/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</row>
    <row r="10" spans="1:8" ht="15" x14ac:dyDescent="0.2">
      <c r="A10" s="558">
        <v>1</v>
      </c>
      <c r="B10" s="7"/>
      <c r="C10" s="8" t="s">
        <v>11</v>
      </c>
      <c r="D10" s="9"/>
      <c r="E10" s="9"/>
      <c r="F10" s="9"/>
      <c r="G10" s="9"/>
      <c r="H10" s="9"/>
    </row>
    <row r="11" spans="1:8" ht="15" x14ac:dyDescent="0.2">
      <c r="A11" s="559"/>
      <c r="B11" s="7"/>
      <c r="C11" s="8" t="s">
        <v>12</v>
      </c>
      <c r="D11" s="10"/>
      <c r="E11" s="10"/>
      <c r="F11" s="10"/>
      <c r="G11" s="10"/>
      <c r="H11" s="10"/>
    </row>
    <row r="12" spans="1:8" ht="15" x14ac:dyDescent="0.2">
      <c r="A12" s="559"/>
      <c r="B12" s="7"/>
      <c r="C12" s="7" t="s">
        <v>13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5" x14ac:dyDescent="0.2">
      <c r="A13" s="559"/>
      <c r="B13" s="7"/>
      <c r="C13" s="8" t="s">
        <v>14</v>
      </c>
      <c r="D13" s="9"/>
      <c r="E13" s="9"/>
      <c r="F13" s="9"/>
      <c r="G13" s="9"/>
      <c r="H13" s="9"/>
    </row>
    <row r="14" spans="1:8" ht="15" x14ac:dyDescent="0.2">
      <c r="A14" s="558">
        <v>2</v>
      </c>
      <c r="B14" s="7"/>
      <c r="C14" s="8" t="s">
        <v>15</v>
      </c>
      <c r="D14" s="9"/>
      <c r="E14" s="9"/>
      <c r="F14" s="9"/>
      <c r="G14" s="9"/>
      <c r="H14" s="9"/>
    </row>
    <row r="15" spans="1:8" ht="30" x14ac:dyDescent="0.2">
      <c r="A15" s="559" t="s">
        <v>35</v>
      </c>
      <c r="B15" s="7" t="s">
        <v>16</v>
      </c>
      <c r="C15" s="654" t="s">
        <v>616</v>
      </c>
      <c r="D15" s="669">
        <f>'გარე  საფეხ. და ველო-ბილიკებ'!M105</f>
        <v>0</v>
      </c>
      <c r="E15" s="24">
        <v>0</v>
      </c>
      <c r="F15" s="24">
        <v>0</v>
      </c>
      <c r="G15" s="24">
        <v>0</v>
      </c>
      <c r="H15" s="669">
        <f>D15+E15</f>
        <v>0</v>
      </c>
    </row>
    <row r="16" spans="1:8" ht="30" x14ac:dyDescent="0.2">
      <c r="A16" s="559" t="s">
        <v>36</v>
      </c>
      <c r="B16" s="7" t="s">
        <v>17</v>
      </c>
      <c r="C16" s="11" t="s">
        <v>627</v>
      </c>
      <c r="D16" s="669">
        <f>ავტოსადგომი!M58</f>
        <v>0</v>
      </c>
      <c r="E16" s="24">
        <v>0</v>
      </c>
      <c r="F16" s="24">
        <v>0</v>
      </c>
      <c r="G16" s="24">
        <v>0</v>
      </c>
      <c r="H16" s="669">
        <f>D16+E16</f>
        <v>0</v>
      </c>
    </row>
    <row r="17" spans="1:9" ht="30" x14ac:dyDescent="0.2">
      <c r="A17" s="559" t="s">
        <v>37</v>
      </c>
      <c r="B17" s="7" t="s">
        <v>18</v>
      </c>
      <c r="C17" s="654" t="s">
        <v>446</v>
      </c>
      <c r="D17" s="669">
        <f>'შიდა საფეხ. და ველო-ბილიკები'!M75</f>
        <v>0</v>
      </c>
      <c r="E17" s="10">
        <v>0</v>
      </c>
      <c r="F17" s="10">
        <v>0</v>
      </c>
      <c r="G17" s="10">
        <v>0</v>
      </c>
      <c r="H17" s="575">
        <f t="shared" ref="H17:H29" si="0">D17+E17</f>
        <v>0</v>
      </c>
    </row>
    <row r="18" spans="1:9" ht="30" x14ac:dyDescent="0.2">
      <c r="A18" s="559" t="s">
        <v>38</v>
      </c>
      <c r="B18" s="7" t="s">
        <v>19</v>
      </c>
      <c r="C18" s="11" t="s">
        <v>364</v>
      </c>
      <c r="D18" s="669">
        <f>'კედელი და მოაჯირი'!M141</f>
        <v>0</v>
      </c>
      <c r="E18" s="10">
        <v>0</v>
      </c>
      <c r="F18" s="10">
        <v>0</v>
      </c>
      <c r="G18" s="10">
        <v>0</v>
      </c>
      <c r="H18" s="575">
        <f t="shared" si="0"/>
        <v>0</v>
      </c>
    </row>
    <row r="19" spans="1:9" ht="30" x14ac:dyDescent="0.2">
      <c r="A19" s="559" t="s">
        <v>39</v>
      </c>
      <c r="B19" s="7" t="s">
        <v>20</v>
      </c>
      <c r="C19" s="654" t="s">
        <v>634</v>
      </c>
      <c r="D19" s="669">
        <f>'N1 შადრევნის მოედანი '!M50</f>
        <v>0</v>
      </c>
      <c r="E19" s="10">
        <v>0</v>
      </c>
      <c r="F19" s="10">
        <v>0</v>
      </c>
      <c r="G19" s="10">
        <v>0</v>
      </c>
      <c r="H19" s="575">
        <f>D19+E19</f>
        <v>0</v>
      </c>
    </row>
    <row r="20" spans="1:9" ht="30" x14ac:dyDescent="0.2">
      <c r="A20" s="559" t="s">
        <v>40</v>
      </c>
      <c r="B20" s="7" t="s">
        <v>21</v>
      </c>
      <c r="C20" s="11" t="s">
        <v>447</v>
      </c>
      <c r="D20" s="669">
        <f>'შადრევანი N1'!M111</f>
        <v>0</v>
      </c>
      <c r="E20" s="10">
        <v>0</v>
      </c>
      <c r="F20" s="10">
        <v>0</v>
      </c>
      <c r="G20" s="10">
        <v>0</v>
      </c>
      <c r="H20" s="575">
        <f t="shared" si="0"/>
        <v>0</v>
      </c>
    </row>
    <row r="21" spans="1:9" ht="30" x14ac:dyDescent="0.2">
      <c r="A21" s="559" t="s">
        <v>41</v>
      </c>
      <c r="B21" s="7" t="s">
        <v>27</v>
      </c>
      <c r="C21" s="654" t="s">
        <v>635</v>
      </c>
      <c r="D21" s="669">
        <f>'N2 შადრევნის მოედანი'!M50</f>
        <v>0</v>
      </c>
      <c r="E21" s="10">
        <v>0</v>
      </c>
      <c r="F21" s="10">
        <v>0</v>
      </c>
      <c r="G21" s="10">
        <v>0</v>
      </c>
      <c r="H21" s="575">
        <f t="shared" si="0"/>
        <v>0</v>
      </c>
    </row>
    <row r="22" spans="1:9" ht="30" x14ac:dyDescent="0.2">
      <c r="A22" s="559" t="s">
        <v>657</v>
      </c>
      <c r="B22" s="7" t="s">
        <v>658</v>
      </c>
      <c r="C22" s="11" t="s">
        <v>368</v>
      </c>
      <c r="D22" s="669">
        <f>'გარე განათება'!M65</f>
        <v>0</v>
      </c>
      <c r="E22" s="575">
        <f>'გარე განათება'!M94</f>
        <v>0</v>
      </c>
      <c r="F22" s="10">
        <v>0</v>
      </c>
      <c r="G22" s="10">
        <v>0</v>
      </c>
      <c r="H22" s="575">
        <f t="shared" si="0"/>
        <v>0</v>
      </c>
    </row>
    <row r="23" spans="1:9" ht="30" x14ac:dyDescent="0.2">
      <c r="A23" s="559" t="s">
        <v>42</v>
      </c>
      <c r="B23" s="7" t="s">
        <v>28</v>
      </c>
      <c r="C23" s="11" t="s">
        <v>369</v>
      </c>
      <c r="D23" s="669">
        <f>H23-F23</f>
        <v>0</v>
      </c>
      <c r="E23" s="10">
        <v>0</v>
      </c>
      <c r="F23" s="668">
        <f>ტრენაჟორები!H116</f>
        <v>0</v>
      </c>
      <c r="G23" s="10">
        <v>0</v>
      </c>
      <c r="H23" s="575">
        <f>ტრენაჟორები!M123</f>
        <v>0</v>
      </c>
    </row>
    <row r="24" spans="1:9" ht="30" x14ac:dyDescent="0.2">
      <c r="A24" s="559" t="s">
        <v>43</v>
      </c>
      <c r="B24" s="7" t="s">
        <v>29</v>
      </c>
      <c r="C24" s="11" t="s">
        <v>448</v>
      </c>
      <c r="D24" s="669">
        <f>H24-F24</f>
        <v>0</v>
      </c>
      <c r="E24" s="10">
        <v>0</v>
      </c>
      <c r="F24" s="575">
        <f>'საბავშვო ატრაქციონები'!M33</f>
        <v>0</v>
      </c>
      <c r="G24" s="10">
        <v>0</v>
      </c>
      <c r="H24" s="575">
        <f>'საბავშვო ატრაქციონები'!M39</f>
        <v>0</v>
      </c>
    </row>
    <row r="25" spans="1:9" ht="30" x14ac:dyDescent="0.2">
      <c r="A25" s="559" t="s">
        <v>44</v>
      </c>
      <c r="B25" s="7" t="s">
        <v>30</v>
      </c>
      <c r="C25" s="11" t="s">
        <v>370</v>
      </c>
      <c r="D25" s="669">
        <f>ბანერი!M53</f>
        <v>0</v>
      </c>
      <c r="E25" s="10">
        <v>0</v>
      </c>
      <c r="F25" s="10">
        <v>0</v>
      </c>
      <c r="G25" s="10">
        <v>0</v>
      </c>
      <c r="H25" s="575">
        <f t="shared" si="0"/>
        <v>0</v>
      </c>
    </row>
    <row r="26" spans="1:9" ht="30" x14ac:dyDescent="0.2">
      <c r="A26" s="559" t="s">
        <v>45</v>
      </c>
      <c r="B26" s="7" t="s">
        <v>31</v>
      </c>
      <c r="C26" s="11" t="s">
        <v>442</v>
      </c>
      <c r="D26" s="669">
        <f>გამწვანება!M76</f>
        <v>0</v>
      </c>
      <c r="E26" s="10">
        <v>0</v>
      </c>
      <c r="F26" s="10">
        <v>0</v>
      </c>
      <c r="G26" s="10">
        <v>0</v>
      </c>
      <c r="H26" s="575">
        <f t="shared" si="0"/>
        <v>0</v>
      </c>
    </row>
    <row r="27" spans="1:9" ht="30" x14ac:dyDescent="0.2">
      <c r="A27" s="559" t="s">
        <v>46</v>
      </c>
      <c r="B27" s="7" t="s">
        <v>32</v>
      </c>
      <c r="C27" s="11" t="s">
        <v>449</v>
      </c>
      <c r="D27" s="669">
        <f>'კიბეები და საფეხ.ბილიკები'!M83</f>
        <v>0</v>
      </c>
      <c r="E27" s="10">
        <v>0</v>
      </c>
      <c r="F27" s="10">
        <v>0</v>
      </c>
      <c r="G27" s="10">
        <v>0</v>
      </c>
      <c r="H27" s="575">
        <f>D27+E27</f>
        <v>0</v>
      </c>
    </row>
    <row r="28" spans="1:9" ht="30" x14ac:dyDescent="0.2">
      <c r="A28" s="559" t="s">
        <v>47</v>
      </c>
      <c r="B28" s="7" t="s">
        <v>33</v>
      </c>
      <c r="C28" s="11" t="s">
        <v>639</v>
      </c>
      <c r="D28" s="669">
        <f>H28-F28</f>
        <v>0</v>
      </c>
      <c r="E28" s="10">
        <v>0</v>
      </c>
      <c r="F28" s="575">
        <f>'სათამაშო მოედნები'!M161</f>
        <v>0</v>
      </c>
      <c r="G28" s="10">
        <v>0</v>
      </c>
      <c r="H28" s="575">
        <f>'სათამაშო მოედნები'!M167</f>
        <v>0</v>
      </c>
    </row>
    <row r="29" spans="1:9" ht="30" x14ac:dyDescent="0.2">
      <c r="A29" s="559" t="s">
        <v>48</v>
      </c>
      <c r="B29" s="7" t="s">
        <v>34</v>
      </c>
      <c r="C29" s="11" t="s">
        <v>450</v>
      </c>
      <c r="D29" s="575">
        <f>წყარო!M53</f>
        <v>0</v>
      </c>
      <c r="E29" s="10">
        <v>0</v>
      </c>
      <c r="F29" s="10">
        <v>0</v>
      </c>
      <c r="G29" s="10">
        <v>0</v>
      </c>
      <c r="H29" s="575">
        <f t="shared" si="0"/>
        <v>0</v>
      </c>
    </row>
    <row r="30" spans="1:9" ht="30" x14ac:dyDescent="0.2">
      <c r="A30" s="559" t="s">
        <v>642</v>
      </c>
      <c r="B30" s="7" t="s">
        <v>641</v>
      </c>
      <c r="C30" s="11" t="s">
        <v>451</v>
      </c>
      <c r="D30" s="575">
        <f>H30-F30</f>
        <v>0</v>
      </c>
      <c r="E30" s="10">
        <v>0</v>
      </c>
      <c r="F30" s="575">
        <f>'დასასვენებელი სკამები'!M123</f>
        <v>0</v>
      </c>
      <c r="G30" s="10">
        <v>0</v>
      </c>
      <c r="H30" s="575">
        <f>'დასასვენებელი სკამები'!M129</f>
        <v>0</v>
      </c>
    </row>
    <row r="31" spans="1:9" ht="15" x14ac:dyDescent="0.2">
      <c r="A31" s="559"/>
      <c r="B31" s="7"/>
      <c r="C31" s="574" t="s">
        <v>22</v>
      </c>
      <c r="D31" s="575">
        <f>SUM(D10:D30)</f>
        <v>0</v>
      </c>
      <c r="E31" s="575">
        <f>SUM(E10:E30)</f>
        <v>0</v>
      </c>
      <c r="F31" s="575">
        <f>SUM(F10:F30)</f>
        <v>0</v>
      </c>
      <c r="G31" s="575">
        <f>SUM(G10:G30)</f>
        <v>0</v>
      </c>
      <c r="H31" s="575">
        <f>SUM(H10:H30)</f>
        <v>0</v>
      </c>
      <c r="I31" s="670"/>
    </row>
    <row r="32" spans="1:9" ht="15" x14ac:dyDescent="0.2">
      <c r="A32" s="559"/>
      <c r="B32" s="7"/>
      <c r="C32" s="11" t="s">
        <v>334</v>
      </c>
      <c r="D32" s="10">
        <f>D31*0.03</f>
        <v>0</v>
      </c>
      <c r="E32" s="10">
        <f>E31*0.03</f>
        <v>0</v>
      </c>
      <c r="F32" s="10">
        <f>F31*0.03</f>
        <v>0</v>
      </c>
      <c r="G32" s="10">
        <f>G31*0.03</f>
        <v>0</v>
      </c>
      <c r="H32" s="10">
        <f>H31*0.03</f>
        <v>0</v>
      </c>
    </row>
    <row r="33" spans="1:10" ht="15" x14ac:dyDescent="0.2">
      <c r="A33" s="559"/>
      <c r="B33" s="7"/>
      <c r="C33" s="574" t="s">
        <v>24</v>
      </c>
      <c r="D33" s="575">
        <f>D31+D32</f>
        <v>0</v>
      </c>
      <c r="E33" s="575">
        <f>E31+E32</f>
        <v>0</v>
      </c>
      <c r="F33" s="575">
        <f>F31+F32</f>
        <v>0</v>
      </c>
      <c r="G33" s="575">
        <f>G31+G32</f>
        <v>0</v>
      </c>
      <c r="H33" s="575">
        <f>H31+H32</f>
        <v>0</v>
      </c>
    </row>
    <row r="34" spans="1:10" ht="15" x14ac:dyDescent="0.2">
      <c r="A34" s="559"/>
      <c r="B34" s="7"/>
      <c r="C34" s="11" t="s">
        <v>25</v>
      </c>
      <c r="D34" s="10">
        <f>D33*0.18</f>
        <v>0</v>
      </c>
      <c r="E34" s="10">
        <f>E33*0.18</f>
        <v>0</v>
      </c>
      <c r="F34" s="10">
        <f>F33*0.18</f>
        <v>0</v>
      </c>
      <c r="G34" s="10">
        <f>G33*0.18</f>
        <v>0</v>
      </c>
      <c r="H34" s="10">
        <f>H33*0.18</f>
        <v>0</v>
      </c>
    </row>
    <row r="35" spans="1:10" ht="30" x14ac:dyDescent="0.2">
      <c r="A35" s="559"/>
      <c r="B35" s="7"/>
      <c r="C35" s="574" t="s">
        <v>26</v>
      </c>
      <c r="D35" s="10">
        <f>D34+D33</f>
        <v>0</v>
      </c>
      <c r="E35" s="10">
        <f>E34+E33</f>
        <v>0</v>
      </c>
      <c r="F35" s="10">
        <f>F34+F33</f>
        <v>0</v>
      </c>
      <c r="G35" s="10">
        <f>G34+G33</f>
        <v>0</v>
      </c>
      <c r="H35" s="575">
        <f>H34+H33</f>
        <v>0</v>
      </c>
      <c r="I35" s="670"/>
    </row>
    <row r="36" spans="1:10" x14ac:dyDescent="0.2">
      <c r="I36" s="667"/>
    </row>
    <row r="37" spans="1:10" x14ac:dyDescent="0.2">
      <c r="G37" s="346"/>
    </row>
    <row r="38" spans="1:10" x14ac:dyDescent="0.2">
      <c r="H38" s="214"/>
    </row>
    <row r="39" spans="1:10" x14ac:dyDescent="0.2">
      <c r="H39" s="701"/>
      <c r="J39" s="347"/>
    </row>
    <row r="40" spans="1:10" ht="15" x14ac:dyDescent="0.2">
      <c r="H40" s="702"/>
    </row>
    <row r="41" spans="1:10" x14ac:dyDescent="0.2">
      <c r="H41" s="703"/>
    </row>
    <row r="43" spans="1:10" x14ac:dyDescent="0.2">
      <c r="C43" s="1" t="s">
        <v>756</v>
      </c>
    </row>
  </sheetData>
  <sheetProtection password="CF7A" sheet="1" objects="1" scenarios="1"/>
  <protectedRanges>
    <protectedRange sqref="D10:H35" name="Range1"/>
  </protectedRanges>
  <mergeCells count="12">
    <mergeCell ref="A1:B1"/>
    <mergeCell ref="C1:H1"/>
    <mergeCell ref="A2:B2"/>
    <mergeCell ref="A4:C4"/>
    <mergeCell ref="A5:C5"/>
    <mergeCell ref="B3:H3"/>
    <mergeCell ref="A6:H6"/>
    <mergeCell ref="A7:H7"/>
    <mergeCell ref="A8:A9"/>
    <mergeCell ref="B8:B9"/>
    <mergeCell ref="C8:C9"/>
    <mergeCell ref="D8:H8"/>
  </mergeCells>
  <pageMargins left="0.70866141732283472" right="0.19685039370078741" top="0.19685039370078741" bottom="0.19685039370078741" header="0.15748031496062992" footer="0.15748031496062992"/>
  <pageSetup paperSize="9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3"/>
  <sheetViews>
    <sheetView view="pageBreakPreview" zoomScaleNormal="130" zoomScaleSheetLayoutView="100" workbookViewId="0">
      <selection activeCell="G38" sqref="G38:M123"/>
    </sheetView>
  </sheetViews>
  <sheetFormatPr defaultRowHeight="12.75" x14ac:dyDescent="0.2"/>
  <cols>
    <col min="1" max="1" width="3.42578125" style="811" customWidth="1"/>
    <col min="2" max="2" width="9.140625" style="767" customWidth="1"/>
    <col min="3" max="3" width="44.140625" style="811" customWidth="1"/>
    <col min="4" max="4" width="7.85546875" style="811" bestFit="1" customWidth="1"/>
    <col min="5" max="5" width="10" style="811" customWidth="1"/>
    <col min="6" max="6" width="8.42578125" style="811" bestFit="1" customWidth="1"/>
    <col min="7" max="7" width="7.85546875" style="939" bestFit="1" customWidth="1"/>
    <col min="8" max="8" width="12" style="939" customWidth="1"/>
    <col min="9" max="9" width="6.5703125" style="939" bestFit="1" customWidth="1"/>
    <col min="10" max="12" width="7.5703125" style="939" bestFit="1" customWidth="1"/>
    <col min="13" max="13" width="12.5703125" style="939" bestFit="1" customWidth="1"/>
    <col min="14" max="16384" width="9.140625" style="811"/>
  </cols>
  <sheetData>
    <row r="1" spans="1:13" ht="15" x14ac:dyDescent="0.2">
      <c r="B1" s="1073" t="s">
        <v>643</v>
      </c>
      <c r="C1" s="1073"/>
      <c r="D1" s="1073"/>
      <c r="E1" s="1073"/>
      <c r="F1" s="1073"/>
      <c r="G1" s="1073"/>
      <c r="H1" s="1073"/>
      <c r="I1" s="1073"/>
      <c r="J1" s="1073"/>
      <c r="K1" s="1073"/>
      <c r="L1" s="1073"/>
    </row>
    <row r="2" spans="1:13" ht="15" x14ac:dyDescent="0.2">
      <c r="B2" s="1090" t="s">
        <v>342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ht="15" x14ac:dyDescent="0.2">
      <c r="A3" s="12"/>
      <c r="B3" s="1091" t="s">
        <v>258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5.75" thickBot="1" x14ac:dyDescent="0.35">
      <c r="A4" s="1093" t="s">
        <v>472</v>
      </c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25">
      <c r="A6" s="1095"/>
      <c r="B6" s="1097"/>
      <c r="C6" s="1099"/>
      <c r="D6" s="1099"/>
      <c r="E6" s="77" t="s">
        <v>399</v>
      </c>
      <c r="F6" s="77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940" customFormat="1" ht="15.75" thickBot="1" x14ac:dyDescent="0.25">
      <c r="A7" s="183"/>
      <c r="B7" s="184" t="s">
        <v>60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6">
        <v>13</v>
      </c>
    </row>
    <row r="8" spans="1:13" ht="15.75" thickBot="1" x14ac:dyDescent="0.25">
      <c r="A8" s="683"/>
      <c r="B8" s="874"/>
      <c r="C8" s="875" t="s">
        <v>259</v>
      </c>
      <c r="D8" s="874"/>
      <c r="E8" s="874"/>
      <c r="F8" s="874"/>
      <c r="G8" s="874"/>
      <c r="H8" s="874"/>
      <c r="I8" s="874"/>
      <c r="J8" s="874"/>
      <c r="K8" s="874"/>
      <c r="L8" s="874"/>
      <c r="M8" s="876"/>
    </row>
    <row r="9" spans="1:13" ht="15.75" hidden="1" thickBot="1" x14ac:dyDescent="0.35">
      <c r="A9" s="1139">
        <v>1</v>
      </c>
      <c r="B9" s="329" t="s">
        <v>105</v>
      </c>
      <c r="C9" s="15" t="s">
        <v>260</v>
      </c>
      <c r="D9" s="16" t="s">
        <v>76</v>
      </c>
      <c r="E9" s="16"/>
      <c r="F9" s="152">
        <v>0</v>
      </c>
      <c r="G9" s="877"/>
      <c r="H9" s="877"/>
      <c r="I9" s="877"/>
      <c r="J9" s="877"/>
      <c r="K9" s="877"/>
      <c r="L9" s="877"/>
      <c r="M9" s="900"/>
    </row>
    <row r="10" spans="1:13" ht="15.75" hidden="1" thickBot="1" x14ac:dyDescent="0.25">
      <c r="A10" s="1141"/>
      <c r="B10" s="17"/>
      <c r="C10" s="194" t="s">
        <v>233</v>
      </c>
      <c r="D10" s="49" t="s">
        <v>68</v>
      </c>
      <c r="E10" s="49">
        <v>2.06</v>
      </c>
      <c r="F10" s="48">
        <f>E10*F9</f>
        <v>0</v>
      </c>
      <c r="G10" s="49"/>
      <c r="H10" s="49"/>
      <c r="I10" s="49">
        <v>6</v>
      </c>
      <c r="J10" s="49">
        <f>I10*F10</f>
        <v>0</v>
      </c>
      <c r="K10" s="49"/>
      <c r="L10" s="49"/>
      <c r="M10" s="50">
        <f>J10</f>
        <v>0</v>
      </c>
    </row>
    <row r="11" spans="1:13" ht="30.75" hidden="1" thickBot="1" x14ac:dyDescent="0.35">
      <c r="A11" s="1139">
        <v>2</v>
      </c>
      <c r="B11" s="268" t="s">
        <v>261</v>
      </c>
      <c r="C11" s="15" t="s">
        <v>262</v>
      </c>
      <c r="D11" s="16" t="s">
        <v>263</v>
      </c>
      <c r="E11" s="16"/>
      <c r="F11" s="152">
        <v>0</v>
      </c>
      <c r="G11" s="877"/>
      <c r="H11" s="877"/>
      <c r="I11" s="877"/>
      <c r="J11" s="877"/>
      <c r="K11" s="877"/>
      <c r="L11" s="877"/>
      <c r="M11" s="900"/>
    </row>
    <row r="12" spans="1:13" ht="15.75" hidden="1" thickBot="1" x14ac:dyDescent="0.25">
      <c r="A12" s="1140"/>
      <c r="B12" s="269"/>
      <c r="C12" s="165" t="s">
        <v>63</v>
      </c>
      <c r="D12" s="166" t="s">
        <v>165</v>
      </c>
      <c r="E12" s="166">
        <v>0.74</v>
      </c>
      <c r="F12" s="167">
        <f>E12*F11</f>
        <v>0</v>
      </c>
      <c r="G12" s="24"/>
      <c r="H12" s="40"/>
      <c r="I12" s="40">
        <v>6</v>
      </c>
      <c r="J12" s="40">
        <f>I12*F12</f>
        <v>0</v>
      </c>
      <c r="K12" s="40"/>
      <c r="L12" s="40"/>
      <c r="M12" s="41">
        <f t="shared" ref="M12:M17" si="0">L12+J12+H12</f>
        <v>0</v>
      </c>
    </row>
    <row r="13" spans="1:13" ht="15.75" hidden="1" thickBot="1" x14ac:dyDescent="0.25">
      <c r="A13" s="1140"/>
      <c r="B13" s="269"/>
      <c r="C13" s="165" t="s">
        <v>166</v>
      </c>
      <c r="D13" s="166" t="s">
        <v>78</v>
      </c>
      <c r="E13" s="166">
        <v>0.71</v>
      </c>
      <c r="F13" s="167">
        <f>E13*F11</f>
        <v>0</v>
      </c>
      <c r="G13" s="24"/>
      <c r="H13" s="40"/>
      <c r="I13" s="40"/>
      <c r="J13" s="40"/>
      <c r="K13" s="40">
        <v>3.2</v>
      </c>
      <c r="L13" s="40">
        <f>K13*F13</f>
        <v>0</v>
      </c>
      <c r="M13" s="41">
        <f t="shared" si="0"/>
        <v>0</v>
      </c>
    </row>
    <row r="14" spans="1:13" ht="15.75" hidden="1" thickBot="1" x14ac:dyDescent="0.25">
      <c r="A14" s="1140"/>
      <c r="B14" s="269"/>
      <c r="C14" s="165" t="s">
        <v>264</v>
      </c>
      <c r="D14" s="166" t="s">
        <v>88</v>
      </c>
      <c r="E14" s="166">
        <v>1</v>
      </c>
      <c r="F14" s="167">
        <f>E14*F11</f>
        <v>0</v>
      </c>
      <c r="G14" s="24">
        <v>10</v>
      </c>
      <c r="H14" s="40">
        <f>G14*F14</f>
        <v>0</v>
      </c>
      <c r="I14" s="40"/>
      <c r="J14" s="40"/>
      <c r="K14" s="103"/>
      <c r="L14" s="40"/>
      <c r="M14" s="41">
        <f t="shared" si="0"/>
        <v>0</v>
      </c>
    </row>
    <row r="15" spans="1:13" ht="15.75" hidden="1" thickBot="1" x14ac:dyDescent="0.25">
      <c r="A15" s="1140"/>
      <c r="B15" s="269"/>
      <c r="C15" s="165" t="s">
        <v>171</v>
      </c>
      <c r="D15" s="166" t="s">
        <v>62</v>
      </c>
      <c r="E15" s="166">
        <v>0.03</v>
      </c>
      <c r="F15" s="167">
        <f>E15*F11</f>
        <v>0</v>
      </c>
      <c r="G15" s="24">
        <v>104</v>
      </c>
      <c r="H15" s="40">
        <f>G15*F15</f>
        <v>0</v>
      </c>
      <c r="I15" s="40"/>
      <c r="J15" s="40"/>
      <c r="K15" s="40"/>
      <c r="L15" s="40"/>
      <c r="M15" s="41">
        <f t="shared" si="0"/>
        <v>0</v>
      </c>
    </row>
    <row r="16" spans="1:13" ht="15.75" hidden="1" thickBot="1" x14ac:dyDescent="0.25">
      <c r="A16" s="1140"/>
      <c r="B16" s="269"/>
      <c r="C16" s="165" t="s">
        <v>172</v>
      </c>
      <c r="D16" s="166" t="s">
        <v>62</v>
      </c>
      <c r="E16" s="166">
        <v>5.9999999999999995E-4</v>
      </c>
      <c r="F16" s="167">
        <f>E16*F11</f>
        <v>0</v>
      </c>
      <c r="G16" s="24">
        <v>86</v>
      </c>
      <c r="H16" s="40">
        <f>G16*F16</f>
        <v>0</v>
      </c>
      <c r="I16" s="40"/>
      <c r="J16" s="40"/>
      <c r="K16" s="40"/>
      <c r="L16" s="40"/>
      <c r="M16" s="41">
        <f t="shared" si="0"/>
        <v>0</v>
      </c>
    </row>
    <row r="17" spans="1:13" ht="15.75" hidden="1" thickBot="1" x14ac:dyDescent="0.25">
      <c r="A17" s="1141"/>
      <c r="B17" s="270"/>
      <c r="C17" s="271" t="s">
        <v>119</v>
      </c>
      <c r="D17" s="272" t="s">
        <v>78</v>
      </c>
      <c r="E17" s="272">
        <v>9.6000000000000002E-2</v>
      </c>
      <c r="F17" s="180">
        <f>E17*F11</f>
        <v>0</v>
      </c>
      <c r="G17" s="27">
        <v>3</v>
      </c>
      <c r="H17" s="49">
        <f>G17*F17</f>
        <v>0</v>
      </c>
      <c r="I17" s="49"/>
      <c r="J17" s="49"/>
      <c r="K17" s="49"/>
      <c r="L17" s="49"/>
      <c r="M17" s="50">
        <f t="shared" si="0"/>
        <v>0</v>
      </c>
    </row>
    <row r="18" spans="1:13" ht="45.75" hidden="1" thickBot="1" x14ac:dyDescent="0.35">
      <c r="A18" s="1139">
        <v>3</v>
      </c>
      <c r="B18" s="878" t="s">
        <v>265</v>
      </c>
      <c r="C18" s="15" t="s">
        <v>266</v>
      </c>
      <c r="D18" s="16" t="s">
        <v>76</v>
      </c>
      <c r="E18" s="16"/>
      <c r="F18" s="152">
        <v>0</v>
      </c>
      <c r="G18" s="877"/>
      <c r="H18" s="877"/>
      <c r="I18" s="877"/>
      <c r="J18" s="877"/>
      <c r="K18" s="877"/>
      <c r="L18" s="877"/>
      <c r="M18" s="900"/>
    </row>
    <row r="19" spans="1:13" ht="15.75" hidden="1" thickBot="1" x14ac:dyDescent="0.25">
      <c r="A19" s="1140"/>
      <c r="B19" s="879"/>
      <c r="C19" s="121" t="s">
        <v>175</v>
      </c>
      <c r="D19" s="22" t="s">
        <v>64</v>
      </c>
      <c r="E19" s="158">
        <v>0.33</v>
      </c>
      <c r="F19" s="167">
        <f>E19*F18</f>
        <v>0</v>
      </c>
      <c r="G19" s="24"/>
      <c r="H19" s="40"/>
      <c r="I19" s="40">
        <v>6</v>
      </c>
      <c r="J19" s="40">
        <f>I19*F19</f>
        <v>0</v>
      </c>
      <c r="K19" s="40"/>
      <c r="L19" s="40"/>
      <c r="M19" s="41">
        <f t="shared" ref="M19:M27" si="1">L19+J19+H19</f>
        <v>0</v>
      </c>
    </row>
    <row r="20" spans="1:13" ht="15.75" hidden="1" thickBot="1" x14ac:dyDescent="0.25">
      <c r="A20" s="1140"/>
      <c r="B20" s="879"/>
      <c r="C20" s="121" t="s">
        <v>267</v>
      </c>
      <c r="D20" s="22" t="s">
        <v>104</v>
      </c>
      <c r="E20" s="158">
        <v>4.1999999999999997E-3</v>
      </c>
      <c r="F20" s="167">
        <f>E20*F18</f>
        <v>0</v>
      </c>
      <c r="G20" s="24"/>
      <c r="H20" s="40"/>
      <c r="I20" s="40"/>
      <c r="J20" s="40"/>
      <c r="K20" s="40">
        <v>32.81</v>
      </c>
      <c r="L20" s="40">
        <f t="shared" ref="L20:L25" si="2">K20*F20</f>
        <v>0</v>
      </c>
      <c r="M20" s="41">
        <f t="shared" si="1"/>
        <v>0</v>
      </c>
    </row>
    <row r="21" spans="1:13" ht="15.75" hidden="1" thickBot="1" x14ac:dyDescent="0.25">
      <c r="A21" s="1140"/>
      <c r="B21" s="879"/>
      <c r="C21" s="121" t="s">
        <v>268</v>
      </c>
      <c r="D21" s="22" t="s">
        <v>104</v>
      </c>
      <c r="E21" s="158">
        <v>2.58E-2</v>
      </c>
      <c r="F21" s="167">
        <f>E21*F18</f>
        <v>0</v>
      </c>
      <c r="G21" s="24"/>
      <c r="H21" s="40"/>
      <c r="I21" s="40"/>
      <c r="J21" s="40"/>
      <c r="K21" s="40">
        <v>35.9</v>
      </c>
      <c r="L21" s="40">
        <f t="shared" si="2"/>
        <v>0</v>
      </c>
      <c r="M21" s="41">
        <f>L21+J21+H21</f>
        <v>0</v>
      </c>
    </row>
    <row r="22" spans="1:13" ht="15.75" hidden="1" thickBot="1" x14ac:dyDescent="0.25">
      <c r="A22" s="1140"/>
      <c r="B22" s="879"/>
      <c r="C22" s="121" t="s">
        <v>177</v>
      </c>
      <c r="D22" s="22" t="s">
        <v>104</v>
      </c>
      <c r="E22" s="158">
        <v>0.112</v>
      </c>
      <c r="F22" s="167">
        <f>E22*F18</f>
        <v>0</v>
      </c>
      <c r="G22" s="24"/>
      <c r="H22" s="40"/>
      <c r="I22" s="40"/>
      <c r="J22" s="40"/>
      <c r="K22" s="40">
        <v>21.66</v>
      </c>
      <c r="L22" s="40">
        <f t="shared" si="2"/>
        <v>0</v>
      </c>
      <c r="M22" s="41">
        <f t="shared" si="1"/>
        <v>0</v>
      </c>
    </row>
    <row r="23" spans="1:13" ht="15.75" hidden="1" thickBot="1" x14ac:dyDescent="0.25">
      <c r="A23" s="1140"/>
      <c r="B23" s="879"/>
      <c r="C23" s="121" t="s">
        <v>169</v>
      </c>
      <c r="D23" s="22" t="s">
        <v>104</v>
      </c>
      <c r="E23" s="158">
        <v>0.248</v>
      </c>
      <c r="F23" s="167">
        <f>E23*F18</f>
        <v>0</v>
      </c>
      <c r="G23" s="24"/>
      <c r="H23" s="40"/>
      <c r="I23" s="40"/>
      <c r="J23" s="40"/>
      <c r="K23" s="40">
        <v>25.86</v>
      </c>
      <c r="L23" s="40">
        <f t="shared" si="2"/>
        <v>0</v>
      </c>
      <c r="M23" s="41">
        <f t="shared" si="1"/>
        <v>0</v>
      </c>
    </row>
    <row r="24" spans="1:13" ht="15.75" hidden="1" thickBot="1" x14ac:dyDescent="0.25">
      <c r="A24" s="1140"/>
      <c r="B24" s="879"/>
      <c r="C24" s="121" t="s">
        <v>161</v>
      </c>
      <c r="D24" s="22" t="s">
        <v>104</v>
      </c>
      <c r="E24" s="158">
        <v>4.1399999999999999E-2</v>
      </c>
      <c r="F24" s="167">
        <f>E24*F18</f>
        <v>0</v>
      </c>
      <c r="G24" s="24"/>
      <c r="H24" s="40"/>
      <c r="I24" s="40"/>
      <c r="J24" s="40"/>
      <c r="K24" s="40">
        <v>42.02</v>
      </c>
      <c r="L24" s="40">
        <f t="shared" si="2"/>
        <v>0</v>
      </c>
      <c r="M24" s="41">
        <f t="shared" si="1"/>
        <v>0</v>
      </c>
    </row>
    <row r="25" spans="1:13" ht="15.75" hidden="1" thickBot="1" x14ac:dyDescent="0.25">
      <c r="A25" s="1140"/>
      <c r="B25" s="879"/>
      <c r="C25" s="121" t="s">
        <v>269</v>
      </c>
      <c r="D25" s="22" t="s">
        <v>104</v>
      </c>
      <c r="E25" s="158">
        <v>5.3E-3</v>
      </c>
      <c r="F25" s="167">
        <f>E25*F18</f>
        <v>0</v>
      </c>
      <c r="G25" s="24"/>
      <c r="H25" s="40"/>
      <c r="I25" s="40"/>
      <c r="J25" s="40"/>
      <c r="K25" s="103">
        <v>41.35</v>
      </c>
      <c r="L25" s="40">
        <f t="shared" si="2"/>
        <v>0</v>
      </c>
      <c r="M25" s="41">
        <f>L25+J25+H25</f>
        <v>0</v>
      </c>
    </row>
    <row r="26" spans="1:13" ht="15.75" hidden="1" thickBot="1" x14ac:dyDescent="0.25">
      <c r="A26" s="1140"/>
      <c r="B26" s="879"/>
      <c r="C26" s="121" t="s">
        <v>178</v>
      </c>
      <c r="D26" s="22" t="s">
        <v>163</v>
      </c>
      <c r="E26" s="158">
        <v>9.1999999999999998E-2</v>
      </c>
      <c r="F26" s="167">
        <f>E26*F18</f>
        <v>0</v>
      </c>
      <c r="G26" s="24">
        <v>8.5</v>
      </c>
      <c r="H26" s="40">
        <f>G26*F26</f>
        <v>0</v>
      </c>
      <c r="I26" s="40"/>
      <c r="J26" s="40"/>
      <c r="K26" s="103"/>
      <c r="L26" s="40"/>
      <c r="M26" s="41">
        <f t="shared" si="1"/>
        <v>0</v>
      </c>
    </row>
    <row r="27" spans="1:13" ht="15.75" hidden="1" thickBot="1" x14ac:dyDescent="0.25">
      <c r="A27" s="1141"/>
      <c r="B27" s="880"/>
      <c r="C27" s="120" t="s">
        <v>179</v>
      </c>
      <c r="D27" s="17" t="s">
        <v>163</v>
      </c>
      <c r="E27" s="162">
        <v>2.5000000000000001E-2</v>
      </c>
      <c r="F27" s="180">
        <f>E27*F18</f>
        <v>0</v>
      </c>
      <c r="G27" s="27"/>
      <c r="H27" s="49"/>
      <c r="I27" s="49"/>
      <c r="J27" s="49"/>
      <c r="K27" s="49"/>
      <c r="L27" s="49"/>
      <c r="M27" s="50">
        <f t="shared" si="1"/>
        <v>0</v>
      </c>
    </row>
    <row r="28" spans="1:13" ht="45.75" hidden="1" thickBot="1" x14ac:dyDescent="0.35">
      <c r="A28" s="1139">
        <v>4</v>
      </c>
      <c r="B28" s="161" t="s">
        <v>270</v>
      </c>
      <c r="C28" s="15" t="s">
        <v>271</v>
      </c>
      <c r="D28" s="16" t="s">
        <v>62</v>
      </c>
      <c r="E28" s="16"/>
      <c r="F28" s="152">
        <v>0</v>
      </c>
      <c r="G28" s="877"/>
      <c r="H28" s="877"/>
      <c r="I28" s="877"/>
      <c r="J28" s="877"/>
      <c r="K28" s="877"/>
      <c r="L28" s="877"/>
      <c r="M28" s="900"/>
    </row>
    <row r="29" spans="1:13" ht="15.75" hidden="1" thickBot="1" x14ac:dyDescent="0.25">
      <c r="A29" s="1140"/>
      <c r="B29" s="158"/>
      <c r="C29" s="159" t="s">
        <v>63</v>
      </c>
      <c r="D29" s="158" t="s">
        <v>165</v>
      </c>
      <c r="E29" s="167">
        <f>0.405-0.00464*8</f>
        <v>0.36788000000000004</v>
      </c>
      <c r="F29" s="273">
        <f>F28*E29</f>
        <v>0</v>
      </c>
      <c r="G29" s="24"/>
      <c r="H29" s="24"/>
      <c r="I29" s="24">
        <v>6</v>
      </c>
      <c r="J29" s="24">
        <f>I29*F29</f>
        <v>0</v>
      </c>
      <c r="K29" s="24"/>
      <c r="L29" s="24"/>
      <c r="M29" s="25">
        <f t="shared" ref="M29:M37" si="3">L29+J29+H29</f>
        <v>0</v>
      </c>
    </row>
    <row r="30" spans="1:13" ht="15.75" hidden="1" thickBot="1" x14ac:dyDescent="0.25">
      <c r="A30" s="1140"/>
      <c r="B30" s="158"/>
      <c r="C30" s="159" t="s">
        <v>272</v>
      </c>
      <c r="D30" s="158" t="s">
        <v>273</v>
      </c>
      <c r="E30" s="167">
        <v>2.2599999999999999E-2</v>
      </c>
      <c r="F30" s="273">
        <f>E30*F28</f>
        <v>0</v>
      </c>
      <c r="G30" s="24"/>
      <c r="H30" s="24"/>
      <c r="I30" s="24"/>
      <c r="J30" s="24"/>
      <c r="K30" s="24">
        <f>K19</f>
        <v>0</v>
      </c>
      <c r="L30" s="24">
        <f>K30*F30</f>
        <v>0</v>
      </c>
      <c r="M30" s="25">
        <f t="shared" si="3"/>
        <v>0</v>
      </c>
    </row>
    <row r="31" spans="1:13" ht="15.75" hidden="1" thickBot="1" x14ac:dyDescent="0.25">
      <c r="A31" s="1140"/>
      <c r="B31" s="158"/>
      <c r="C31" s="159" t="s">
        <v>166</v>
      </c>
      <c r="D31" s="158" t="s">
        <v>78</v>
      </c>
      <c r="E31" s="167">
        <f>0.0135-0.0001*4</f>
        <v>1.3100000000000001E-2</v>
      </c>
      <c r="F31" s="273">
        <f>F28*E31</f>
        <v>0</v>
      </c>
      <c r="G31" s="24"/>
      <c r="H31" s="24"/>
      <c r="I31" s="24"/>
      <c r="J31" s="24"/>
      <c r="K31" s="40">
        <v>3.2</v>
      </c>
      <c r="L31" s="24">
        <f>K31*F31</f>
        <v>0</v>
      </c>
      <c r="M31" s="25">
        <f t="shared" si="3"/>
        <v>0</v>
      </c>
    </row>
    <row r="32" spans="1:13" ht="15.75" hidden="1" thickBot="1" x14ac:dyDescent="0.25">
      <c r="A32" s="1140"/>
      <c r="B32" s="158"/>
      <c r="C32" s="159" t="s">
        <v>274</v>
      </c>
      <c r="D32" s="158" t="s">
        <v>62</v>
      </c>
      <c r="E32" s="167">
        <v>1.0149999999999999</v>
      </c>
      <c r="F32" s="273">
        <f>E32*F28</f>
        <v>0</v>
      </c>
      <c r="G32" s="24">
        <v>111</v>
      </c>
      <c r="H32" s="24">
        <f t="shared" ref="H32:H37" si="4">G32*F32</f>
        <v>0</v>
      </c>
      <c r="I32" s="24"/>
      <c r="J32" s="24"/>
      <c r="K32" s="150">
        <v>15</v>
      </c>
      <c r="L32" s="24">
        <f>K32*F32</f>
        <v>0</v>
      </c>
      <c r="M32" s="25">
        <f t="shared" si="3"/>
        <v>0</v>
      </c>
    </row>
    <row r="33" spans="1:13" ht="15.75" hidden="1" thickBot="1" x14ac:dyDescent="0.25">
      <c r="A33" s="1140"/>
      <c r="B33" s="158"/>
      <c r="C33" s="159" t="s">
        <v>275</v>
      </c>
      <c r="D33" s="172" t="s">
        <v>88</v>
      </c>
      <c r="E33" s="996" t="s">
        <v>72</v>
      </c>
      <c r="F33" s="122">
        <v>0</v>
      </c>
      <c r="G33" s="264">
        <v>1.5149999999999999</v>
      </c>
      <c r="H33" s="24">
        <f t="shared" si="4"/>
        <v>0</v>
      </c>
      <c r="I33" s="24"/>
      <c r="J33" s="24"/>
      <c r="K33" s="150"/>
      <c r="L33" s="24"/>
      <c r="M33" s="25">
        <f t="shared" si="3"/>
        <v>0</v>
      </c>
    </row>
    <row r="34" spans="1:13" ht="15.75" hidden="1" thickBot="1" x14ac:dyDescent="0.25">
      <c r="A34" s="1140"/>
      <c r="B34" s="158"/>
      <c r="C34" s="159" t="s">
        <v>276</v>
      </c>
      <c r="D34" s="172" t="s">
        <v>88</v>
      </c>
      <c r="E34" s="996" t="s">
        <v>72</v>
      </c>
      <c r="F34" s="122">
        <v>0</v>
      </c>
      <c r="G34" s="24">
        <v>3.74</v>
      </c>
      <c r="H34" s="24">
        <f t="shared" si="4"/>
        <v>0</v>
      </c>
      <c r="I34" s="24"/>
      <c r="J34" s="24"/>
      <c r="K34" s="150"/>
      <c r="L34" s="24"/>
      <c r="M34" s="25">
        <f t="shared" si="3"/>
        <v>0</v>
      </c>
    </row>
    <row r="35" spans="1:13" ht="15.75" hidden="1" thickBot="1" x14ac:dyDescent="0.25">
      <c r="A35" s="1140"/>
      <c r="B35" s="158"/>
      <c r="C35" s="159" t="s">
        <v>277</v>
      </c>
      <c r="D35" s="172" t="s">
        <v>278</v>
      </c>
      <c r="E35" s="167">
        <f>0.0117-0.00059*4</f>
        <v>9.3400000000000011E-3</v>
      </c>
      <c r="F35" s="273">
        <f>E35*F28</f>
        <v>0</v>
      </c>
      <c r="G35" s="24">
        <v>17</v>
      </c>
      <c r="H35" s="24">
        <f t="shared" si="4"/>
        <v>0</v>
      </c>
      <c r="I35" s="24"/>
      <c r="J35" s="24"/>
      <c r="K35" s="24"/>
      <c r="L35" s="24"/>
      <c r="M35" s="25">
        <f t="shared" si="3"/>
        <v>0</v>
      </c>
    </row>
    <row r="36" spans="1:13" ht="15.75" hidden="1" thickBot="1" x14ac:dyDescent="0.25">
      <c r="A36" s="1140"/>
      <c r="B36" s="158"/>
      <c r="C36" s="159" t="s">
        <v>179</v>
      </c>
      <c r="D36" s="158" t="s">
        <v>62</v>
      </c>
      <c r="E36" s="167">
        <v>0.17799999999999999</v>
      </c>
      <c r="F36" s="273">
        <f>E36*F28</f>
        <v>0</v>
      </c>
      <c r="G36" s="24"/>
      <c r="H36" s="24"/>
      <c r="I36" s="24"/>
      <c r="J36" s="24"/>
      <c r="K36" s="24"/>
      <c r="L36" s="24"/>
      <c r="M36" s="25">
        <f t="shared" si="3"/>
        <v>0</v>
      </c>
    </row>
    <row r="37" spans="1:13" ht="15.75" hidden="1" thickBot="1" x14ac:dyDescent="0.25">
      <c r="A37" s="1140"/>
      <c r="B37" s="174"/>
      <c r="C37" s="173" t="s">
        <v>119</v>
      </c>
      <c r="D37" s="174" t="s">
        <v>78</v>
      </c>
      <c r="E37" s="182">
        <f>0.0064-0.00019*6</f>
        <v>5.2600000000000008E-3</v>
      </c>
      <c r="F37" s="326">
        <f>E37*F28</f>
        <v>0</v>
      </c>
      <c r="G37" s="67">
        <v>3.2</v>
      </c>
      <c r="H37" s="67">
        <f t="shared" si="4"/>
        <v>0</v>
      </c>
      <c r="I37" s="67"/>
      <c r="J37" s="67"/>
      <c r="K37" s="67"/>
      <c r="L37" s="67"/>
      <c r="M37" s="95">
        <f t="shared" si="3"/>
        <v>0</v>
      </c>
    </row>
    <row r="38" spans="1:13" ht="75" x14ac:dyDescent="0.3">
      <c r="A38" s="1121">
        <v>1</v>
      </c>
      <c r="B38" s="881" t="s">
        <v>279</v>
      </c>
      <c r="C38" s="15" t="s">
        <v>280</v>
      </c>
      <c r="D38" s="16" t="s">
        <v>76</v>
      </c>
      <c r="E38" s="16"/>
      <c r="F38" s="152">
        <v>42</v>
      </c>
      <c r="G38" s="882"/>
      <c r="H38" s="882"/>
      <c r="I38" s="882"/>
      <c r="J38" s="882"/>
      <c r="K38" s="882"/>
      <c r="L38" s="882"/>
      <c r="M38" s="883"/>
    </row>
    <row r="39" spans="1:13" ht="15" x14ac:dyDescent="0.3">
      <c r="A39" s="1122"/>
      <c r="B39" s="158"/>
      <c r="C39" s="159" t="s">
        <v>63</v>
      </c>
      <c r="D39" s="158" t="s">
        <v>165</v>
      </c>
      <c r="E39" s="158">
        <v>1.08</v>
      </c>
      <c r="F39" s="122">
        <f>E39*F38</f>
        <v>45.36</v>
      </c>
      <c r="G39" s="274"/>
      <c r="H39" s="568"/>
      <c r="I39" s="274"/>
      <c r="J39" s="568"/>
      <c r="K39" s="274"/>
      <c r="L39" s="568"/>
      <c r="M39" s="884"/>
    </row>
    <row r="40" spans="1:13" ht="15" x14ac:dyDescent="0.3">
      <c r="A40" s="1122"/>
      <c r="B40" s="158"/>
      <c r="C40" s="159" t="s">
        <v>166</v>
      </c>
      <c r="D40" s="158" t="s">
        <v>78</v>
      </c>
      <c r="E40" s="158">
        <v>4.5199999999999997E-2</v>
      </c>
      <c r="F40" s="122">
        <f>E40*F38</f>
        <v>1.8983999999999999</v>
      </c>
      <c r="G40" s="274"/>
      <c r="H40" s="568"/>
      <c r="I40" s="274"/>
      <c r="J40" s="568"/>
      <c r="K40" s="274"/>
      <c r="L40" s="568"/>
      <c r="M40" s="884"/>
    </row>
    <row r="41" spans="1:13" ht="15" x14ac:dyDescent="0.3">
      <c r="A41" s="1122"/>
      <c r="B41" s="158" t="s">
        <v>549</v>
      </c>
      <c r="C41" s="159" t="s">
        <v>281</v>
      </c>
      <c r="D41" s="158" t="s">
        <v>76</v>
      </c>
      <c r="E41" s="158">
        <v>1.02</v>
      </c>
      <c r="F41" s="122">
        <f>E41*F38</f>
        <v>42.84</v>
      </c>
      <c r="G41" s="274"/>
      <c r="H41" s="568"/>
      <c r="I41" s="274"/>
      <c r="J41" s="568"/>
      <c r="K41" s="274"/>
      <c r="L41" s="568"/>
      <c r="M41" s="884"/>
    </row>
    <row r="42" spans="1:13" ht="15" x14ac:dyDescent="0.2">
      <c r="A42" s="1122"/>
      <c r="B42" s="158" t="s">
        <v>554</v>
      </c>
      <c r="C42" s="159" t="s">
        <v>282</v>
      </c>
      <c r="D42" s="158" t="s">
        <v>71</v>
      </c>
      <c r="E42" s="122">
        <v>1</v>
      </c>
      <c r="F42" s="122">
        <f>E42*F38</f>
        <v>42</v>
      </c>
      <c r="G42" s="274"/>
      <c r="H42" s="409"/>
      <c r="I42" s="274"/>
      <c r="J42" s="409"/>
      <c r="K42" s="274"/>
      <c r="L42" s="409"/>
      <c r="M42" s="871"/>
    </row>
    <row r="43" spans="1:13" ht="15.75" thickBot="1" x14ac:dyDescent="0.35">
      <c r="A43" s="1123"/>
      <c r="B43" s="162"/>
      <c r="C43" s="163" t="s">
        <v>119</v>
      </c>
      <c r="D43" s="162" t="s">
        <v>78</v>
      </c>
      <c r="E43" s="162">
        <v>4.6600000000000003E-2</v>
      </c>
      <c r="F43" s="195">
        <f>E43*F38</f>
        <v>1.9572000000000001</v>
      </c>
      <c r="G43" s="285"/>
      <c r="H43" s="885"/>
      <c r="I43" s="285"/>
      <c r="J43" s="885"/>
      <c r="K43" s="285"/>
      <c r="L43" s="885"/>
      <c r="M43" s="886"/>
    </row>
    <row r="44" spans="1:13" ht="45.75" hidden="1" thickBot="1" x14ac:dyDescent="0.35">
      <c r="A44" s="1140">
        <v>6</v>
      </c>
      <c r="B44" s="327" t="s">
        <v>283</v>
      </c>
      <c r="C44" s="92" t="s">
        <v>284</v>
      </c>
      <c r="D44" s="29" t="s">
        <v>65</v>
      </c>
      <c r="E44" s="29"/>
      <c r="F44" s="646">
        <v>0</v>
      </c>
      <c r="G44" s="887"/>
      <c r="H44" s="887"/>
      <c r="I44" s="887"/>
      <c r="J44" s="887"/>
      <c r="K44" s="887"/>
      <c r="L44" s="887"/>
      <c r="M44" s="897"/>
    </row>
    <row r="45" spans="1:13" ht="15.75" hidden="1" thickBot="1" x14ac:dyDescent="0.25">
      <c r="A45" s="1140"/>
      <c r="B45" s="343"/>
      <c r="C45" s="37" t="s">
        <v>67</v>
      </c>
      <c r="D45" s="38" t="s">
        <v>68</v>
      </c>
      <c r="E45" s="39">
        <v>35.1</v>
      </c>
      <c r="F45" s="39">
        <f>E45*F44</f>
        <v>0</v>
      </c>
      <c r="G45" s="40"/>
      <c r="H45" s="40"/>
      <c r="I45" s="40"/>
      <c r="J45" s="40"/>
      <c r="K45" s="40"/>
      <c r="L45" s="40"/>
      <c r="M45" s="41"/>
    </row>
    <row r="46" spans="1:13" ht="15.75" hidden="1" thickBot="1" x14ac:dyDescent="0.35">
      <c r="A46" s="1140"/>
      <c r="B46" s="343"/>
      <c r="C46" s="209" t="s">
        <v>285</v>
      </c>
      <c r="D46" s="38" t="s">
        <v>88</v>
      </c>
      <c r="E46" s="43" t="s">
        <v>72</v>
      </c>
      <c r="F46" s="39">
        <v>0</v>
      </c>
      <c r="G46" s="40"/>
      <c r="H46" s="40"/>
      <c r="I46" s="40"/>
      <c r="J46" s="40"/>
      <c r="K46" s="40"/>
      <c r="L46" s="40"/>
      <c r="M46" s="41"/>
    </row>
    <row r="47" spans="1:13" ht="15.75" hidden="1" thickBot="1" x14ac:dyDescent="0.35">
      <c r="A47" s="1140"/>
      <c r="B47" s="343"/>
      <c r="C47" s="209" t="s">
        <v>286</v>
      </c>
      <c r="D47" s="38" t="s">
        <v>88</v>
      </c>
      <c r="E47" s="43" t="s">
        <v>72</v>
      </c>
      <c r="F47" s="39">
        <v>0</v>
      </c>
      <c r="G47" s="40"/>
      <c r="H47" s="40"/>
      <c r="I47" s="40"/>
      <c r="J47" s="40"/>
      <c r="K47" s="40"/>
      <c r="L47" s="40"/>
      <c r="M47" s="41"/>
    </row>
    <row r="48" spans="1:13" ht="15.75" hidden="1" thickBot="1" x14ac:dyDescent="0.35">
      <c r="A48" s="1140"/>
      <c r="B48" s="343"/>
      <c r="C48" s="209" t="s">
        <v>213</v>
      </c>
      <c r="D48" s="38" t="s">
        <v>71</v>
      </c>
      <c r="E48" s="39">
        <v>17</v>
      </c>
      <c r="F48" s="39">
        <f>E48*F44</f>
        <v>0</v>
      </c>
      <c r="G48" s="40"/>
      <c r="H48" s="40"/>
      <c r="I48" s="40"/>
      <c r="J48" s="40"/>
      <c r="K48" s="40"/>
      <c r="L48" s="40"/>
      <c r="M48" s="41"/>
    </row>
    <row r="49" spans="1:13" ht="15.75" hidden="1" thickBot="1" x14ac:dyDescent="0.35">
      <c r="A49" s="1140"/>
      <c r="B49" s="343"/>
      <c r="C49" s="209" t="s">
        <v>79</v>
      </c>
      <c r="D49" s="38" t="s">
        <v>78</v>
      </c>
      <c r="E49" s="39">
        <v>2.78</v>
      </c>
      <c r="F49" s="39">
        <f>E49*F44</f>
        <v>0</v>
      </c>
      <c r="G49" s="40"/>
      <c r="H49" s="40"/>
      <c r="I49" s="40"/>
      <c r="J49" s="40"/>
      <c r="K49" s="40"/>
      <c r="L49" s="40"/>
      <c r="M49" s="41"/>
    </row>
    <row r="50" spans="1:13" ht="15.75" hidden="1" thickBot="1" x14ac:dyDescent="0.35">
      <c r="A50" s="1141"/>
      <c r="B50" s="104"/>
      <c r="C50" s="210" t="s">
        <v>77</v>
      </c>
      <c r="D50" s="342" t="s">
        <v>78</v>
      </c>
      <c r="E50" s="48">
        <v>5.18</v>
      </c>
      <c r="F50" s="48">
        <f>E50*F44</f>
        <v>0</v>
      </c>
      <c r="G50" s="49"/>
      <c r="H50" s="49"/>
      <c r="I50" s="49"/>
      <c r="J50" s="49"/>
      <c r="K50" s="49"/>
      <c r="L50" s="49"/>
      <c r="M50" s="50"/>
    </row>
    <row r="51" spans="1:13" ht="30" x14ac:dyDescent="0.2">
      <c r="A51" s="1086">
        <v>2</v>
      </c>
      <c r="B51" s="329" t="s">
        <v>287</v>
      </c>
      <c r="C51" s="371" t="s">
        <v>288</v>
      </c>
      <c r="D51" s="19" t="s">
        <v>76</v>
      </c>
      <c r="E51" s="275"/>
      <c r="F51" s="19">
        <v>8.4</v>
      </c>
      <c r="G51" s="676"/>
      <c r="H51" s="676"/>
      <c r="I51" s="676"/>
      <c r="J51" s="676"/>
      <c r="K51" s="676"/>
      <c r="L51" s="676"/>
      <c r="M51" s="677"/>
    </row>
    <row r="52" spans="1:13" ht="15" x14ac:dyDescent="0.2">
      <c r="A52" s="1087"/>
      <c r="B52" s="343"/>
      <c r="C52" s="37" t="s">
        <v>67</v>
      </c>
      <c r="D52" s="38" t="s">
        <v>68</v>
      </c>
      <c r="E52" s="39">
        <v>0.38800000000000001</v>
      </c>
      <c r="F52" s="39">
        <f>E52*F51</f>
        <v>3.2592000000000003</v>
      </c>
      <c r="G52" s="40"/>
      <c r="H52" s="40"/>
      <c r="I52" s="40"/>
      <c r="J52" s="40"/>
      <c r="K52" s="40"/>
      <c r="L52" s="40"/>
      <c r="M52" s="41"/>
    </row>
    <row r="53" spans="1:13" ht="15" x14ac:dyDescent="0.2">
      <c r="A53" s="1087"/>
      <c r="B53" s="343"/>
      <c r="C53" s="37" t="s">
        <v>82</v>
      </c>
      <c r="D53" s="38" t="s">
        <v>78</v>
      </c>
      <c r="E53" s="39">
        <v>2.9999999999999997E-4</v>
      </c>
      <c r="F53" s="39">
        <f>E53*F51</f>
        <v>2.5199999999999997E-3</v>
      </c>
      <c r="G53" s="40"/>
      <c r="H53" s="40"/>
      <c r="I53" s="40"/>
      <c r="J53" s="40"/>
      <c r="K53" s="274"/>
      <c r="L53" s="40"/>
      <c r="M53" s="41"/>
    </row>
    <row r="54" spans="1:13" ht="15" x14ac:dyDescent="0.2">
      <c r="A54" s="1087"/>
      <c r="B54" s="343" t="s">
        <v>551</v>
      </c>
      <c r="C54" s="37" t="s">
        <v>550</v>
      </c>
      <c r="D54" s="38" t="s">
        <v>71</v>
      </c>
      <c r="E54" s="39">
        <v>0.251</v>
      </c>
      <c r="F54" s="39">
        <f>E54*F51</f>
        <v>2.1084000000000001</v>
      </c>
      <c r="G54" s="40"/>
      <c r="H54" s="40"/>
      <c r="I54" s="40"/>
      <c r="J54" s="40"/>
      <c r="K54" s="40"/>
      <c r="L54" s="40"/>
      <c r="M54" s="41"/>
    </row>
    <row r="55" spans="1:13" ht="15" x14ac:dyDescent="0.2">
      <c r="A55" s="1087"/>
      <c r="B55" s="679" t="s">
        <v>510</v>
      </c>
      <c r="C55" s="37" t="s">
        <v>92</v>
      </c>
      <c r="D55" s="38" t="s">
        <v>71</v>
      </c>
      <c r="E55" s="39">
        <v>2.7E-2</v>
      </c>
      <c r="F55" s="39">
        <f>E55*F51</f>
        <v>0.2268</v>
      </c>
      <c r="G55" s="40"/>
      <c r="H55" s="40"/>
      <c r="I55" s="40"/>
      <c r="J55" s="40"/>
      <c r="K55" s="40"/>
      <c r="L55" s="40"/>
      <c r="M55" s="41"/>
    </row>
    <row r="56" spans="1:13" ht="15.75" thickBot="1" x14ac:dyDescent="0.25">
      <c r="A56" s="1088"/>
      <c r="B56" s="104"/>
      <c r="C56" s="47" t="s">
        <v>85</v>
      </c>
      <c r="D56" s="342" t="s">
        <v>78</v>
      </c>
      <c r="E56" s="48">
        <v>1.9E-3</v>
      </c>
      <c r="F56" s="48">
        <f>E56*F51</f>
        <v>1.5960000000000002E-2</v>
      </c>
      <c r="G56" s="49"/>
      <c r="H56" s="49"/>
      <c r="I56" s="49"/>
      <c r="J56" s="49"/>
      <c r="K56" s="49"/>
      <c r="L56" s="49"/>
      <c r="M56" s="50"/>
    </row>
    <row r="57" spans="1:13" ht="45" x14ac:dyDescent="0.2">
      <c r="A57" s="1086">
        <v>3</v>
      </c>
      <c r="B57" s="151" t="s">
        <v>115</v>
      </c>
      <c r="C57" s="372" t="s">
        <v>552</v>
      </c>
      <c r="D57" s="60" t="s">
        <v>76</v>
      </c>
      <c r="E57" s="60"/>
      <c r="F57" s="60">
        <v>40</v>
      </c>
      <c r="G57" s="60"/>
      <c r="H57" s="19"/>
      <c r="I57" s="19"/>
      <c r="J57" s="19"/>
      <c r="K57" s="19"/>
      <c r="L57" s="19"/>
      <c r="M57" s="20"/>
    </row>
    <row r="58" spans="1:13" ht="15" x14ac:dyDescent="0.2">
      <c r="A58" s="1087"/>
      <c r="B58" s="123"/>
      <c r="C58" s="37" t="s">
        <v>67</v>
      </c>
      <c r="D58" s="22" t="s">
        <v>68</v>
      </c>
      <c r="E58" s="61">
        <v>0.74</v>
      </c>
      <c r="F58" s="61">
        <f>E58*F57</f>
        <v>29.6</v>
      </c>
      <c r="G58" s="24"/>
      <c r="H58" s="40"/>
      <c r="I58" s="40"/>
      <c r="J58" s="40"/>
      <c r="K58" s="40"/>
      <c r="L58" s="40"/>
      <c r="M58" s="41"/>
    </row>
    <row r="59" spans="1:13" ht="15" x14ac:dyDescent="0.3">
      <c r="A59" s="1087"/>
      <c r="B59" s="123" t="s">
        <v>709</v>
      </c>
      <c r="C59" s="62" t="s">
        <v>290</v>
      </c>
      <c r="D59" s="22" t="s">
        <v>76</v>
      </c>
      <c r="E59" s="61">
        <v>1.1499999999999999</v>
      </c>
      <c r="F59" s="61">
        <f>E59*F57</f>
        <v>46</v>
      </c>
      <c r="G59" s="24"/>
      <c r="H59" s="40"/>
      <c r="I59" s="40"/>
      <c r="J59" s="40"/>
      <c r="K59" s="40"/>
      <c r="L59" s="40"/>
      <c r="M59" s="41"/>
    </row>
    <row r="60" spans="1:13" ht="15" x14ac:dyDescent="0.2">
      <c r="A60" s="1087"/>
      <c r="B60" s="123"/>
      <c r="C60" s="121" t="s">
        <v>86</v>
      </c>
      <c r="D60" s="22" t="s">
        <v>87</v>
      </c>
      <c r="E60" s="61">
        <v>6</v>
      </c>
      <c r="F60" s="61">
        <f>E60*F57</f>
        <v>240</v>
      </c>
      <c r="G60" s="24"/>
      <c r="H60" s="40"/>
      <c r="I60" s="40"/>
      <c r="J60" s="40"/>
      <c r="K60" s="40"/>
      <c r="L60" s="40"/>
      <c r="M60" s="41"/>
    </row>
    <row r="61" spans="1:13" ht="15" x14ac:dyDescent="0.3">
      <c r="A61" s="1087"/>
      <c r="B61" s="149"/>
      <c r="C61" s="65" t="s">
        <v>85</v>
      </c>
      <c r="D61" s="33" t="s">
        <v>78</v>
      </c>
      <c r="E61" s="66">
        <v>0.13300000000000001</v>
      </c>
      <c r="F61" s="66">
        <f>E61*F57</f>
        <v>5.32</v>
      </c>
      <c r="G61" s="67"/>
      <c r="H61" s="40"/>
      <c r="I61" s="40"/>
      <c r="J61" s="40"/>
      <c r="K61" s="40"/>
      <c r="L61" s="40"/>
      <c r="M61" s="41"/>
    </row>
    <row r="62" spans="1:13" ht="15.75" thickBot="1" x14ac:dyDescent="0.35">
      <c r="A62" s="1088"/>
      <c r="B62" s="277"/>
      <c r="C62" s="69" t="s">
        <v>77</v>
      </c>
      <c r="D62" s="17" t="s">
        <v>78</v>
      </c>
      <c r="E62" s="70">
        <v>6.6199999999999995E-2</v>
      </c>
      <c r="F62" s="70">
        <f>E62*F57</f>
        <v>2.6479999999999997</v>
      </c>
      <c r="G62" s="27"/>
      <c r="H62" s="49"/>
      <c r="I62" s="49"/>
      <c r="J62" s="49"/>
      <c r="K62" s="274"/>
      <c r="L62" s="49"/>
      <c r="M62" s="50"/>
    </row>
    <row r="63" spans="1:13" ht="30.75" thickBot="1" x14ac:dyDescent="0.35">
      <c r="A63" s="891"/>
      <c r="B63" s="892"/>
      <c r="C63" s="386" t="s">
        <v>470</v>
      </c>
      <c r="D63" s="892"/>
      <c r="E63" s="892"/>
      <c r="F63" s="892"/>
      <c r="G63" s="893"/>
      <c r="H63" s="893"/>
      <c r="I63" s="893"/>
      <c r="J63" s="893"/>
      <c r="K63" s="893"/>
      <c r="L63" s="893"/>
      <c r="M63" s="894"/>
    </row>
    <row r="64" spans="1:13" ht="30" x14ac:dyDescent="0.3">
      <c r="A64" s="1119">
        <v>1</v>
      </c>
      <c r="B64" s="895" t="s">
        <v>291</v>
      </c>
      <c r="C64" s="92" t="s">
        <v>292</v>
      </c>
      <c r="D64" s="746" t="s">
        <v>65</v>
      </c>
      <c r="E64" s="896"/>
      <c r="F64" s="646">
        <v>0.12</v>
      </c>
      <c r="G64" s="887"/>
      <c r="H64" s="887"/>
      <c r="I64" s="887"/>
      <c r="J64" s="887"/>
      <c r="K64" s="887"/>
      <c r="L64" s="887"/>
      <c r="M64" s="897"/>
    </row>
    <row r="65" spans="1:13" ht="15" x14ac:dyDescent="0.2">
      <c r="A65" s="1119"/>
      <c r="B65" s="343"/>
      <c r="C65" s="37" t="s">
        <v>67</v>
      </c>
      <c r="D65" s="38" t="s">
        <v>68</v>
      </c>
      <c r="E65" s="39">
        <v>18.3</v>
      </c>
      <c r="F65" s="39">
        <f>E65*F64</f>
        <v>2.1960000000000002</v>
      </c>
      <c r="G65" s="40"/>
      <c r="H65" s="40"/>
      <c r="I65" s="40"/>
      <c r="J65" s="40"/>
      <c r="K65" s="40"/>
      <c r="L65" s="40"/>
      <c r="M65" s="41"/>
    </row>
    <row r="66" spans="1:13" ht="15" x14ac:dyDescent="0.2">
      <c r="A66" s="1119"/>
      <c r="B66" s="343" t="s">
        <v>722</v>
      </c>
      <c r="C66" s="42" t="s">
        <v>293</v>
      </c>
      <c r="D66" s="22" t="s">
        <v>294</v>
      </c>
      <c r="E66" s="43" t="s">
        <v>72</v>
      </c>
      <c r="F66" s="39">
        <v>1</v>
      </c>
      <c r="G66" s="40"/>
      <c r="H66" s="40"/>
      <c r="I66" s="40"/>
      <c r="J66" s="40"/>
      <c r="K66" s="40"/>
      <c r="L66" s="40"/>
      <c r="M66" s="41"/>
    </row>
    <row r="67" spans="1:13" ht="15" x14ac:dyDescent="0.3">
      <c r="A67" s="1119"/>
      <c r="B67" s="343"/>
      <c r="C67" s="209" t="s">
        <v>79</v>
      </c>
      <c r="D67" s="38" t="s">
        <v>78</v>
      </c>
      <c r="E67" s="39">
        <v>2.78</v>
      </c>
      <c r="F67" s="39">
        <f>E67*F64</f>
        <v>0.33359999999999995</v>
      </c>
      <c r="G67" s="40"/>
      <c r="H67" s="40"/>
      <c r="I67" s="40"/>
      <c r="J67" s="40"/>
      <c r="K67" s="40"/>
      <c r="L67" s="40"/>
      <c r="M67" s="41"/>
    </row>
    <row r="68" spans="1:13" ht="15.75" thickBot="1" x14ac:dyDescent="0.35">
      <c r="A68" s="1120"/>
      <c r="B68" s="104"/>
      <c r="C68" s="210" t="s">
        <v>82</v>
      </c>
      <c r="D68" s="342" t="s">
        <v>78</v>
      </c>
      <c r="E68" s="48">
        <v>4.3099999999999996</v>
      </c>
      <c r="F68" s="48">
        <f>E68*F64</f>
        <v>0.51719999999999988</v>
      </c>
      <c r="G68" s="49"/>
      <c r="H68" s="49"/>
      <c r="I68" s="49"/>
      <c r="J68" s="49"/>
      <c r="K68" s="285"/>
      <c r="L68" s="49"/>
      <c r="M68" s="50"/>
    </row>
    <row r="69" spans="1:13" ht="30" x14ac:dyDescent="0.3">
      <c r="A69" s="1140">
        <v>2</v>
      </c>
      <c r="B69" s="898" t="s">
        <v>291</v>
      </c>
      <c r="C69" s="92" t="s">
        <v>295</v>
      </c>
      <c r="D69" s="746" t="s">
        <v>65</v>
      </c>
      <c r="E69" s="896"/>
      <c r="F69" s="646">
        <v>0.1</v>
      </c>
      <c r="G69" s="887"/>
      <c r="H69" s="887"/>
      <c r="I69" s="887"/>
      <c r="J69" s="887"/>
      <c r="K69" s="887"/>
      <c r="L69" s="887"/>
      <c r="M69" s="897"/>
    </row>
    <row r="70" spans="1:13" ht="15" x14ac:dyDescent="0.2">
      <c r="A70" s="1140"/>
      <c r="B70" s="343"/>
      <c r="C70" s="37" t="s">
        <v>67</v>
      </c>
      <c r="D70" s="38" t="s">
        <v>68</v>
      </c>
      <c r="E70" s="39">
        <v>18.3</v>
      </c>
      <c r="F70" s="39">
        <f>E70*F69</f>
        <v>1.83</v>
      </c>
      <c r="G70" s="40"/>
      <c r="H70" s="40"/>
      <c r="I70" s="40"/>
      <c r="J70" s="40"/>
      <c r="K70" s="40"/>
      <c r="L70" s="40"/>
      <c r="M70" s="41"/>
    </row>
    <row r="71" spans="1:13" ht="15" x14ac:dyDescent="0.2">
      <c r="A71" s="1140"/>
      <c r="B71" s="343" t="s">
        <v>722</v>
      </c>
      <c r="C71" s="42" t="s">
        <v>296</v>
      </c>
      <c r="D71" s="22" t="s">
        <v>294</v>
      </c>
      <c r="E71" s="43" t="s">
        <v>72</v>
      </c>
      <c r="F71" s="39">
        <v>1</v>
      </c>
      <c r="G71" s="40"/>
      <c r="H71" s="40"/>
      <c r="I71" s="40"/>
      <c r="J71" s="40"/>
      <c r="K71" s="40"/>
      <c r="L71" s="40"/>
      <c r="M71" s="41"/>
    </row>
    <row r="72" spans="1:13" ht="15" x14ac:dyDescent="0.3">
      <c r="A72" s="1140"/>
      <c r="B72" s="343"/>
      <c r="C72" s="209" t="s">
        <v>79</v>
      </c>
      <c r="D72" s="38" t="s">
        <v>78</v>
      </c>
      <c r="E72" s="39">
        <v>2.78</v>
      </c>
      <c r="F72" s="39">
        <f>E72*F69</f>
        <v>0.27799999999999997</v>
      </c>
      <c r="G72" s="40"/>
      <c r="H72" s="40"/>
      <c r="I72" s="40"/>
      <c r="J72" s="40"/>
      <c r="K72" s="40"/>
      <c r="L72" s="40"/>
      <c r="M72" s="41"/>
    </row>
    <row r="73" spans="1:13" ht="15.75" thickBot="1" x14ac:dyDescent="0.35">
      <c r="A73" s="1140"/>
      <c r="B73" s="233"/>
      <c r="C73" s="278" t="s">
        <v>82</v>
      </c>
      <c r="D73" s="675" t="s">
        <v>78</v>
      </c>
      <c r="E73" s="77">
        <v>4.3099999999999996</v>
      </c>
      <c r="F73" s="77">
        <f>E73*F69</f>
        <v>0.43099999999999999</v>
      </c>
      <c r="G73" s="68"/>
      <c r="H73" s="68"/>
      <c r="I73" s="68"/>
      <c r="J73" s="68"/>
      <c r="K73" s="274"/>
      <c r="L73" s="68"/>
      <c r="M73" s="678"/>
    </row>
    <row r="74" spans="1:13" ht="30" x14ac:dyDescent="0.3">
      <c r="A74" s="1124">
        <v>3</v>
      </c>
      <c r="B74" s="899" t="s">
        <v>291</v>
      </c>
      <c r="C74" s="145" t="s">
        <v>297</v>
      </c>
      <c r="D74" s="51" t="s">
        <v>65</v>
      </c>
      <c r="E74" s="736"/>
      <c r="F74" s="152">
        <v>0.1</v>
      </c>
      <c r="G74" s="882"/>
      <c r="H74" s="882"/>
      <c r="I74" s="882"/>
      <c r="J74" s="882"/>
      <c r="K74" s="882"/>
      <c r="L74" s="882"/>
      <c r="M74" s="883"/>
    </row>
    <row r="75" spans="1:13" ht="15" x14ac:dyDescent="0.2">
      <c r="A75" s="1119"/>
      <c r="B75" s="343"/>
      <c r="C75" s="37" t="s">
        <v>67</v>
      </c>
      <c r="D75" s="38" t="s">
        <v>68</v>
      </c>
      <c r="E75" s="39">
        <v>18.3</v>
      </c>
      <c r="F75" s="39">
        <f>E75*F74</f>
        <v>1.83</v>
      </c>
      <c r="G75" s="40"/>
      <c r="H75" s="40"/>
      <c r="I75" s="40"/>
      <c r="J75" s="40"/>
      <c r="K75" s="40"/>
      <c r="L75" s="40"/>
      <c r="M75" s="41"/>
    </row>
    <row r="76" spans="1:13" ht="15" x14ac:dyDescent="0.2">
      <c r="A76" s="1119"/>
      <c r="B76" s="343" t="s">
        <v>722</v>
      </c>
      <c r="C76" s="42" t="s">
        <v>298</v>
      </c>
      <c r="D76" s="22" t="s">
        <v>294</v>
      </c>
      <c r="E76" s="43" t="s">
        <v>72</v>
      </c>
      <c r="F76" s="39">
        <v>1</v>
      </c>
      <c r="G76" s="40"/>
      <c r="H76" s="40"/>
      <c r="I76" s="40"/>
      <c r="J76" s="40"/>
      <c r="K76" s="40"/>
      <c r="L76" s="40"/>
      <c r="M76" s="41"/>
    </row>
    <row r="77" spans="1:13" ht="15" x14ac:dyDescent="0.3">
      <c r="A77" s="1119"/>
      <c r="B77" s="343"/>
      <c r="C77" s="209" t="s">
        <v>79</v>
      </c>
      <c r="D77" s="38" t="s">
        <v>78</v>
      </c>
      <c r="E77" s="39">
        <v>2.78</v>
      </c>
      <c r="F77" s="39">
        <f>E77*F74</f>
        <v>0.27799999999999997</v>
      </c>
      <c r="G77" s="40"/>
      <c r="H77" s="40"/>
      <c r="I77" s="40"/>
      <c r="J77" s="40"/>
      <c r="K77" s="40"/>
      <c r="L77" s="40"/>
      <c r="M77" s="41"/>
    </row>
    <row r="78" spans="1:13" ht="15.75" thickBot="1" x14ac:dyDescent="0.35">
      <c r="A78" s="1120"/>
      <c r="B78" s="104"/>
      <c r="C78" s="210" t="s">
        <v>82</v>
      </c>
      <c r="D78" s="342" t="s">
        <v>78</v>
      </c>
      <c r="E78" s="48">
        <v>4.3099999999999996</v>
      </c>
      <c r="F78" s="48">
        <f>E78*F74</f>
        <v>0.43099999999999999</v>
      </c>
      <c r="G78" s="49"/>
      <c r="H78" s="49"/>
      <c r="I78" s="49"/>
      <c r="J78" s="49"/>
      <c r="K78" s="274"/>
      <c r="L78" s="49"/>
      <c r="M78" s="50"/>
    </row>
    <row r="79" spans="1:13" ht="30" x14ac:dyDescent="0.3">
      <c r="A79" s="1140">
        <v>4</v>
      </c>
      <c r="B79" s="898" t="s">
        <v>291</v>
      </c>
      <c r="C79" s="92" t="s">
        <v>299</v>
      </c>
      <c r="D79" s="746" t="s">
        <v>65</v>
      </c>
      <c r="E79" s="896"/>
      <c r="F79" s="646">
        <v>0.13</v>
      </c>
      <c r="G79" s="887"/>
      <c r="H79" s="887"/>
      <c r="I79" s="887"/>
      <c r="J79" s="887"/>
      <c r="K79" s="887"/>
      <c r="L79" s="887"/>
      <c r="M79" s="897"/>
    </row>
    <row r="80" spans="1:13" ht="15" x14ac:dyDescent="0.2">
      <c r="A80" s="1140"/>
      <c r="B80" s="343"/>
      <c r="C80" s="37" t="s">
        <v>67</v>
      </c>
      <c r="D80" s="38" t="s">
        <v>68</v>
      </c>
      <c r="E80" s="39">
        <v>18.3</v>
      </c>
      <c r="F80" s="39">
        <f>E80*F79</f>
        <v>2.379</v>
      </c>
      <c r="G80" s="40"/>
      <c r="H80" s="40"/>
      <c r="I80" s="40"/>
      <c r="J80" s="40"/>
      <c r="K80" s="40"/>
      <c r="L80" s="40"/>
      <c r="M80" s="41"/>
    </row>
    <row r="81" spans="1:13" ht="15" x14ac:dyDescent="0.2">
      <c r="A81" s="1140"/>
      <c r="B81" s="343" t="s">
        <v>722</v>
      </c>
      <c r="C81" s="42" t="s">
        <v>300</v>
      </c>
      <c r="D81" s="22" t="s">
        <v>294</v>
      </c>
      <c r="E81" s="43" t="s">
        <v>72</v>
      </c>
      <c r="F81" s="39">
        <v>1</v>
      </c>
      <c r="G81" s="40"/>
      <c r="H81" s="40"/>
      <c r="I81" s="40"/>
      <c r="J81" s="40"/>
      <c r="K81" s="40"/>
      <c r="L81" s="40"/>
      <c r="M81" s="41"/>
    </row>
    <row r="82" spans="1:13" ht="15" x14ac:dyDescent="0.3">
      <c r="A82" s="1140"/>
      <c r="B82" s="343"/>
      <c r="C82" s="209" t="s">
        <v>79</v>
      </c>
      <c r="D82" s="38" t="s">
        <v>78</v>
      </c>
      <c r="E82" s="39">
        <v>2.78</v>
      </c>
      <c r="F82" s="39">
        <f>E82*F79</f>
        <v>0.3614</v>
      </c>
      <c r="G82" s="40"/>
      <c r="H82" s="40"/>
      <c r="I82" s="40"/>
      <c r="J82" s="40"/>
      <c r="K82" s="40"/>
      <c r="L82" s="40"/>
      <c r="M82" s="41"/>
    </row>
    <row r="83" spans="1:13" ht="15.75" thickBot="1" x14ac:dyDescent="0.35">
      <c r="A83" s="1140"/>
      <c r="B83" s="233"/>
      <c r="C83" s="278" t="s">
        <v>82</v>
      </c>
      <c r="D83" s="675" t="s">
        <v>78</v>
      </c>
      <c r="E83" s="77">
        <v>4.3099999999999996</v>
      </c>
      <c r="F83" s="77">
        <f>E83*F79</f>
        <v>0.56030000000000002</v>
      </c>
      <c r="G83" s="68"/>
      <c r="H83" s="68"/>
      <c r="I83" s="68"/>
      <c r="J83" s="68"/>
      <c r="K83" s="274"/>
      <c r="L83" s="68"/>
      <c r="M83" s="678"/>
    </row>
    <row r="84" spans="1:13" ht="30" x14ac:dyDescent="0.3">
      <c r="A84" s="1124">
        <v>5</v>
      </c>
      <c r="B84" s="899" t="s">
        <v>291</v>
      </c>
      <c r="C84" s="15" t="s">
        <v>301</v>
      </c>
      <c r="D84" s="51" t="s">
        <v>65</v>
      </c>
      <c r="E84" s="736"/>
      <c r="F84" s="152">
        <v>0.14000000000000001</v>
      </c>
      <c r="G84" s="882"/>
      <c r="H84" s="882"/>
      <c r="I84" s="882"/>
      <c r="J84" s="882"/>
      <c r="K84" s="882"/>
      <c r="L84" s="882"/>
      <c r="M84" s="883"/>
    </row>
    <row r="85" spans="1:13" ht="15" x14ac:dyDescent="0.2">
      <c r="A85" s="1119"/>
      <c r="B85" s="343"/>
      <c r="C85" s="37" t="s">
        <v>67</v>
      </c>
      <c r="D85" s="38" t="s">
        <v>68</v>
      </c>
      <c r="E85" s="39">
        <v>18.3</v>
      </c>
      <c r="F85" s="39">
        <f>E85*F84</f>
        <v>2.5620000000000003</v>
      </c>
      <c r="G85" s="40"/>
      <c r="H85" s="40"/>
      <c r="I85" s="40"/>
      <c r="J85" s="40"/>
      <c r="K85" s="40"/>
      <c r="L85" s="40"/>
      <c r="M85" s="41"/>
    </row>
    <row r="86" spans="1:13" ht="15" x14ac:dyDescent="0.2">
      <c r="A86" s="1119"/>
      <c r="B86" s="343" t="s">
        <v>722</v>
      </c>
      <c r="C86" s="42" t="s">
        <v>302</v>
      </c>
      <c r="D86" s="22" t="s">
        <v>294</v>
      </c>
      <c r="E86" s="43" t="s">
        <v>72</v>
      </c>
      <c r="F86" s="39">
        <v>1</v>
      </c>
      <c r="G86" s="40"/>
      <c r="H86" s="40"/>
      <c r="I86" s="40"/>
      <c r="J86" s="40"/>
      <c r="K86" s="40"/>
      <c r="L86" s="40"/>
      <c r="M86" s="41"/>
    </row>
    <row r="87" spans="1:13" ht="15" x14ac:dyDescent="0.3">
      <c r="A87" s="1119"/>
      <c r="B87" s="343"/>
      <c r="C87" s="209" t="s">
        <v>79</v>
      </c>
      <c r="D87" s="38" t="s">
        <v>78</v>
      </c>
      <c r="E87" s="39">
        <v>2.78</v>
      </c>
      <c r="F87" s="39">
        <f>E87*F84</f>
        <v>0.38919999999999999</v>
      </c>
      <c r="G87" s="40"/>
      <c r="H87" s="40"/>
      <c r="I87" s="40"/>
      <c r="J87" s="40"/>
      <c r="K87" s="40"/>
      <c r="L87" s="40"/>
      <c r="M87" s="41"/>
    </row>
    <row r="88" spans="1:13" ht="15.75" thickBot="1" x14ac:dyDescent="0.35">
      <c r="A88" s="1120"/>
      <c r="B88" s="104"/>
      <c r="C88" s="210" t="s">
        <v>82</v>
      </c>
      <c r="D88" s="342" t="s">
        <v>78</v>
      </c>
      <c r="E88" s="48">
        <v>4.3099999999999996</v>
      </c>
      <c r="F88" s="48">
        <f>E88*F84</f>
        <v>0.60340000000000005</v>
      </c>
      <c r="G88" s="49"/>
      <c r="H88" s="49"/>
      <c r="I88" s="49"/>
      <c r="J88" s="49"/>
      <c r="K88" s="274"/>
      <c r="L88" s="49"/>
      <c r="M88" s="50"/>
    </row>
    <row r="89" spans="1:13" ht="30" x14ac:dyDescent="0.3">
      <c r="A89" s="1140">
        <v>6</v>
      </c>
      <c r="B89" s="898" t="s">
        <v>291</v>
      </c>
      <c r="C89" s="92" t="s">
        <v>303</v>
      </c>
      <c r="D89" s="746" t="s">
        <v>65</v>
      </c>
      <c r="E89" s="896"/>
      <c r="F89" s="646">
        <v>0.1</v>
      </c>
      <c r="G89" s="887"/>
      <c r="H89" s="887"/>
      <c r="I89" s="887"/>
      <c r="J89" s="887"/>
      <c r="K89" s="887"/>
      <c r="L89" s="887"/>
      <c r="M89" s="897"/>
    </row>
    <row r="90" spans="1:13" ht="15" x14ac:dyDescent="0.2">
      <c r="A90" s="1140"/>
      <c r="B90" s="343"/>
      <c r="C90" s="37" t="s">
        <v>67</v>
      </c>
      <c r="D90" s="38" t="s">
        <v>68</v>
      </c>
      <c r="E90" s="39">
        <v>18.3</v>
      </c>
      <c r="F90" s="39">
        <f>E90*F89</f>
        <v>1.83</v>
      </c>
      <c r="G90" s="40"/>
      <c r="H90" s="40"/>
      <c r="I90" s="40"/>
      <c r="J90" s="40"/>
      <c r="K90" s="40"/>
      <c r="L90" s="40"/>
      <c r="M90" s="41"/>
    </row>
    <row r="91" spans="1:13" ht="15" x14ac:dyDescent="0.2">
      <c r="A91" s="1140"/>
      <c r="B91" s="343" t="s">
        <v>722</v>
      </c>
      <c r="C91" s="42" t="s">
        <v>304</v>
      </c>
      <c r="D91" s="22" t="s">
        <v>294</v>
      </c>
      <c r="E91" s="43" t="s">
        <v>72</v>
      </c>
      <c r="F91" s="39">
        <v>1</v>
      </c>
      <c r="G91" s="40"/>
      <c r="H91" s="40"/>
      <c r="I91" s="40"/>
      <c r="J91" s="40"/>
      <c r="K91" s="40"/>
      <c r="L91" s="40"/>
      <c r="M91" s="41"/>
    </row>
    <row r="92" spans="1:13" ht="15" x14ac:dyDescent="0.3">
      <c r="A92" s="1140"/>
      <c r="B92" s="343"/>
      <c r="C92" s="209" t="s">
        <v>79</v>
      </c>
      <c r="D92" s="38" t="s">
        <v>78</v>
      </c>
      <c r="E92" s="39">
        <v>2.78</v>
      </c>
      <c r="F92" s="39">
        <f>E92*F89</f>
        <v>0.27799999999999997</v>
      </c>
      <c r="G92" s="40"/>
      <c r="H92" s="40"/>
      <c r="I92" s="40"/>
      <c r="J92" s="40"/>
      <c r="K92" s="40"/>
      <c r="L92" s="40"/>
      <c r="M92" s="41"/>
    </row>
    <row r="93" spans="1:13" ht="15.75" thickBot="1" x14ac:dyDescent="0.35">
      <c r="A93" s="1140"/>
      <c r="B93" s="233"/>
      <c r="C93" s="278" t="s">
        <v>82</v>
      </c>
      <c r="D93" s="675" t="s">
        <v>78</v>
      </c>
      <c r="E93" s="77">
        <v>4.3099999999999996</v>
      </c>
      <c r="F93" s="77">
        <f>E93*F89</f>
        <v>0.43099999999999999</v>
      </c>
      <c r="G93" s="68"/>
      <c r="H93" s="68"/>
      <c r="I93" s="68"/>
      <c r="J93" s="68"/>
      <c r="K93" s="274"/>
      <c r="L93" s="68"/>
      <c r="M93" s="678"/>
    </row>
    <row r="94" spans="1:13" ht="30" x14ac:dyDescent="0.3">
      <c r="A94" s="1124">
        <v>7</v>
      </c>
      <c r="B94" s="899" t="s">
        <v>291</v>
      </c>
      <c r="C94" s="15" t="s">
        <v>305</v>
      </c>
      <c r="D94" s="51" t="s">
        <v>65</v>
      </c>
      <c r="E94" s="736"/>
      <c r="F94" s="152">
        <v>0.08</v>
      </c>
      <c r="G94" s="882"/>
      <c r="H94" s="882"/>
      <c r="I94" s="882"/>
      <c r="J94" s="882"/>
      <c r="K94" s="882"/>
      <c r="L94" s="882"/>
      <c r="M94" s="883"/>
    </row>
    <row r="95" spans="1:13" ht="15" x14ac:dyDescent="0.2">
      <c r="A95" s="1119"/>
      <c r="B95" s="343"/>
      <c r="C95" s="37" t="s">
        <v>67</v>
      </c>
      <c r="D95" s="38" t="s">
        <v>68</v>
      </c>
      <c r="E95" s="39">
        <v>18.3</v>
      </c>
      <c r="F95" s="39">
        <f>E95*F94</f>
        <v>1.4640000000000002</v>
      </c>
      <c r="G95" s="40"/>
      <c r="H95" s="40"/>
      <c r="I95" s="40"/>
      <c r="J95" s="40"/>
      <c r="K95" s="40"/>
      <c r="L95" s="40"/>
      <c r="M95" s="41"/>
    </row>
    <row r="96" spans="1:13" ht="15" x14ac:dyDescent="0.2">
      <c r="A96" s="1119"/>
      <c r="B96" s="343"/>
      <c r="C96" s="42" t="s">
        <v>306</v>
      </c>
      <c r="D96" s="22" t="s">
        <v>294</v>
      </c>
      <c r="E96" s="43" t="s">
        <v>72</v>
      </c>
      <c r="F96" s="39">
        <v>1</v>
      </c>
      <c r="G96" s="40"/>
      <c r="H96" s="40"/>
      <c r="I96" s="40"/>
      <c r="J96" s="40"/>
      <c r="K96" s="40"/>
      <c r="L96" s="40"/>
      <c r="M96" s="41"/>
    </row>
    <row r="97" spans="1:13" ht="15" x14ac:dyDescent="0.3">
      <c r="A97" s="1119"/>
      <c r="B97" s="343"/>
      <c r="C97" s="209" t="s">
        <v>79</v>
      </c>
      <c r="D97" s="38" t="s">
        <v>78</v>
      </c>
      <c r="E97" s="39">
        <v>2.78</v>
      </c>
      <c r="F97" s="39">
        <f>E97*F94</f>
        <v>0.22239999999999999</v>
      </c>
      <c r="G97" s="40"/>
      <c r="H97" s="40"/>
      <c r="I97" s="40"/>
      <c r="J97" s="40"/>
      <c r="K97" s="40"/>
      <c r="L97" s="40"/>
      <c r="M97" s="41"/>
    </row>
    <row r="98" spans="1:13" ht="15.75" thickBot="1" x14ac:dyDescent="0.35">
      <c r="A98" s="1120"/>
      <c r="B98" s="104"/>
      <c r="C98" s="210" t="s">
        <v>82</v>
      </c>
      <c r="D98" s="342" t="s">
        <v>78</v>
      </c>
      <c r="E98" s="48">
        <v>4.3099999999999996</v>
      </c>
      <c r="F98" s="48">
        <f>E98*F94</f>
        <v>0.3448</v>
      </c>
      <c r="G98" s="49"/>
      <c r="H98" s="49"/>
      <c r="I98" s="49"/>
      <c r="J98" s="49"/>
      <c r="K98" s="274"/>
      <c r="L98" s="49"/>
      <c r="M98" s="50"/>
    </row>
    <row r="99" spans="1:13" ht="30" x14ac:dyDescent="0.3">
      <c r="A99" s="1140">
        <v>8</v>
      </c>
      <c r="B99" s="898" t="s">
        <v>291</v>
      </c>
      <c r="C99" s="92" t="s">
        <v>307</v>
      </c>
      <c r="D99" s="746" t="s">
        <v>65</v>
      </c>
      <c r="E99" s="896"/>
      <c r="F99" s="646">
        <v>0.11</v>
      </c>
      <c r="G99" s="887"/>
      <c r="H99" s="887"/>
      <c r="I99" s="887"/>
      <c r="J99" s="887"/>
      <c r="K99" s="887"/>
      <c r="L99" s="887"/>
      <c r="M99" s="897"/>
    </row>
    <row r="100" spans="1:13" ht="15" x14ac:dyDescent="0.2">
      <c r="A100" s="1140"/>
      <c r="B100" s="343"/>
      <c r="C100" s="37" t="s">
        <v>67</v>
      </c>
      <c r="D100" s="38" t="s">
        <v>68</v>
      </c>
      <c r="E100" s="39">
        <v>18.3</v>
      </c>
      <c r="F100" s="39">
        <f>E100*F99</f>
        <v>2.0129999999999999</v>
      </c>
      <c r="G100" s="40"/>
      <c r="H100" s="40"/>
      <c r="I100" s="40"/>
      <c r="J100" s="40"/>
      <c r="K100" s="40"/>
      <c r="L100" s="40"/>
      <c r="M100" s="41"/>
    </row>
    <row r="101" spans="1:13" ht="15" x14ac:dyDescent="0.2">
      <c r="A101" s="1140"/>
      <c r="B101" s="343"/>
      <c r="C101" s="42" t="s">
        <v>308</v>
      </c>
      <c r="D101" s="22" t="s">
        <v>294</v>
      </c>
      <c r="E101" s="43" t="s">
        <v>72</v>
      </c>
      <c r="F101" s="39">
        <v>1</v>
      </c>
      <c r="G101" s="40"/>
      <c r="H101" s="40"/>
      <c r="I101" s="40"/>
      <c r="J101" s="40"/>
      <c r="K101" s="40"/>
      <c r="L101" s="40"/>
      <c r="M101" s="41"/>
    </row>
    <row r="102" spans="1:13" ht="15" x14ac:dyDescent="0.3">
      <c r="A102" s="1140"/>
      <c r="B102" s="343"/>
      <c r="C102" s="209" t="s">
        <v>79</v>
      </c>
      <c r="D102" s="38" t="s">
        <v>78</v>
      </c>
      <c r="E102" s="39">
        <v>2.78</v>
      </c>
      <c r="F102" s="39">
        <f>E102*F99</f>
        <v>0.30579999999999996</v>
      </c>
      <c r="G102" s="40"/>
      <c r="H102" s="40"/>
      <c r="I102" s="40"/>
      <c r="J102" s="40"/>
      <c r="K102" s="40"/>
      <c r="L102" s="40"/>
      <c r="M102" s="41"/>
    </row>
    <row r="103" spans="1:13" ht="15.75" thickBot="1" x14ac:dyDescent="0.35">
      <c r="A103" s="1140"/>
      <c r="B103" s="233"/>
      <c r="C103" s="278" t="s">
        <v>82</v>
      </c>
      <c r="D103" s="675" t="s">
        <v>78</v>
      </c>
      <c r="E103" s="77">
        <v>4.3099999999999996</v>
      </c>
      <c r="F103" s="77">
        <f>E103*F99</f>
        <v>0.47409999999999997</v>
      </c>
      <c r="G103" s="68"/>
      <c r="H103" s="68"/>
      <c r="I103" s="68"/>
      <c r="J103" s="68"/>
      <c r="K103" s="274"/>
      <c r="L103" s="68"/>
      <c r="M103" s="678"/>
    </row>
    <row r="104" spans="1:13" ht="30" x14ac:dyDescent="0.3">
      <c r="A104" s="1124">
        <v>9</v>
      </c>
      <c r="B104" s="899" t="s">
        <v>291</v>
      </c>
      <c r="C104" s="15" t="s">
        <v>309</v>
      </c>
      <c r="D104" s="51" t="s">
        <v>294</v>
      </c>
      <c r="E104" s="736"/>
      <c r="F104" s="152">
        <v>0.1</v>
      </c>
      <c r="G104" s="882"/>
      <c r="H104" s="882"/>
      <c r="I104" s="882"/>
      <c r="J104" s="882"/>
      <c r="K104" s="882"/>
      <c r="L104" s="882"/>
      <c r="M104" s="883"/>
    </row>
    <row r="105" spans="1:13" ht="15" x14ac:dyDescent="0.2">
      <c r="A105" s="1119"/>
      <c r="B105" s="343"/>
      <c r="C105" s="37" t="s">
        <v>67</v>
      </c>
      <c r="D105" s="38" t="s">
        <v>68</v>
      </c>
      <c r="E105" s="39">
        <v>18.3</v>
      </c>
      <c r="F105" s="39">
        <f>E105*F104</f>
        <v>1.83</v>
      </c>
      <c r="G105" s="40"/>
      <c r="H105" s="40"/>
      <c r="I105" s="40"/>
      <c r="J105" s="40"/>
      <c r="K105" s="40"/>
      <c r="L105" s="40"/>
      <c r="M105" s="41"/>
    </row>
    <row r="106" spans="1:13" ht="15" x14ac:dyDescent="0.2">
      <c r="A106" s="1119"/>
      <c r="B106" s="343"/>
      <c r="C106" s="42" t="s">
        <v>310</v>
      </c>
      <c r="D106" s="22" t="s">
        <v>294</v>
      </c>
      <c r="E106" s="43" t="s">
        <v>72</v>
      </c>
      <c r="F106" s="39">
        <v>1</v>
      </c>
      <c r="G106" s="40"/>
      <c r="H106" s="40"/>
      <c r="I106" s="40"/>
      <c r="J106" s="40"/>
      <c r="K106" s="40"/>
      <c r="L106" s="40"/>
      <c r="M106" s="41"/>
    </row>
    <row r="107" spans="1:13" ht="15" x14ac:dyDescent="0.3">
      <c r="A107" s="1119"/>
      <c r="B107" s="343"/>
      <c r="C107" s="209" t="s">
        <v>79</v>
      </c>
      <c r="D107" s="38" t="s">
        <v>78</v>
      </c>
      <c r="E107" s="39">
        <v>2.78</v>
      </c>
      <c r="F107" s="39">
        <f>E107*F104</f>
        <v>0.27799999999999997</v>
      </c>
      <c r="G107" s="40"/>
      <c r="H107" s="40"/>
      <c r="I107" s="40"/>
      <c r="J107" s="40"/>
      <c r="K107" s="40"/>
      <c r="L107" s="40"/>
      <c r="M107" s="41"/>
    </row>
    <row r="108" spans="1:13" ht="15.75" thickBot="1" x14ac:dyDescent="0.35">
      <c r="A108" s="1120"/>
      <c r="B108" s="104"/>
      <c r="C108" s="210" t="s">
        <v>82</v>
      </c>
      <c r="D108" s="342" t="s">
        <v>78</v>
      </c>
      <c r="E108" s="48">
        <v>4.3099999999999996</v>
      </c>
      <c r="F108" s="48">
        <f>E108*F104</f>
        <v>0.43099999999999999</v>
      </c>
      <c r="G108" s="49"/>
      <c r="H108" s="49"/>
      <c r="I108" s="49"/>
      <c r="J108" s="49"/>
      <c r="K108" s="274"/>
      <c r="L108" s="49"/>
      <c r="M108" s="50"/>
    </row>
    <row r="109" spans="1:13" ht="45" x14ac:dyDescent="0.3">
      <c r="A109" s="1139">
        <v>10</v>
      </c>
      <c r="B109" s="899" t="s">
        <v>291</v>
      </c>
      <c r="C109" s="15" t="s">
        <v>311</v>
      </c>
      <c r="D109" s="51" t="s">
        <v>294</v>
      </c>
      <c r="E109" s="736"/>
      <c r="F109" s="152">
        <v>0.1</v>
      </c>
      <c r="G109" s="882"/>
      <c r="H109" s="882"/>
      <c r="I109" s="882"/>
      <c r="J109" s="882"/>
      <c r="K109" s="882"/>
      <c r="L109" s="882"/>
      <c r="M109" s="883"/>
    </row>
    <row r="110" spans="1:13" ht="15" x14ac:dyDescent="0.2">
      <c r="A110" s="1140"/>
      <c r="B110" s="123"/>
      <c r="C110" s="37" t="s">
        <v>67</v>
      </c>
      <c r="D110" s="38" t="s">
        <v>68</v>
      </c>
      <c r="E110" s="39">
        <v>18.3</v>
      </c>
      <c r="F110" s="39">
        <f>E110*F109</f>
        <v>1.83</v>
      </c>
      <c r="G110" s="40"/>
      <c r="H110" s="40"/>
      <c r="I110" s="40"/>
      <c r="J110" s="40"/>
      <c r="K110" s="40"/>
      <c r="L110" s="40"/>
      <c r="M110" s="41"/>
    </row>
    <row r="111" spans="1:13" ht="30" x14ac:dyDescent="0.2">
      <c r="A111" s="1140"/>
      <c r="B111" s="123"/>
      <c r="C111" s="42" t="s">
        <v>312</v>
      </c>
      <c r="D111" s="22" t="s">
        <v>294</v>
      </c>
      <c r="E111" s="43" t="s">
        <v>72</v>
      </c>
      <c r="F111" s="39">
        <v>1</v>
      </c>
      <c r="G111" s="40"/>
      <c r="H111" s="40"/>
      <c r="I111" s="40"/>
      <c r="J111" s="40"/>
      <c r="K111" s="40"/>
      <c r="L111" s="40"/>
      <c r="M111" s="41"/>
    </row>
    <row r="112" spans="1:13" ht="15" x14ac:dyDescent="0.3">
      <c r="A112" s="1140"/>
      <c r="B112" s="123"/>
      <c r="C112" s="209" t="s">
        <v>79</v>
      </c>
      <c r="D112" s="38" t="s">
        <v>78</v>
      </c>
      <c r="E112" s="39">
        <v>2.78</v>
      </c>
      <c r="F112" s="39">
        <f>E112*F109</f>
        <v>0.27799999999999997</v>
      </c>
      <c r="G112" s="40"/>
      <c r="H112" s="40"/>
      <c r="I112" s="40"/>
      <c r="J112" s="40"/>
      <c r="K112" s="40"/>
      <c r="L112" s="40"/>
      <c r="M112" s="41"/>
    </row>
    <row r="113" spans="1:13" ht="15.75" thickBot="1" x14ac:dyDescent="0.35">
      <c r="A113" s="1141"/>
      <c r="B113" s="277"/>
      <c r="C113" s="210" t="s">
        <v>82</v>
      </c>
      <c r="D113" s="342" t="s">
        <v>78</v>
      </c>
      <c r="E113" s="48">
        <v>4.3099999999999996</v>
      </c>
      <c r="F113" s="48">
        <f>E113*F109</f>
        <v>0.43099999999999999</v>
      </c>
      <c r="G113" s="49"/>
      <c r="H113" s="49"/>
      <c r="I113" s="49"/>
      <c r="J113" s="49"/>
      <c r="K113" s="274"/>
      <c r="L113" s="49"/>
      <c r="M113" s="50"/>
    </row>
    <row r="114" spans="1:13" ht="15" x14ac:dyDescent="0.3">
      <c r="A114" s="279"/>
      <c r="B114" s="276"/>
      <c r="C114" s="625" t="s">
        <v>24</v>
      </c>
      <c r="D114" s="161"/>
      <c r="E114" s="161"/>
      <c r="F114" s="736"/>
      <c r="G114" s="882"/>
      <c r="H114" s="877"/>
      <c r="I114" s="877"/>
      <c r="J114" s="877"/>
      <c r="K114" s="877"/>
      <c r="L114" s="877"/>
      <c r="M114" s="900"/>
    </row>
    <row r="115" spans="1:13" ht="15" x14ac:dyDescent="0.3">
      <c r="A115" s="623"/>
      <c r="B115" s="624"/>
      <c r="C115" s="172" t="s">
        <v>666</v>
      </c>
      <c r="D115" s="172"/>
      <c r="E115" s="172"/>
      <c r="F115" s="896"/>
      <c r="G115" s="887"/>
      <c r="H115" s="887"/>
      <c r="I115" s="887"/>
      <c r="J115" s="887"/>
      <c r="K115" s="887"/>
      <c r="L115" s="887"/>
      <c r="M115" s="897"/>
    </row>
    <row r="116" spans="1:13" ht="15" x14ac:dyDescent="0.3">
      <c r="A116" s="623"/>
      <c r="B116" s="624"/>
      <c r="C116" s="172" t="s">
        <v>665</v>
      </c>
      <c r="D116" s="172"/>
      <c r="E116" s="172"/>
      <c r="F116" s="896"/>
      <c r="G116" s="887"/>
      <c r="H116" s="887"/>
      <c r="I116" s="887"/>
      <c r="J116" s="887"/>
      <c r="K116" s="887"/>
      <c r="L116" s="887"/>
      <c r="M116" s="897"/>
    </row>
    <row r="117" spans="1:13" ht="15" x14ac:dyDescent="0.3">
      <c r="A117" s="623"/>
      <c r="B117" s="624"/>
      <c r="C117" s="172" t="s">
        <v>426</v>
      </c>
      <c r="D117" s="172"/>
      <c r="E117" s="172"/>
      <c r="F117" s="896"/>
      <c r="G117" s="887"/>
      <c r="H117" s="887"/>
      <c r="I117" s="887"/>
      <c r="J117" s="887"/>
      <c r="K117" s="887"/>
      <c r="L117" s="887"/>
      <c r="M117" s="897"/>
    </row>
    <row r="118" spans="1:13" ht="30" x14ac:dyDescent="0.3">
      <c r="A118" s="280"/>
      <c r="B118" s="123"/>
      <c r="C118" s="158" t="s">
        <v>313</v>
      </c>
      <c r="D118" s="362" t="s">
        <v>757</v>
      </c>
      <c r="E118" s="158"/>
      <c r="F118" s="117"/>
      <c r="G118" s="901"/>
      <c r="H118" s="901"/>
      <c r="I118" s="901"/>
      <c r="J118" s="901"/>
      <c r="K118" s="409"/>
      <c r="L118" s="409"/>
      <c r="M118" s="871"/>
    </row>
    <row r="119" spans="1:13" ht="15" x14ac:dyDescent="0.3">
      <c r="A119" s="280"/>
      <c r="B119" s="123"/>
      <c r="C119" s="158" t="s">
        <v>24</v>
      </c>
      <c r="D119" s="158"/>
      <c r="E119" s="158"/>
      <c r="F119" s="117"/>
      <c r="G119" s="901"/>
      <c r="H119" s="901"/>
      <c r="I119" s="901"/>
      <c r="J119" s="901"/>
      <c r="K119" s="409"/>
      <c r="L119" s="409"/>
      <c r="M119" s="871"/>
    </row>
    <row r="120" spans="1:13" ht="15" x14ac:dyDescent="0.3">
      <c r="A120" s="280"/>
      <c r="B120" s="123"/>
      <c r="C120" s="158" t="s">
        <v>729</v>
      </c>
      <c r="D120" s="325" t="s">
        <v>757</v>
      </c>
      <c r="E120" s="158"/>
      <c r="F120" s="117"/>
      <c r="G120" s="901"/>
      <c r="H120" s="901"/>
      <c r="I120" s="901"/>
      <c r="J120" s="901"/>
      <c r="K120" s="409"/>
      <c r="L120" s="409"/>
      <c r="M120" s="871"/>
    </row>
    <row r="121" spans="1:13" ht="15" x14ac:dyDescent="0.3">
      <c r="A121" s="280"/>
      <c r="B121" s="123"/>
      <c r="C121" s="626" t="s">
        <v>24</v>
      </c>
      <c r="D121" s="124"/>
      <c r="E121" s="158"/>
      <c r="F121" s="117"/>
      <c r="G121" s="901"/>
      <c r="H121" s="901"/>
      <c r="I121" s="901"/>
      <c r="J121" s="901"/>
      <c r="K121" s="409"/>
      <c r="L121" s="409"/>
      <c r="M121" s="872"/>
    </row>
    <row r="122" spans="1:13" ht="30" x14ac:dyDescent="0.3">
      <c r="A122" s="280"/>
      <c r="B122" s="123"/>
      <c r="C122" s="158" t="s">
        <v>730</v>
      </c>
      <c r="D122" s="325" t="s">
        <v>757</v>
      </c>
      <c r="E122" s="158"/>
      <c r="F122" s="117"/>
      <c r="G122" s="901"/>
      <c r="H122" s="901"/>
      <c r="I122" s="901"/>
      <c r="J122" s="901"/>
      <c r="K122" s="409"/>
      <c r="L122" s="409"/>
      <c r="M122" s="871"/>
    </row>
    <row r="123" spans="1:13" s="873" customFormat="1" ht="15" x14ac:dyDescent="0.3">
      <c r="A123" s="405"/>
      <c r="B123" s="381"/>
      <c r="C123" s="626" t="s">
        <v>24</v>
      </c>
      <c r="D123" s="325"/>
      <c r="E123" s="406"/>
      <c r="F123" s="902"/>
      <c r="G123" s="903"/>
      <c r="H123" s="903"/>
      <c r="I123" s="903"/>
      <c r="J123" s="903"/>
      <c r="K123" s="584"/>
      <c r="L123" s="584"/>
      <c r="M123" s="872"/>
    </row>
  </sheetData>
  <sheetProtection password="CF7A" sheet="1" objects="1" scenarios="1"/>
  <protectedRanges>
    <protectedRange sqref="G38:M123" name="Range4"/>
    <protectedRange sqref="G29:G37" name="Range3_1_1"/>
    <protectedRange sqref="H29:M30 L31:M31 H31:J31 H32:M37" name="Range1_1_1"/>
    <protectedRange sqref="D118:F123" name="Range3"/>
  </protectedRanges>
  <autoFilter ref="A7:M123"/>
  <mergeCells count="31">
    <mergeCell ref="A18:A27"/>
    <mergeCell ref="A28:A37"/>
    <mergeCell ref="A38:A43"/>
    <mergeCell ref="A109:A113"/>
    <mergeCell ref="A51:A56"/>
    <mergeCell ref="A57:A62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44:A50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A9:A10"/>
    <mergeCell ref="A11:A17"/>
    <mergeCell ref="I5:J5"/>
    <mergeCell ref="K5:L5"/>
    <mergeCell ref="M5:M6"/>
  </mergeCells>
  <conditionalFormatting sqref="B22:F27 B17:F18 B39:F40">
    <cfRule type="cellIs" dxfId="157" priority="6" stopIfTrue="1" operator="equal">
      <formula>8223.307275</formula>
    </cfRule>
  </conditionalFormatting>
  <conditionalFormatting sqref="B19:F21">
    <cfRule type="cellIs" dxfId="156" priority="5" stopIfTrue="1" operator="equal">
      <formula>8223.307275</formula>
    </cfRule>
  </conditionalFormatting>
  <conditionalFormatting sqref="B28:F29">
    <cfRule type="cellIs" dxfId="155" priority="3" stopIfTrue="1" operator="equal">
      <formula>8223.307275</formula>
    </cfRule>
  </conditionalFormatting>
  <conditionalFormatting sqref="B42:F42 B43:D45 F43:F45">
    <cfRule type="cellIs" dxfId="154" priority="4" stopIfTrue="1" operator="equal">
      <formula>8223.307275</formula>
    </cfRule>
  </conditionalFormatting>
  <conditionalFormatting sqref="B30:F38">
    <cfRule type="cellIs" dxfId="153" priority="2" stopIfTrue="1" operator="equal">
      <formula>8223.307275</formula>
    </cfRule>
  </conditionalFormatting>
  <conditionalFormatting sqref="E43:E45">
    <cfRule type="cellIs" dxfId="152" priority="1" stopIfTrue="1" operator="equal">
      <formula>8223.307275</formula>
    </cfRule>
  </conditionalFormatting>
  <pageMargins left="1.0900000000000001" right="0" top="0.19685039370078741" bottom="0.18" header="0.15748031496062992" footer="0.15748031496062992"/>
  <pageSetup paperSize="9" scale="90" orientation="landscape" horizontalDpi="4294967295" verticalDpi="4294967295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"/>
  <sheetViews>
    <sheetView view="pageBreakPreview" topLeftCell="A16" zoomScaleNormal="100" zoomScaleSheetLayoutView="100" workbookViewId="0">
      <selection activeCell="D32" sqref="D32:F39"/>
    </sheetView>
  </sheetViews>
  <sheetFormatPr defaultRowHeight="12.75" x14ac:dyDescent="0.2"/>
  <cols>
    <col min="1" max="1" width="2.7109375" style="771" bestFit="1" customWidth="1"/>
    <col min="2" max="2" width="8.140625" style="770" customWidth="1"/>
    <col min="3" max="3" width="50.5703125" style="771" customWidth="1"/>
    <col min="4" max="4" width="9.140625" style="771"/>
    <col min="5" max="5" width="10.28515625" style="771" bestFit="1" customWidth="1"/>
    <col min="6" max="6" width="7.42578125" style="771" bestFit="1" customWidth="1"/>
    <col min="7" max="7" width="9.85546875" style="820" bestFit="1" customWidth="1"/>
    <col min="8" max="8" width="10.140625" style="820" bestFit="1" customWidth="1"/>
    <col min="9" max="9" width="6.5703125" style="820" bestFit="1" customWidth="1"/>
    <col min="10" max="10" width="9" style="820" bestFit="1" customWidth="1"/>
    <col min="11" max="12" width="7.5703125" style="820" bestFit="1" customWidth="1"/>
    <col min="13" max="13" width="12.5703125" style="820" bestFit="1" customWidth="1"/>
    <col min="14" max="16384" width="9.140625" style="771"/>
  </cols>
  <sheetData>
    <row r="1" spans="1:13" ht="15" x14ac:dyDescent="0.2">
      <c r="B1" s="1089" t="s">
        <v>643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3" ht="15" x14ac:dyDescent="0.2">
      <c r="B2" s="1090" t="s">
        <v>345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ht="15" x14ac:dyDescent="0.2">
      <c r="A3" s="12"/>
      <c r="B3" s="1091" t="s">
        <v>325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5.75" thickBot="1" x14ac:dyDescent="0.35">
      <c r="A4" s="1093"/>
      <c r="B4" s="1180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25">
      <c r="A6" s="1095"/>
      <c r="B6" s="1097"/>
      <c r="C6" s="1099"/>
      <c r="D6" s="1099"/>
      <c r="E6" s="77" t="s">
        <v>399</v>
      </c>
      <c r="F6" s="77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822" customFormat="1" ht="15.75" thickBot="1" x14ac:dyDescent="0.25">
      <c r="A7" s="183"/>
      <c r="B7" s="184" t="s">
        <v>60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6">
        <v>13</v>
      </c>
    </row>
    <row r="8" spans="1:13" s="822" customFormat="1" ht="30.75" thickBot="1" x14ac:dyDescent="0.25">
      <c r="A8" s="410"/>
      <c r="B8" s="411"/>
      <c r="C8" s="904" t="s">
        <v>456</v>
      </c>
      <c r="D8" s="412"/>
      <c r="E8" s="412"/>
      <c r="F8" s="412"/>
      <c r="G8" s="412"/>
      <c r="H8" s="412"/>
      <c r="I8" s="412"/>
      <c r="J8" s="412"/>
      <c r="K8" s="412"/>
      <c r="L8" s="412"/>
      <c r="M8" s="413"/>
    </row>
    <row r="9" spans="1:13" ht="30" x14ac:dyDescent="0.2">
      <c r="A9" s="1182">
        <v>1</v>
      </c>
      <c r="B9" s="642" t="s">
        <v>279</v>
      </c>
      <c r="C9" s="312" t="s">
        <v>316</v>
      </c>
      <c r="D9" s="171" t="s">
        <v>76</v>
      </c>
      <c r="E9" s="172"/>
      <c r="F9" s="302">
        <f>13*15</f>
        <v>195</v>
      </c>
      <c r="G9" s="313"/>
      <c r="H9" s="726"/>
      <c r="I9" s="313"/>
      <c r="J9" s="726"/>
      <c r="K9" s="313"/>
      <c r="L9" s="726"/>
      <c r="M9" s="727"/>
    </row>
    <row r="10" spans="1:13" ht="15" x14ac:dyDescent="0.2">
      <c r="A10" s="1183"/>
      <c r="B10" s="169"/>
      <c r="C10" s="159" t="s">
        <v>63</v>
      </c>
      <c r="D10" s="158" t="s">
        <v>165</v>
      </c>
      <c r="E10" s="158">
        <v>1.08</v>
      </c>
      <c r="F10" s="122">
        <f>E10*F9</f>
        <v>210.60000000000002</v>
      </c>
      <c r="G10" s="274"/>
      <c r="H10" s="409"/>
      <c r="I10" s="274"/>
      <c r="J10" s="409"/>
      <c r="K10" s="274"/>
      <c r="L10" s="409"/>
      <c r="M10" s="871"/>
    </row>
    <row r="11" spans="1:13" ht="15" x14ac:dyDescent="0.2">
      <c r="A11" s="1183"/>
      <c r="B11" s="169"/>
      <c r="C11" s="159" t="s">
        <v>166</v>
      </c>
      <c r="D11" s="158" t="s">
        <v>78</v>
      </c>
      <c r="E11" s="158">
        <v>4.5199999999999997E-2</v>
      </c>
      <c r="F11" s="122">
        <f>E11*F9</f>
        <v>8.8140000000000001</v>
      </c>
      <c r="G11" s="274"/>
      <c r="H11" s="409"/>
      <c r="I11" s="274"/>
      <c r="J11" s="409"/>
      <c r="K11" s="274"/>
      <c r="L11" s="409"/>
      <c r="M11" s="871"/>
    </row>
    <row r="12" spans="1:13" ht="15" x14ac:dyDescent="0.2">
      <c r="A12" s="1183"/>
      <c r="B12" s="169" t="s">
        <v>549</v>
      </c>
      <c r="C12" s="159" t="s">
        <v>281</v>
      </c>
      <c r="D12" s="158" t="s">
        <v>76</v>
      </c>
      <c r="E12" s="158">
        <v>1.02</v>
      </c>
      <c r="F12" s="122">
        <f>E12*F9</f>
        <v>198.9</v>
      </c>
      <c r="G12" s="274"/>
      <c r="H12" s="409"/>
      <c r="I12" s="274"/>
      <c r="J12" s="409"/>
      <c r="K12" s="274"/>
      <c r="L12" s="409"/>
      <c r="M12" s="871"/>
    </row>
    <row r="13" spans="1:13" ht="22.5" x14ac:dyDescent="0.2">
      <c r="A13" s="1183"/>
      <c r="B13" s="169" t="s">
        <v>555</v>
      </c>
      <c r="C13" s="159" t="s">
        <v>282</v>
      </c>
      <c r="D13" s="158" t="s">
        <v>71</v>
      </c>
      <c r="E13" s="122">
        <v>1</v>
      </c>
      <c r="F13" s="122">
        <f>E13*F9</f>
        <v>195</v>
      </c>
      <c r="G13" s="274"/>
      <c r="H13" s="409"/>
      <c r="I13" s="274"/>
      <c r="J13" s="409"/>
      <c r="K13" s="274"/>
      <c r="L13" s="409"/>
      <c r="M13" s="871"/>
    </row>
    <row r="14" spans="1:13" ht="15.75" thickBot="1" x14ac:dyDescent="0.25">
      <c r="A14" s="1184"/>
      <c r="B14" s="283"/>
      <c r="C14" s="163" t="s">
        <v>119</v>
      </c>
      <c r="D14" s="162" t="s">
        <v>78</v>
      </c>
      <c r="E14" s="162">
        <v>4.6600000000000003E-2</v>
      </c>
      <c r="F14" s="195">
        <f>E14*F9</f>
        <v>9.0869999999999997</v>
      </c>
      <c r="G14" s="285"/>
      <c r="H14" s="581"/>
      <c r="I14" s="285"/>
      <c r="J14" s="581"/>
      <c r="K14" s="285"/>
      <c r="L14" s="581"/>
      <c r="M14" s="725"/>
    </row>
    <row r="15" spans="1:13" ht="30" x14ac:dyDescent="0.2">
      <c r="A15" s="1127">
        <v>2</v>
      </c>
      <c r="B15" s="905" t="s">
        <v>147</v>
      </c>
      <c r="C15" s="906" t="s">
        <v>317</v>
      </c>
      <c r="D15" s="906" t="s">
        <v>88</v>
      </c>
      <c r="E15" s="906"/>
      <c r="F15" s="302">
        <v>56</v>
      </c>
      <c r="G15" s="213"/>
      <c r="H15" s="74"/>
      <c r="I15" s="74"/>
      <c r="J15" s="74"/>
      <c r="K15" s="74"/>
      <c r="L15" s="74"/>
      <c r="M15" s="87"/>
    </row>
    <row r="16" spans="1:13" ht="15" x14ac:dyDescent="0.2">
      <c r="A16" s="1122"/>
      <c r="B16" s="907"/>
      <c r="C16" s="165" t="s">
        <v>63</v>
      </c>
      <c r="D16" s="166" t="s">
        <v>165</v>
      </c>
      <c r="E16" s="908">
        <v>0.3</v>
      </c>
      <c r="F16" s="167">
        <f>E16*F15</f>
        <v>16.8</v>
      </c>
      <c r="G16" s="24"/>
      <c r="H16" s="40"/>
      <c r="I16" s="40"/>
      <c r="J16" s="40"/>
      <c r="K16" s="40"/>
      <c r="L16" s="40"/>
      <c r="M16" s="41"/>
    </row>
    <row r="17" spans="1:13" ht="15" x14ac:dyDescent="0.2">
      <c r="A17" s="1122"/>
      <c r="B17" s="907"/>
      <c r="C17" s="165" t="s">
        <v>166</v>
      </c>
      <c r="D17" s="166" t="s">
        <v>78</v>
      </c>
      <c r="E17" s="908">
        <v>0.3</v>
      </c>
      <c r="F17" s="167">
        <f>E17*F15</f>
        <v>16.8</v>
      </c>
      <c r="G17" s="24"/>
      <c r="H17" s="40"/>
      <c r="I17" s="40"/>
      <c r="J17" s="40"/>
      <c r="K17" s="40"/>
      <c r="L17" s="40"/>
      <c r="M17" s="41"/>
    </row>
    <row r="18" spans="1:13" ht="15" x14ac:dyDescent="0.2">
      <c r="A18" s="1122"/>
      <c r="B18" s="907" t="s">
        <v>147</v>
      </c>
      <c r="C18" s="165" t="s">
        <v>318</v>
      </c>
      <c r="D18" s="166" t="s">
        <v>88</v>
      </c>
      <c r="E18" s="908">
        <v>1</v>
      </c>
      <c r="F18" s="167">
        <f>E18*F15</f>
        <v>56</v>
      </c>
      <c r="G18" s="24"/>
      <c r="H18" s="40"/>
      <c r="I18" s="40"/>
      <c r="J18" s="40"/>
      <c r="K18" s="40"/>
      <c r="L18" s="40"/>
      <c r="M18" s="41"/>
    </row>
    <row r="19" spans="1:13" ht="22.5" x14ac:dyDescent="0.2">
      <c r="A19" s="1122"/>
      <c r="B19" s="907" t="s">
        <v>553</v>
      </c>
      <c r="C19" s="165" t="s">
        <v>171</v>
      </c>
      <c r="D19" s="166" t="s">
        <v>62</v>
      </c>
      <c r="E19" s="166">
        <v>1.4840000000000001E-2</v>
      </c>
      <c r="F19" s="167">
        <f>E19*F15</f>
        <v>0.83104</v>
      </c>
      <c r="G19" s="24"/>
      <c r="H19" s="40"/>
      <c r="I19" s="40"/>
      <c r="J19" s="40"/>
      <c r="K19" s="40"/>
      <c r="L19" s="40"/>
      <c r="M19" s="41"/>
    </row>
    <row r="20" spans="1:13" ht="15.75" thickBot="1" x14ac:dyDescent="0.25">
      <c r="A20" s="1142"/>
      <c r="B20" s="909"/>
      <c r="C20" s="910" t="s">
        <v>119</v>
      </c>
      <c r="D20" s="911" t="s">
        <v>78</v>
      </c>
      <c r="E20" s="911">
        <v>4.7E-2</v>
      </c>
      <c r="F20" s="182">
        <f>E20*F15</f>
        <v>2.6320000000000001</v>
      </c>
      <c r="G20" s="67"/>
      <c r="H20" s="68"/>
      <c r="I20" s="68"/>
      <c r="J20" s="68"/>
      <c r="K20" s="68"/>
      <c r="L20" s="68"/>
      <c r="M20" s="678"/>
    </row>
    <row r="21" spans="1:13" ht="30.75" thickBot="1" x14ac:dyDescent="0.35">
      <c r="A21" s="682">
        <v>3</v>
      </c>
      <c r="B21" s="995" t="s">
        <v>722</v>
      </c>
      <c r="C21" s="912" t="s">
        <v>326</v>
      </c>
      <c r="D21" s="88" t="s">
        <v>120</v>
      </c>
      <c r="E21" s="913" t="s">
        <v>72</v>
      </c>
      <c r="F21" s="914">
        <v>1</v>
      </c>
      <c r="G21" s="889"/>
      <c r="H21" s="889"/>
      <c r="I21" s="889"/>
      <c r="J21" s="889"/>
      <c r="K21" s="889"/>
      <c r="L21" s="889"/>
      <c r="M21" s="890"/>
    </row>
    <row r="22" spans="1:13" ht="30.75" thickBot="1" x14ac:dyDescent="0.35">
      <c r="A22" s="682">
        <v>4</v>
      </c>
      <c r="B22" s="995" t="s">
        <v>722</v>
      </c>
      <c r="C22" s="915" t="s">
        <v>327</v>
      </c>
      <c r="D22" s="88" t="s">
        <v>120</v>
      </c>
      <c r="E22" s="913" t="s">
        <v>72</v>
      </c>
      <c r="F22" s="914">
        <v>1</v>
      </c>
      <c r="G22" s="889"/>
      <c r="H22" s="889"/>
      <c r="I22" s="889"/>
      <c r="J22" s="889"/>
      <c r="K22" s="889"/>
      <c r="L22" s="889"/>
      <c r="M22" s="890"/>
    </row>
    <row r="23" spans="1:13" ht="30.75" thickBot="1" x14ac:dyDescent="0.35">
      <c r="A23" s="682">
        <v>5</v>
      </c>
      <c r="B23" s="995" t="s">
        <v>722</v>
      </c>
      <c r="C23" s="915" t="s">
        <v>328</v>
      </c>
      <c r="D23" s="88" t="s">
        <v>120</v>
      </c>
      <c r="E23" s="913" t="s">
        <v>72</v>
      </c>
      <c r="F23" s="914">
        <v>3</v>
      </c>
      <c r="G23" s="889"/>
      <c r="H23" s="889"/>
      <c r="I23" s="889"/>
      <c r="J23" s="889"/>
      <c r="K23" s="889"/>
      <c r="L23" s="889"/>
      <c r="M23" s="890"/>
    </row>
    <row r="24" spans="1:13" ht="30.75" thickBot="1" x14ac:dyDescent="0.35">
      <c r="A24" s="682">
        <v>6</v>
      </c>
      <c r="B24" s="995" t="s">
        <v>722</v>
      </c>
      <c r="C24" s="915" t="s">
        <v>329</v>
      </c>
      <c r="D24" s="88" t="s">
        <v>120</v>
      </c>
      <c r="E24" s="913" t="s">
        <v>72</v>
      </c>
      <c r="F24" s="914">
        <v>1</v>
      </c>
      <c r="G24" s="889"/>
      <c r="H24" s="889"/>
      <c r="I24" s="889"/>
      <c r="J24" s="889"/>
      <c r="K24" s="889"/>
      <c r="L24" s="889"/>
      <c r="M24" s="890"/>
    </row>
    <row r="25" spans="1:13" ht="30.75" thickBot="1" x14ac:dyDescent="0.35">
      <c r="A25" s="682">
        <v>7</v>
      </c>
      <c r="B25" s="995" t="s">
        <v>722</v>
      </c>
      <c r="C25" s="915" t="s">
        <v>330</v>
      </c>
      <c r="D25" s="88" t="s">
        <v>120</v>
      </c>
      <c r="E25" s="913" t="s">
        <v>72</v>
      </c>
      <c r="F25" s="914">
        <v>1</v>
      </c>
      <c r="G25" s="889"/>
      <c r="H25" s="889"/>
      <c r="I25" s="889"/>
      <c r="J25" s="889"/>
      <c r="K25" s="889"/>
      <c r="L25" s="889"/>
      <c r="M25" s="890"/>
    </row>
    <row r="26" spans="1:13" ht="45.75" thickBot="1" x14ac:dyDescent="0.25">
      <c r="A26" s="682">
        <v>8</v>
      </c>
      <c r="B26" s="995" t="s">
        <v>722</v>
      </c>
      <c r="C26" s="916" t="s">
        <v>331</v>
      </c>
      <c r="D26" s="88" t="s">
        <v>120</v>
      </c>
      <c r="E26" s="913" t="s">
        <v>72</v>
      </c>
      <c r="F26" s="914">
        <v>3</v>
      </c>
      <c r="G26" s="889"/>
      <c r="H26" s="889"/>
      <c r="I26" s="889"/>
      <c r="J26" s="889"/>
      <c r="K26" s="889"/>
      <c r="L26" s="889"/>
      <c r="M26" s="890"/>
    </row>
    <row r="27" spans="1:13" ht="30.75" thickBot="1" x14ac:dyDescent="0.25">
      <c r="A27" s="917"/>
      <c r="B27" s="918"/>
      <c r="C27" s="904" t="s">
        <v>457</v>
      </c>
      <c r="D27" s="919"/>
      <c r="E27" s="918"/>
      <c r="F27" s="920"/>
      <c r="G27" s="921"/>
      <c r="H27" s="921"/>
      <c r="I27" s="921"/>
      <c r="J27" s="921"/>
      <c r="K27" s="921"/>
      <c r="L27" s="921"/>
      <c r="M27" s="922"/>
    </row>
    <row r="28" spans="1:13" ht="15" x14ac:dyDescent="0.2">
      <c r="A28" s="1181">
        <v>1</v>
      </c>
      <c r="B28" s="643" t="s">
        <v>93</v>
      </c>
      <c r="C28" s="288" t="s">
        <v>332</v>
      </c>
      <c r="D28" s="288" t="s">
        <v>62</v>
      </c>
      <c r="E28" s="289"/>
      <c r="F28" s="290">
        <f>6*6*0.2</f>
        <v>7.2</v>
      </c>
      <c r="G28" s="676"/>
      <c r="H28" s="676"/>
      <c r="I28" s="676"/>
      <c r="J28" s="676"/>
      <c r="K28" s="676"/>
      <c r="L28" s="676"/>
      <c r="M28" s="677"/>
    </row>
    <row r="29" spans="1:13" ht="15" x14ac:dyDescent="0.2">
      <c r="A29" s="1161"/>
      <c r="B29" s="679"/>
      <c r="C29" s="79" t="s">
        <v>63</v>
      </c>
      <c r="D29" s="80" t="s">
        <v>64</v>
      </c>
      <c r="E29" s="81">
        <v>0.89</v>
      </c>
      <c r="F29" s="82">
        <f>E29*F28</f>
        <v>6.4080000000000004</v>
      </c>
      <c r="G29" s="83"/>
      <c r="H29" s="83"/>
      <c r="I29" s="83"/>
      <c r="J29" s="83"/>
      <c r="K29" s="83"/>
      <c r="L29" s="83"/>
      <c r="M29" s="84"/>
    </row>
    <row r="30" spans="1:13" ht="15" x14ac:dyDescent="0.2">
      <c r="A30" s="1161"/>
      <c r="B30" s="679"/>
      <c r="C30" s="79" t="s">
        <v>82</v>
      </c>
      <c r="D30" s="80" t="s">
        <v>78</v>
      </c>
      <c r="E30" s="81">
        <v>0.37</v>
      </c>
      <c r="F30" s="82">
        <f>E30*F28</f>
        <v>2.6640000000000001</v>
      </c>
      <c r="G30" s="83"/>
      <c r="H30" s="83"/>
      <c r="I30" s="83"/>
      <c r="J30" s="83"/>
      <c r="K30" s="40"/>
      <c r="L30" s="83"/>
      <c r="M30" s="84"/>
    </row>
    <row r="31" spans="1:13" ht="23.25" thickBot="1" x14ac:dyDescent="0.25">
      <c r="A31" s="1161"/>
      <c r="B31" s="673" t="s">
        <v>556</v>
      </c>
      <c r="C31" s="108" t="s">
        <v>333</v>
      </c>
      <c r="D31" s="109" t="s">
        <v>62</v>
      </c>
      <c r="E31" s="286">
        <v>1.1200000000000001</v>
      </c>
      <c r="F31" s="287">
        <f>E31*F28</f>
        <v>8.0640000000000018</v>
      </c>
      <c r="G31" s="110"/>
      <c r="H31" s="110"/>
      <c r="I31" s="110"/>
      <c r="J31" s="110"/>
      <c r="K31" s="111"/>
      <c r="L31" s="110"/>
      <c r="M31" s="112"/>
    </row>
    <row r="32" spans="1:13" ht="15" x14ac:dyDescent="0.2">
      <c r="A32" s="144"/>
      <c r="B32" s="78"/>
      <c r="C32" s="923" t="s">
        <v>24</v>
      </c>
      <c r="D32" s="51"/>
      <c r="E32" s="51"/>
      <c r="F32" s="924"/>
      <c r="G32" s="53"/>
      <c r="H32" s="60"/>
      <c r="I32" s="60"/>
      <c r="J32" s="60"/>
      <c r="K32" s="60"/>
      <c r="L32" s="60"/>
      <c r="M32" s="54"/>
    </row>
    <row r="33" spans="1:13" ht="15" x14ac:dyDescent="0.2">
      <c r="A33" s="870"/>
      <c r="B33" s="501"/>
      <c r="C33" s="57" t="s">
        <v>149</v>
      </c>
      <c r="D33" s="22"/>
      <c r="E33" s="22"/>
      <c r="F33" s="781"/>
      <c r="G33" s="24"/>
      <c r="H33" s="24"/>
      <c r="I33" s="24"/>
      <c r="J33" s="24"/>
      <c r="K33" s="24"/>
      <c r="L33" s="24"/>
      <c r="M33" s="25"/>
    </row>
    <row r="34" spans="1:13" ht="30" x14ac:dyDescent="0.2">
      <c r="A34" s="870"/>
      <c r="B34" s="501"/>
      <c r="C34" s="22" t="s">
        <v>322</v>
      </c>
      <c r="D34" s="362" t="s">
        <v>757</v>
      </c>
      <c r="E34" s="22"/>
      <c r="F34" s="781"/>
      <c r="G34" s="24"/>
      <c r="H34" s="24"/>
      <c r="I34" s="24"/>
      <c r="J34" s="24"/>
      <c r="K34" s="24"/>
      <c r="L34" s="24"/>
      <c r="M34" s="25"/>
    </row>
    <row r="35" spans="1:13" ht="15" x14ac:dyDescent="0.2">
      <c r="A35" s="870"/>
      <c r="B35" s="501"/>
      <c r="C35" s="628" t="s">
        <v>24</v>
      </c>
      <c r="D35" s="362"/>
      <c r="E35" s="22"/>
      <c r="F35" s="781"/>
      <c r="G35" s="24"/>
      <c r="H35" s="24"/>
      <c r="I35" s="24"/>
      <c r="J35" s="24"/>
      <c r="K35" s="24"/>
      <c r="L35" s="24"/>
      <c r="M35" s="118"/>
    </row>
    <row r="36" spans="1:13" ht="15" x14ac:dyDescent="0.2">
      <c r="A36" s="870"/>
      <c r="B36" s="501"/>
      <c r="C36" s="31" t="s">
        <v>323</v>
      </c>
      <c r="D36" s="362" t="s">
        <v>757</v>
      </c>
      <c r="E36" s="22"/>
      <c r="F36" s="781"/>
      <c r="G36" s="24"/>
      <c r="H36" s="24"/>
      <c r="I36" s="24"/>
      <c r="J36" s="24"/>
      <c r="K36" s="24"/>
      <c r="L36" s="24"/>
      <c r="M36" s="25"/>
    </row>
    <row r="37" spans="1:13" ht="15" x14ac:dyDescent="0.2">
      <c r="A37" s="870"/>
      <c r="B37" s="501"/>
      <c r="C37" s="628" t="s">
        <v>24</v>
      </c>
      <c r="D37" s="362"/>
      <c r="E37" s="22"/>
      <c r="F37" s="781"/>
      <c r="G37" s="24"/>
      <c r="H37" s="24"/>
      <c r="I37" s="24"/>
      <c r="J37" s="24"/>
      <c r="K37" s="24"/>
      <c r="L37" s="24"/>
      <c r="M37" s="118"/>
    </row>
    <row r="38" spans="1:13" ht="15" x14ac:dyDescent="0.2">
      <c r="A38" s="870"/>
      <c r="B38" s="501"/>
      <c r="C38" s="31" t="s">
        <v>670</v>
      </c>
      <c r="D38" s="362" t="s">
        <v>757</v>
      </c>
      <c r="E38" s="22"/>
      <c r="F38" s="781"/>
      <c r="G38" s="24"/>
      <c r="H38" s="24"/>
      <c r="I38" s="24"/>
      <c r="J38" s="24"/>
      <c r="K38" s="24"/>
      <c r="L38" s="24"/>
      <c r="M38" s="25"/>
    </row>
    <row r="39" spans="1:13" s="824" customFormat="1" ht="15" x14ac:dyDescent="0.2">
      <c r="A39" s="925"/>
      <c r="B39" s="926"/>
      <c r="C39" s="628" t="s">
        <v>24</v>
      </c>
      <c r="D39" s="362"/>
      <c r="E39" s="927"/>
      <c r="F39" s="928"/>
      <c r="G39" s="669"/>
      <c r="H39" s="669"/>
      <c r="I39" s="669"/>
      <c r="J39" s="669"/>
      <c r="K39" s="669"/>
      <c r="L39" s="669"/>
      <c r="M39" s="118"/>
    </row>
    <row r="40" spans="1:13" x14ac:dyDescent="0.2">
      <c r="A40" s="811"/>
      <c r="B40" s="767"/>
      <c r="C40" s="811"/>
      <c r="D40" s="811"/>
      <c r="E40" s="811"/>
      <c r="F40" s="811"/>
      <c r="G40" s="939"/>
      <c r="H40" s="939"/>
      <c r="I40" s="939"/>
      <c r="J40" s="939"/>
      <c r="K40" s="939"/>
      <c r="L40" s="939"/>
      <c r="M40" s="939"/>
    </row>
  </sheetData>
  <sheetProtection password="CF7A" sheet="1" objects="1" scenarios="1"/>
  <protectedRanges>
    <protectedRange sqref="D32:F39" name="Range2"/>
    <protectedRange sqref="G8:M39" name="Range1"/>
  </protectedRanges>
  <autoFilter ref="A7:M39"/>
  <mergeCells count="16">
    <mergeCell ref="A28:A31"/>
    <mergeCell ref="I5:J5"/>
    <mergeCell ref="K5:L5"/>
    <mergeCell ref="A9:A14"/>
    <mergeCell ref="A15:A20"/>
    <mergeCell ref="M5:M6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</mergeCells>
  <conditionalFormatting sqref="B28:F31">
    <cfRule type="cellIs" dxfId="151" priority="4" stopIfTrue="1" operator="equal">
      <formula>8223.307275</formula>
    </cfRule>
  </conditionalFormatting>
  <pageMargins left="0.94" right="0" top="0.43307086614173229" bottom="0.19685039370078741" header="0.15748031496062992" footer="0.15748031496062992"/>
  <pageSetup paperSize="9" scale="85" orientation="landscape" horizontalDpi="4294967295" verticalDpi="4294967295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5"/>
  <sheetViews>
    <sheetView view="pageBreakPreview" topLeftCell="A28" zoomScaleNormal="120" zoomScaleSheetLayoutView="100" workbookViewId="0">
      <selection activeCell="C57" sqref="C57"/>
    </sheetView>
  </sheetViews>
  <sheetFormatPr defaultRowHeight="12.75" x14ac:dyDescent="0.2"/>
  <cols>
    <col min="1" max="1" width="3.85546875" style="771" customWidth="1"/>
    <col min="2" max="2" width="8.85546875" style="770" customWidth="1"/>
    <col min="3" max="3" width="45.140625" style="771" customWidth="1"/>
    <col min="4" max="4" width="8.85546875" style="771" bestFit="1" customWidth="1"/>
    <col min="5" max="5" width="9.140625" style="771" bestFit="1" customWidth="1"/>
    <col min="6" max="6" width="11.42578125" style="771" bestFit="1" customWidth="1"/>
    <col min="7" max="7" width="6.5703125" style="820" bestFit="1" customWidth="1"/>
    <col min="8" max="8" width="11" style="820" customWidth="1"/>
    <col min="9" max="9" width="6.5703125" style="820" bestFit="1" customWidth="1"/>
    <col min="10" max="12" width="7.5703125" style="820" bestFit="1" customWidth="1"/>
    <col min="13" max="13" width="12.5703125" style="820" bestFit="1" customWidth="1"/>
    <col min="14" max="16384" width="9.140625" style="771"/>
  </cols>
  <sheetData>
    <row r="1" spans="1:15" ht="15" x14ac:dyDescent="0.2">
      <c r="B1" s="1089" t="s">
        <v>643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5" ht="15" x14ac:dyDescent="0.2">
      <c r="B2" s="1090" t="s">
        <v>638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5" ht="15" x14ac:dyDescent="0.2">
      <c r="A3" s="12"/>
      <c r="B3" s="1091" t="s">
        <v>343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5" ht="15.75" thickBot="1" x14ac:dyDescent="0.35">
      <c r="A4" s="1092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5" ht="1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5" ht="30.75" thickBot="1" x14ac:dyDescent="0.25">
      <c r="A6" s="1095"/>
      <c r="B6" s="1097"/>
      <c r="C6" s="1099"/>
      <c r="D6" s="1099"/>
      <c r="E6" s="77" t="s">
        <v>399</v>
      </c>
      <c r="F6" s="77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5" s="822" customFormat="1" ht="15.75" thickBot="1" x14ac:dyDescent="0.25">
      <c r="A7" s="187"/>
      <c r="B7" s="188" t="s">
        <v>60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89">
        <v>9</v>
      </c>
      <c r="J7" s="189">
        <v>10</v>
      </c>
      <c r="K7" s="189">
        <v>11</v>
      </c>
      <c r="L7" s="189">
        <v>12</v>
      </c>
      <c r="M7" s="190">
        <v>13</v>
      </c>
      <c r="N7" s="821"/>
    </row>
    <row r="8" spans="1:15" ht="30" x14ac:dyDescent="0.2">
      <c r="A8" s="1094"/>
      <c r="B8" s="322" t="s">
        <v>91</v>
      </c>
      <c r="C8" s="86" t="s">
        <v>337</v>
      </c>
      <c r="D8" s="19" t="s">
        <v>76</v>
      </c>
      <c r="E8" s="19"/>
      <c r="F8" s="19">
        <v>6.88</v>
      </c>
      <c r="G8" s="19"/>
      <c r="H8" s="19"/>
      <c r="I8" s="19"/>
      <c r="J8" s="19"/>
      <c r="K8" s="19"/>
      <c r="L8" s="19"/>
      <c r="M8" s="20"/>
      <c r="N8" s="811"/>
      <c r="O8" s="811"/>
    </row>
    <row r="9" spans="1:15" ht="15" x14ac:dyDescent="0.2">
      <c r="A9" s="1178"/>
      <c r="B9" s="679"/>
      <c r="C9" s="37" t="s">
        <v>67</v>
      </c>
      <c r="D9" s="38" t="s">
        <v>68</v>
      </c>
      <c r="E9" s="39">
        <v>0.68</v>
      </c>
      <c r="F9" s="39">
        <f>E9*F8</f>
        <v>4.6783999999999999</v>
      </c>
      <c r="G9" s="40"/>
      <c r="H9" s="40"/>
      <c r="I9" s="40"/>
      <c r="J9" s="40"/>
      <c r="K9" s="40"/>
      <c r="L9" s="40"/>
      <c r="M9" s="41"/>
      <c r="N9" s="811"/>
      <c r="O9" s="811"/>
    </row>
    <row r="10" spans="1:15" ht="15" x14ac:dyDescent="0.3">
      <c r="A10" s="1178"/>
      <c r="B10" s="679"/>
      <c r="C10" s="209" t="s">
        <v>201</v>
      </c>
      <c r="D10" s="38" t="s">
        <v>78</v>
      </c>
      <c r="E10" s="39">
        <v>2.9999999999999997E-4</v>
      </c>
      <c r="F10" s="39">
        <f>E10*F8</f>
        <v>2.0639999999999999E-3</v>
      </c>
      <c r="G10" s="40"/>
      <c r="H10" s="40"/>
      <c r="I10" s="40"/>
      <c r="J10" s="40"/>
      <c r="K10" s="40"/>
      <c r="L10" s="40"/>
      <c r="M10" s="41"/>
      <c r="N10" s="811"/>
      <c r="O10" s="811"/>
    </row>
    <row r="11" spans="1:15" ht="15" x14ac:dyDescent="0.2">
      <c r="A11" s="1178"/>
      <c r="B11" s="679" t="s">
        <v>511</v>
      </c>
      <c r="C11" s="37" t="s">
        <v>289</v>
      </c>
      <c r="D11" s="38" t="s">
        <v>71</v>
      </c>
      <c r="E11" s="39">
        <v>0.25</v>
      </c>
      <c r="F11" s="39">
        <f>E11*F8</f>
        <v>1.72</v>
      </c>
      <c r="G11" s="40"/>
      <c r="H11" s="40"/>
      <c r="I11" s="40"/>
      <c r="J11" s="40"/>
      <c r="K11" s="40"/>
      <c r="L11" s="40"/>
      <c r="M11" s="41"/>
      <c r="N11" s="811"/>
      <c r="O11" s="811"/>
    </row>
    <row r="12" spans="1:15" ht="15" x14ac:dyDescent="0.2">
      <c r="A12" s="1178"/>
      <c r="B12" s="679" t="s">
        <v>510</v>
      </c>
      <c r="C12" s="37" t="s">
        <v>92</v>
      </c>
      <c r="D12" s="38" t="s">
        <v>71</v>
      </c>
      <c r="E12" s="39">
        <v>2.7E-2</v>
      </c>
      <c r="F12" s="39">
        <f>E12*F8</f>
        <v>0.18576000000000001</v>
      </c>
      <c r="G12" s="40"/>
      <c r="H12" s="40"/>
      <c r="I12" s="40"/>
      <c r="J12" s="40"/>
      <c r="K12" s="40"/>
      <c r="L12" s="40"/>
      <c r="M12" s="41"/>
      <c r="N12" s="811"/>
      <c r="O12" s="811"/>
    </row>
    <row r="13" spans="1:15" ht="15.75" thickBot="1" x14ac:dyDescent="0.25">
      <c r="A13" s="1179"/>
      <c r="B13" s="355"/>
      <c r="C13" s="47" t="s">
        <v>85</v>
      </c>
      <c r="D13" s="342" t="s">
        <v>78</v>
      </c>
      <c r="E13" s="48">
        <v>1.9E-3</v>
      </c>
      <c r="F13" s="48">
        <f>E13*F8</f>
        <v>1.3072E-2</v>
      </c>
      <c r="G13" s="49"/>
      <c r="H13" s="49"/>
      <c r="I13" s="49"/>
      <c r="J13" s="49"/>
      <c r="K13" s="49"/>
      <c r="L13" s="49"/>
      <c r="M13" s="50"/>
      <c r="N13" s="811"/>
      <c r="O13" s="811"/>
    </row>
    <row r="14" spans="1:15" ht="30" x14ac:dyDescent="0.2">
      <c r="A14" s="1185" t="s">
        <v>561</v>
      </c>
      <c r="B14" s="681" t="s">
        <v>710</v>
      </c>
      <c r="C14" s="151" t="s">
        <v>562</v>
      </c>
      <c r="D14" s="151" t="s">
        <v>315</v>
      </c>
      <c r="E14" s="60"/>
      <c r="F14" s="60">
        <f>1.3+6.14</f>
        <v>7.4399999999999995</v>
      </c>
      <c r="G14" s="53"/>
      <c r="H14" s="53"/>
      <c r="I14" s="53"/>
      <c r="J14" s="53"/>
      <c r="K14" s="53"/>
      <c r="L14" s="53"/>
      <c r="M14" s="125"/>
      <c r="N14" s="811"/>
      <c r="O14" s="811"/>
    </row>
    <row r="15" spans="1:15" ht="15" x14ac:dyDescent="0.2">
      <c r="A15" s="1143"/>
      <c r="B15" s="679"/>
      <c r="C15" s="37" t="s">
        <v>67</v>
      </c>
      <c r="D15" s="38" t="s">
        <v>68</v>
      </c>
      <c r="E15" s="39">
        <v>1.1000000000000001</v>
      </c>
      <c r="F15" s="39">
        <f>F14*E15</f>
        <v>8.1839999999999993</v>
      </c>
      <c r="G15" s="75"/>
      <c r="H15" s="40"/>
      <c r="I15" s="40"/>
      <c r="J15" s="40"/>
      <c r="K15" s="40"/>
      <c r="L15" s="40"/>
      <c r="M15" s="41"/>
      <c r="N15" s="811"/>
      <c r="O15" s="811"/>
    </row>
    <row r="16" spans="1:15" ht="15" x14ac:dyDescent="0.2">
      <c r="A16" s="1143"/>
      <c r="B16" s="679" t="s">
        <v>568</v>
      </c>
      <c r="C16" s="42" t="s">
        <v>563</v>
      </c>
      <c r="D16" s="38" t="s">
        <v>76</v>
      </c>
      <c r="E16" s="39">
        <v>0.99</v>
      </c>
      <c r="F16" s="39">
        <f>F14*E16</f>
        <v>7.3655999999999997</v>
      </c>
      <c r="G16" s="40"/>
      <c r="H16" s="40"/>
      <c r="I16" s="40"/>
      <c r="J16" s="40"/>
      <c r="K16" s="40"/>
      <c r="L16" s="40"/>
      <c r="M16" s="41"/>
      <c r="N16" s="811"/>
      <c r="O16" s="811"/>
    </row>
    <row r="17" spans="1:15" ht="15" x14ac:dyDescent="0.2">
      <c r="A17" s="1143"/>
      <c r="B17" s="679" t="s">
        <v>147</v>
      </c>
      <c r="C17" s="42" t="s">
        <v>339</v>
      </c>
      <c r="D17" s="38" t="s">
        <v>340</v>
      </c>
      <c r="E17" s="43" t="s">
        <v>72</v>
      </c>
      <c r="F17" s="39">
        <v>6</v>
      </c>
      <c r="G17" s="40"/>
      <c r="H17" s="40"/>
      <c r="I17" s="40"/>
      <c r="J17" s="40"/>
      <c r="K17" s="40"/>
      <c r="L17" s="40"/>
      <c r="M17" s="41"/>
      <c r="N17" s="811"/>
      <c r="O17" s="811"/>
    </row>
    <row r="18" spans="1:15" ht="15" x14ac:dyDescent="0.2">
      <c r="A18" s="1143"/>
      <c r="B18" s="679" t="s">
        <v>147</v>
      </c>
      <c r="C18" s="42" t="s">
        <v>341</v>
      </c>
      <c r="D18" s="38" t="s">
        <v>87</v>
      </c>
      <c r="E18" s="39">
        <v>15</v>
      </c>
      <c r="F18" s="39">
        <f>E18*F14</f>
        <v>111.6</v>
      </c>
      <c r="G18" s="40"/>
      <c r="H18" s="40"/>
      <c r="I18" s="40"/>
      <c r="J18" s="40"/>
      <c r="K18" s="40"/>
      <c r="L18" s="40"/>
      <c r="M18" s="41"/>
      <c r="N18" s="811"/>
      <c r="O18" s="811"/>
    </row>
    <row r="19" spans="1:15" ht="15" x14ac:dyDescent="0.2">
      <c r="A19" s="1143"/>
      <c r="B19" s="679" t="s">
        <v>147</v>
      </c>
      <c r="C19" s="42" t="s">
        <v>564</v>
      </c>
      <c r="D19" s="38" t="s">
        <v>71</v>
      </c>
      <c r="E19" s="43" t="s">
        <v>72</v>
      </c>
      <c r="F19" s="39">
        <v>9.6999999999999993</v>
      </c>
      <c r="G19" s="40"/>
      <c r="H19" s="40"/>
      <c r="I19" s="40"/>
      <c r="J19" s="40"/>
      <c r="K19" s="40"/>
      <c r="L19" s="40"/>
      <c r="M19" s="41"/>
      <c r="N19" s="811"/>
      <c r="O19" s="811"/>
    </row>
    <row r="20" spans="1:15" ht="15" x14ac:dyDescent="0.2">
      <c r="A20" s="1143"/>
      <c r="B20" s="679"/>
      <c r="C20" s="37" t="s">
        <v>77</v>
      </c>
      <c r="D20" s="38" t="s">
        <v>78</v>
      </c>
      <c r="E20" s="39">
        <v>0.18</v>
      </c>
      <c r="F20" s="39">
        <f>F14*E20</f>
        <v>1.3391999999999999</v>
      </c>
      <c r="G20" s="75"/>
      <c r="H20" s="40"/>
      <c r="I20" s="40"/>
      <c r="J20" s="40"/>
      <c r="K20" s="40"/>
      <c r="L20" s="40"/>
      <c r="M20" s="41"/>
      <c r="N20" s="811"/>
      <c r="O20" s="811"/>
    </row>
    <row r="21" spans="1:15" ht="15.75" thickBot="1" x14ac:dyDescent="0.25">
      <c r="A21" s="1144"/>
      <c r="B21" s="355"/>
      <c r="C21" s="47" t="s">
        <v>85</v>
      </c>
      <c r="D21" s="342" t="s">
        <v>78</v>
      </c>
      <c r="E21" s="48">
        <v>0.37</v>
      </c>
      <c r="F21" s="48">
        <f>F14*E21</f>
        <v>2.7527999999999997</v>
      </c>
      <c r="G21" s="49"/>
      <c r="H21" s="49"/>
      <c r="I21" s="49"/>
      <c r="J21" s="49"/>
      <c r="K21" s="49"/>
      <c r="L21" s="49"/>
      <c r="M21" s="50"/>
      <c r="N21" s="811"/>
      <c r="O21" s="811"/>
    </row>
    <row r="22" spans="1:15" ht="30" x14ac:dyDescent="0.2">
      <c r="A22" s="1185" t="s">
        <v>60</v>
      </c>
      <c r="B22" s="59" t="s">
        <v>711</v>
      </c>
      <c r="C22" s="929" t="s">
        <v>653</v>
      </c>
      <c r="D22" s="151" t="s">
        <v>315</v>
      </c>
      <c r="E22" s="60"/>
      <c r="F22" s="60">
        <f>F14</f>
        <v>7.4399999999999995</v>
      </c>
      <c r="G22" s="53"/>
      <c r="H22" s="53"/>
      <c r="I22" s="53"/>
      <c r="J22" s="53"/>
      <c r="K22" s="53"/>
      <c r="L22" s="53"/>
      <c r="M22" s="125"/>
      <c r="N22" s="811"/>
      <c r="O22" s="811"/>
    </row>
    <row r="23" spans="1:15" ht="15" x14ac:dyDescent="0.2">
      <c r="A23" s="1143"/>
      <c r="B23" s="679"/>
      <c r="C23" s="37" t="s">
        <v>67</v>
      </c>
      <c r="D23" s="38" t="s">
        <v>68</v>
      </c>
      <c r="E23" s="39">
        <f>94/100</f>
        <v>0.94</v>
      </c>
      <c r="F23" s="39">
        <f>F22*E23</f>
        <v>6.9935999999999989</v>
      </c>
      <c r="G23" s="75"/>
      <c r="H23" s="40"/>
      <c r="I23" s="40"/>
      <c r="J23" s="40"/>
      <c r="K23" s="40"/>
      <c r="L23" s="40"/>
      <c r="M23" s="41"/>
      <c r="N23" s="811"/>
      <c r="O23" s="811"/>
    </row>
    <row r="24" spans="1:15" ht="15" x14ac:dyDescent="0.2">
      <c r="A24" s="1143"/>
      <c r="B24" s="679"/>
      <c r="C24" s="37" t="s">
        <v>731</v>
      </c>
      <c r="D24" s="38" t="s">
        <v>104</v>
      </c>
      <c r="E24" s="39">
        <f>(5.12+4.37+2)/100</f>
        <v>0.1149</v>
      </c>
      <c r="F24" s="39">
        <f>F22*E24</f>
        <v>0.85485599999999995</v>
      </c>
      <c r="G24" s="75"/>
      <c r="H24" s="40"/>
      <c r="I24" s="40"/>
      <c r="J24" s="40"/>
      <c r="K24" s="40"/>
      <c r="L24" s="40"/>
      <c r="M24" s="41"/>
      <c r="N24" s="811"/>
      <c r="O24" s="811"/>
    </row>
    <row r="25" spans="1:15" ht="15" x14ac:dyDescent="0.2">
      <c r="A25" s="1143"/>
      <c r="B25" s="679" t="s">
        <v>654</v>
      </c>
      <c r="C25" s="42" t="s">
        <v>655</v>
      </c>
      <c r="D25" s="38" t="s">
        <v>76</v>
      </c>
      <c r="E25" s="39">
        <v>1.2</v>
      </c>
      <c r="F25" s="39">
        <f>F22*E25</f>
        <v>8.927999999999999</v>
      </c>
      <c r="G25" s="40"/>
      <c r="H25" s="40"/>
      <c r="I25" s="40"/>
      <c r="J25" s="40"/>
      <c r="K25" s="40"/>
      <c r="L25" s="40"/>
      <c r="M25" s="41"/>
      <c r="N25" s="811"/>
      <c r="O25" s="811"/>
    </row>
    <row r="26" spans="1:15" ht="15" x14ac:dyDescent="0.2">
      <c r="A26" s="1143"/>
      <c r="B26" s="679" t="s">
        <v>147</v>
      </c>
      <c r="C26" s="42" t="s">
        <v>341</v>
      </c>
      <c r="D26" s="38" t="s">
        <v>87</v>
      </c>
      <c r="E26" s="39">
        <v>15</v>
      </c>
      <c r="F26" s="39">
        <f>E26*F22</f>
        <v>111.6</v>
      </c>
      <c r="G26" s="40"/>
      <c r="H26" s="40"/>
      <c r="I26" s="40"/>
      <c r="J26" s="40"/>
      <c r="K26" s="40"/>
      <c r="L26" s="40"/>
      <c r="M26" s="41"/>
      <c r="N26" s="811"/>
      <c r="O26" s="811"/>
    </row>
    <row r="27" spans="1:15" ht="15" x14ac:dyDescent="0.2">
      <c r="A27" s="1143"/>
      <c r="B27" s="679" t="s">
        <v>147</v>
      </c>
      <c r="C27" s="42" t="s">
        <v>564</v>
      </c>
      <c r="D27" s="38" t="s">
        <v>71</v>
      </c>
      <c r="E27" s="43" t="s">
        <v>72</v>
      </c>
      <c r="F27" s="39">
        <v>9.6999999999999993</v>
      </c>
      <c r="G27" s="40"/>
      <c r="H27" s="40"/>
      <c r="I27" s="40"/>
      <c r="J27" s="40"/>
      <c r="K27" s="40"/>
      <c r="L27" s="40"/>
      <c r="M27" s="41"/>
      <c r="N27" s="811"/>
      <c r="O27" s="811"/>
    </row>
    <row r="28" spans="1:15" ht="15" x14ac:dyDescent="0.2">
      <c r="A28" s="1143"/>
      <c r="B28" s="679"/>
      <c r="C28" s="37" t="s">
        <v>77</v>
      </c>
      <c r="D28" s="38" t="s">
        <v>78</v>
      </c>
      <c r="E28" s="39">
        <f>9.78/100</f>
        <v>9.7799999999999998E-2</v>
      </c>
      <c r="F28" s="39">
        <f>F22*E28</f>
        <v>0.72763199999999995</v>
      </c>
      <c r="G28" s="75"/>
      <c r="H28" s="40"/>
      <c r="I28" s="40"/>
      <c r="J28" s="40"/>
      <c r="K28" s="40"/>
      <c r="L28" s="40"/>
      <c r="M28" s="41"/>
      <c r="N28" s="811"/>
      <c r="O28" s="811"/>
    </row>
    <row r="29" spans="1:15" ht="15.75" thickBot="1" x14ac:dyDescent="0.25">
      <c r="A29" s="1144"/>
      <c r="B29" s="355"/>
      <c r="C29" s="47" t="s">
        <v>85</v>
      </c>
      <c r="D29" s="342" t="s">
        <v>78</v>
      </c>
      <c r="E29" s="48">
        <f>5.56/100</f>
        <v>5.5599999999999997E-2</v>
      </c>
      <c r="F29" s="48">
        <f>F22*E29</f>
        <v>0.41366399999999992</v>
      </c>
      <c r="G29" s="49"/>
      <c r="H29" s="49"/>
      <c r="I29" s="49"/>
      <c r="J29" s="49"/>
      <c r="K29" s="49"/>
      <c r="L29" s="49"/>
      <c r="M29" s="50"/>
      <c r="N29" s="811"/>
      <c r="O29" s="811"/>
    </row>
    <row r="30" spans="1:15" ht="46.5" customHeight="1" x14ac:dyDescent="0.2">
      <c r="A30" s="1185" t="s">
        <v>23</v>
      </c>
      <c r="B30" s="59" t="s">
        <v>711</v>
      </c>
      <c r="C30" s="929" t="s">
        <v>656</v>
      </c>
      <c r="D30" s="151" t="s">
        <v>315</v>
      </c>
      <c r="E30" s="60"/>
      <c r="F30" s="60">
        <f>6*10*0.3</f>
        <v>18</v>
      </c>
      <c r="G30" s="53"/>
      <c r="H30" s="53"/>
      <c r="I30" s="53"/>
      <c r="J30" s="53"/>
      <c r="K30" s="53"/>
      <c r="L30" s="53"/>
      <c r="M30" s="125"/>
      <c r="N30" s="811"/>
      <c r="O30" s="811"/>
    </row>
    <row r="31" spans="1:15" ht="15" x14ac:dyDescent="0.2">
      <c r="A31" s="1143"/>
      <c r="B31" s="679"/>
      <c r="C31" s="37" t="s">
        <v>67</v>
      </c>
      <c r="D31" s="38" t="s">
        <v>68</v>
      </c>
      <c r="E31" s="39">
        <f>94/100</f>
        <v>0.94</v>
      </c>
      <c r="F31" s="39">
        <f>F30*E31</f>
        <v>16.919999999999998</v>
      </c>
      <c r="G31" s="75"/>
      <c r="H31" s="40"/>
      <c r="I31" s="40"/>
      <c r="J31" s="40"/>
      <c r="K31" s="40"/>
      <c r="L31" s="40"/>
      <c r="M31" s="41"/>
      <c r="N31" s="811"/>
      <c r="O31" s="811"/>
    </row>
    <row r="32" spans="1:15" ht="15" x14ac:dyDescent="0.2">
      <c r="A32" s="1143"/>
      <c r="B32" s="679"/>
      <c r="C32" s="37" t="s">
        <v>731</v>
      </c>
      <c r="D32" s="38" t="s">
        <v>104</v>
      </c>
      <c r="E32" s="39">
        <f>(5.12+4.37+2)/100</f>
        <v>0.1149</v>
      </c>
      <c r="F32" s="39">
        <f>F30*E32</f>
        <v>2.0682</v>
      </c>
      <c r="G32" s="75"/>
      <c r="H32" s="40"/>
      <c r="I32" s="40"/>
      <c r="J32" s="40"/>
      <c r="K32" s="40"/>
      <c r="L32" s="40"/>
      <c r="M32" s="41"/>
      <c r="N32" s="811"/>
      <c r="O32" s="811"/>
    </row>
    <row r="33" spans="1:15" ht="15" x14ac:dyDescent="0.2">
      <c r="A33" s="1143"/>
      <c r="B33" s="679" t="s">
        <v>654</v>
      </c>
      <c r="C33" s="42" t="s">
        <v>655</v>
      </c>
      <c r="D33" s="38" t="s">
        <v>76</v>
      </c>
      <c r="E33" s="39">
        <v>1.2</v>
      </c>
      <c r="F33" s="39">
        <f>F30*E33</f>
        <v>21.599999999999998</v>
      </c>
      <c r="G33" s="40"/>
      <c r="H33" s="40"/>
      <c r="I33" s="40"/>
      <c r="J33" s="40"/>
      <c r="K33" s="40"/>
      <c r="L33" s="40"/>
      <c r="M33" s="41"/>
      <c r="N33" s="811"/>
      <c r="O33" s="811"/>
    </row>
    <row r="34" spans="1:15" ht="15" x14ac:dyDescent="0.2">
      <c r="A34" s="1143"/>
      <c r="B34" s="679" t="s">
        <v>147</v>
      </c>
      <c r="C34" s="42" t="s">
        <v>341</v>
      </c>
      <c r="D34" s="38" t="s">
        <v>87</v>
      </c>
      <c r="E34" s="39">
        <v>15</v>
      </c>
      <c r="F34" s="39">
        <f>E34*F30</f>
        <v>270</v>
      </c>
      <c r="G34" s="40"/>
      <c r="H34" s="40"/>
      <c r="I34" s="40"/>
      <c r="J34" s="40"/>
      <c r="K34" s="40"/>
      <c r="L34" s="40"/>
      <c r="M34" s="41"/>
      <c r="N34" s="811"/>
      <c r="O34" s="811"/>
    </row>
    <row r="35" spans="1:15" ht="15" x14ac:dyDescent="0.2">
      <c r="A35" s="1143"/>
      <c r="B35" s="679" t="s">
        <v>147</v>
      </c>
      <c r="C35" s="42" t="s">
        <v>564</v>
      </c>
      <c r="D35" s="38" t="s">
        <v>71</v>
      </c>
      <c r="E35" s="43" t="s">
        <v>72</v>
      </c>
      <c r="F35" s="39">
        <v>9.6999999999999993</v>
      </c>
      <c r="G35" s="40"/>
      <c r="H35" s="40"/>
      <c r="I35" s="40"/>
      <c r="J35" s="40"/>
      <c r="K35" s="40"/>
      <c r="L35" s="40"/>
      <c r="M35" s="41"/>
      <c r="N35" s="811"/>
      <c r="O35" s="811"/>
    </row>
    <row r="36" spans="1:15" ht="15" x14ac:dyDescent="0.2">
      <c r="A36" s="1143"/>
      <c r="B36" s="679"/>
      <c r="C36" s="37" t="s">
        <v>77</v>
      </c>
      <c r="D36" s="38" t="s">
        <v>78</v>
      </c>
      <c r="E36" s="39">
        <f>9.78/100</f>
        <v>9.7799999999999998E-2</v>
      </c>
      <c r="F36" s="39">
        <f>F30*E36</f>
        <v>1.7604</v>
      </c>
      <c r="G36" s="75"/>
      <c r="H36" s="40"/>
      <c r="I36" s="40"/>
      <c r="J36" s="40"/>
      <c r="K36" s="40"/>
      <c r="L36" s="40"/>
      <c r="M36" s="41"/>
      <c r="N36" s="811"/>
      <c r="O36" s="811"/>
    </row>
    <row r="37" spans="1:15" ht="15.75" thickBot="1" x14ac:dyDescent="0.25">
      <c r="A37" s="1144"/>
      <c r="B37" s="355"/>
      <c r="C37" s="47" t="s">
        <v>85</v>
      </c>
      <c r="D37" s="342" t="s">
        <v>78</v>
      </c>
      <c r="E37" s="48">
        <f>5.56/100</f>
        <v>5.5599999999999997E-2</v>
      </c>
      <c r="F37" s="48">
        <f>F30*E37</f>
        <v>1.0007999999999999</v>
      </c>
      <c r="G37" s="49"/>
      <c r="H37" s="49"/>
      <c r="I37" s="49"/>
      <c r="J37" s="49"/>
      <c r="K37" s="49"/>
      <c r="L37" s="49"/>
      <c r="M37" s="50"/>
      <c r="N37" s="811"/>
      <c r="O37" s="811"/>
    </row>
    <row r="38" spans="1:15" ht="45" x14ac:dyDescent="0.2">
      <c r="A38" s="1185" t="s">
        <v>565</v>
      </c>
      <c r="B38" s="181" t="s">
        <v>147</v>
      </c>
      <c r="C38" s="929" t="s">
        <v>566</v>
      </c>
      <c r="D38" s="151" t="s">
        <v>315</v>
      </c>
      <c r="E38" s="60"/>
      <c r="F38" s="60">
        <v>1.3</v>
      </c>
      <c r="G38" s="53"/>
      <c r="H38" s="53"/>
      <c r="I38" s="53"/>
      <c r="J38" s="53"/>
      <c r="K38" s="53"/>
      <c r="L38" s="53"/>
      <c r="M38" s="125"/>
      <c r="N38" s="811"/>
      <c r="O38" s="811"/>
    </row>
    <row r="39" spans="1:15" ht="15" x14ac:dyDescent="0.2">
      <c r="A39" s="1143"/>
      <c r="B39" s="679"/>
      <c r="C39" s="37" t="s">
        <v>67</v>
      </c>
      <c r="D39" s="38" t="s">
        <v>68</v>
      </c>
      <c r="E39" s="39">
        <v>0.8</v>
      </c>
      <c r="F39" s="39">
        <f>F38*E39</f>
        <v>1.04</v>
      </c>
      <c r="G39" s="75"/>
      <c r="H39" s="40"/>
      <c r="I39" s="40"/>
      <c r="J39" s="40"/>
      <c r="K39" s="40"/>
      <c r="L39" s="40"/>
      <c r="M39" s="41"/>
      <c r="N39" s="811"/>
      <c r="O39" s="811"/>
    </row>
    <row r="40" spans="1:15" ht="15" x14ac:dyDescent="0.2">
      <c r="A40" s="1143"/>
      <c r="B40" s="679" t="s">
        <v>147</v>
      </c>
      <c r="C40" s="42" t="s">
        <v>567</v>
      </c>
      <c r="D40" s="38" t="s">
        <v>76</v>
      </c>
      <c r="E40" s="39">
        <v>1.55</v>
      </c>
      <c r="F40" s="39">
        <f>F38*E40</f>
        <v>2.0150000000000001</v>
      </c>
      <c r="G40" s="40"/>
      <c r="H40" s="40"/>
      <c r="I40" s="40"/>
      <c r="J40" s="40"/>
      <c r="K40" s="40"/>
      <c r="L40" s="40"/>
      <c r="M40" s="41"/>
      <c r="N40" s="811"/>
      <c r="O40" s="811"/>
    </row>
    <row r="41" spans="1:15" ht="15" x14ac:dyDescent="0.2">
      <c r="A41" s="1143"/>
      <c r="B41" s="679" t="s">
        <v>147</v>
      </c>
      <c r="C41" s="42" t="s">
        <v>339</v>
      </c>
      <c r="D41" s="38" t="s">
        <v>340</v>
      </c>
      <c r="E41" s="43" t="s">
        <v>72</v>
      </c>
      <c r="F41" s="39">
        <v>0</v>
      </c>
      <c r="G41" s="40"/>
      <c r="H41" s="40"/>
      <c r="I41" s="40"/>
      <c r="J41" s="40"/>
      <c r="K41" s="40"/>
      <c r="L41" s="40"/>
      <c r="M41" s="41"/>
      <c r="N41" s="811"/>
      <c r="O41" s="811"/>
    </row>
    <row r="42" spans="1:15" ht="15" x14ac:dyDescent="0.2">
      <c r="A42" s="1143"/>
      <c r="B42" s="679"/>
      <c r="C42" s="37" t="s">
        <v>77</v>
      </c>
      <c r="D42" s="38" t="s">
        <v>78</v>
      </c>
      <c r="E42" s="39">
        <v>1.6E-2</v>
      </c>
      <c r="F42" s="39">
        <v>0</v>
      </c>
      <c r="G42" s="75"/>
      <c r="H42" s="40"/>
      <c r="I42" s="40"/>
      <c r="J42" s="40"/>
      <c r="K42" s="40"/>
      <c r="L42" s="40"/>
      <c r="M42" s="41"/>
      <c r="N42" s="811"/>
      <c r="O42" s="811"/>
    </row>
    <row r="43" spans="1:15" ht="15.75" thickBot="1" x14ac:dyDescent="0.25">
      <c r="A43" s="1144"/>
      <c r="B43" s="355"/>
      <c r="C43" s="47" t="s">
        <v>85</v>
      </c>
      <c r="D43" s="342" t="s">
        <v>78</v>
      </c>
      <c r="E43" s="48">
        <v>0.14000000000000001</v>
      </c>
      <c r="F43" s="48">
        <v>0</v>
      </c>
      <c r="G43" s="49"/>
      <c r="H43" s="49"/>
      <c r="I43" s="49"/>
      <c r="J43" s="49"/>
      <c r="K43" s="49"/>
      <c r="L43" s="49"/>
      <c r="M43" s="50"/>
      <c r="N43" s="811"/>
      <c r="O43" s="811"/>
    </row>
    <row r="44" spans="1:15" ht="30" x14ac:dyDescent="0.2">
      <c r="A44" s="1124">
        <v>5</v>
      </c>
      <c r="B44" s="59" t="s">
        <v>147</v>
      </c>
      <c r="C44" s="373" t="s">
        <v>557</v>
      </c>
      <c r="D44" s="16" t="s">
        <v>127</v>
      </c>
      <c r="E44" s="16"/>
      <c r="F44" s="374">
        <v>108</v>
      </c>
      <c r="G44" s="53"/>
      <c r="H44" s="53"/>
      <c r="I44" s="53"/>
      <c r="J44" s="53"/>
      <c r="K44" s="53"/>
      <c r="L44" s="53"/>
      <c r="M44" s="125"/>
      <c r="N44" s="811"/>
      <c r="O44" s="811"/>
    </row>
    <row r="45" spans="1:15" ht="15" x14ac:dyDescent="0.2">
      <c r="A45" s="1119"/>
      <c r="B45" s="930"/>
      <c r="C45" s="314" t="s">
        <v>558</v>
      </c>
      <c r="D45" s="22" t="s">
        <v>559</v>
      </c>
      <c r="E45" s="22">
        <v>0.25</v>
      </c>
      <c r="F45" s="375">
        <f>F44*E45</f>
        <v>27</v>
      </c>
      <c r="G45" s="150"/>
      <c r="H45" s="150"/>
      <c r="I45" s="150"/>
      <c r="J45" s="150"/>
      <c r="K45" s="150"/>
      <c r="L45" s="150"/>
      <c r="M45" s="351"/>
      <c r="N45" s="811"/>
      <c r="O45" s="811"/>
    </row>
    <row r="46" spans="1:15" ht="30.75" thickBot="1" x14ac:dyDescent="0.25">
      <c r="A46" s="1120"/>
      <c r="B46" s="931" t="s">
        <v>147</v>
      </c>
      <c r="C46" s="994" t="s">
        <v>560</v>
      </c>
      <c r="D46" s="17" t="s">
        <v>127</v>
      </c>
      <c r="E46" s="17">
        <v>1</v>
      </c>
      <c r="F46" s="376">
        <f>F44*E46</f>
        <v>108</v>
      </c>
      <c r="G46" s="932"/>
      <c r="H46" s="932"/>
      <c r="I46" s="932"/>
      <c r="J46" s="932"/>
      <c r="K46" s="932"/>
      <c r="L46" s="932"/>
      <c r="M46" s="933"/>
      <c r="N46" s="811"/>
      <c r="O46" s="811"/>
    </row>
    <row r="47" spans="1:15" ht="15" x14ac:dyDescent="0.2">
      <c r="A47" s="144"/>
      <c r="B47" s="78"/>
      <c r="C47" s="923" t="s">
        <v>24</v>
      </c>
      <c r="D47" s="51"/>
      <c r="E47" s="51"/>
      <c r="F47" s="924"/>
      <c r="G47" s="53"/>
      <c r="H47" s="60"/>
      <c r="I47" s="60"/>
      <c r="J47" s="60"/>
      <c r="K47" s="60"/>
      <c r="L47" s="60"/>
      <c r="M47" s="54"/>
      <c r="N47" s="811"/>
      <c r="O47" s="811"/>
    </row>
    <row r="48" spans="1:15" ht="30" x14ac:dyDescent="0.2">
      <c r="A48" s="870"/>
      <c r="B48" s="501"/>
      <c r="C48" s="31" t="s">
        <v>322</v>
      </c>
      <c r="D48" s="362" t="s">
        <v>757</v>
      </c>
      <c r="E48" s="22"/>
      <c r="F48" s="781"/>
      <c r="G48" s="24"/>
      <c r="H48" s="24"/>
      <c r="I48" s="24"/>
      <c r="J48" s="24"/>
      <c r="K48" s="24"/>
      <c r="L48" s="24"/>
      <c r="M48" s="25"/>
      <c r="N48" s="811"/>
      <c r="O48" s="811"/>
    </row>
    <row r="49" spans="1:15" ht="15" x14ac:dyDescent="0.2">
      <c r="A49" s="870"/>
      <c r="B49" s="501"/>
      <c r="C49" s="628" t="s">
        <v>24</v>
      </c>
      <c r="D49" s="362"/>
      <c r="E49" s="22"/>
      <c r="F49" s="781"/>
      <c r="G49" s="24"/>
      <c r="H49" s="24"/>
      <c r="I49" s="24"/>
      <c r="J49" s="24"/>
      <c r="K49" s="24"/>
      <c r="L49" s="24"/>
      <c r="M49" s="25"/>
      <c r="N49" s="811"/>
      <c r="O49" s="811"/>
    </row>
    <row r="50" spans="1:15" ht="15" x14ac:dyDescent="0.2">
      <c r="A50" s="870"/>
      <c r="B50" s="501"/>
      <c r="C50" s="31" t="s">
        <v>323</v>
      </c>
      <c r="D50" s="362" t="s">
        <v>757</v>
      </c>
      <c r="E50" s="22"/>
      <c r="F50" s="781"/>
      <c r="G50" s="24"/>
      <c r="H50" s="24"/>
      <c r="I50" s="24"/>
      <c r="J50" s="24"/>
      <c r="K50" s="24"/>
      <c r="L50" s="24"/>
      <c r="M50" s="25"/>
      <c r="N50" s="811"/>
      <c r="O50" s="811"/>
    </row>
    <row r="51" spans="1:15" ht="15" x14ac:dyDescent="0.2">
      <c r="A51" s="870"/>
      <c r="B51" s="501"/>
      <c r="C51" s="628" t="s">
        <v>24</v>
      </c>
      <c r="D51" s="362"/>
      <c r="E51" s="22"/>
      <c r="F51" s="781"/>
      <c r="G51" s="24"/>
      <c r="H51" s="24"/>
      <c r="I51" s="24"/>
      <c r="J51" s="24"/>
      <c r="K51" s="24"/>
      <c r="L51" s="24"/>
      <c r="M51" s="25"/>
      <c r="N51" s="811"/>
      <c r="O51" s="811"/>
    </row>
    <row r="52" spans="1:15" ht="15" x14ac:dyDescent="0.2">
      <c r="A52" s="870"/>
      <c r="B52" s="501"/>
      <c r="C52" s="31" t="s">
        <v>324</v>
      </c>
      <c r="D52" s="362" t="s">
        <v>757</v>
      </c>
      <c r="E52" s="22"/>
      <c r="F52" s="781"/>
      <c r="G52" s="24"/>
      <c r="H52" s="24"/>
      <c r="I52" s="24"/>
      <c r="J52" s="24"/>
      <c r="K52" s="24"/>
      <c r="L52" s="24"/>
      <c r="M52" s="25"/>
      <c r="N52" s="811"/>
      <c r="O52" s="811"/>
    </row>
    <row r="53" spans="1:15" s="824" customFormat="1" ht="15.75" thickBot="1" x14ac:dyDescent="0.25">
      <c r="A53" s="934"/>
      <c r="B53" s="935"/>
      <c r="C53" s="936" t="s">
        <v>24</v>
      </c>
      <c r="D53" s="383"/>
      <c r="E53" s="937"/>
      <c r="F53" s="938"/>
      <c r="G53" s="127"/>
      <c r="H53" s="127"/>
      <c r="I53" s="127"/>
      <c r="J53" s="127"/>
      <c r="K53" s="127"/>
      <c r="L53" s="127"/>
      <c r="M53" s="128"/>
      <c r="N53" s="873"/>
      <c r="O53" s="873"/>
    </row>
    <row r="54" spans="1:15" x14ac:dyDescent="0.2">
      <c r="A54" s="811"/>
      <c r="B54" s="767"/>
      <c r="C54" s="811"/>
      <c r="D54" s="811"/>
      <c r="E54" s="811"/>
      <c r="F54" s="811"/>
      <c r="G54" s="939"/>
      <c r="H54" s="939"/>
      <c r="I54" s="939"/>
      <c r="J54" s="939"/>
      <c r="K54" s="939"/>
      <c r="L54" s="939"/>
      <c r="M54" s="939"/>
      <c r="N54" s="811"/>
      <c r="O54" s="811"/>
    </row>
    <row r="55" spans="1:15" x14ac:dyDescent="0.2">
      <c r="A55" s="811"/>
      <c r="B55" s="767"/>
      <c r="C55" s="811"/>
      <c r="D55" s="811"/>
      <c r="E55" s="811"/>
      <c r="F55" s="811"/>
      <c r="G55" s="939"/>
      <c r="H55" s="939"/>
      <c r="I55" s="939"/>
      <c r="J55" s="939"/>
      <c r="K55" s="939"/>
      <c r="L55" s="939"/>
      <c r="M55" s="939"/>
      <c r="N55" s="811"/>
      <c r="O55" s="811"/>
    </row>
  </sheetData>
  <sheetProtection password="CF7A" sheet="1" objects="1" scenarios="1"/>
  <protectedRanges>
    <protectedRange sqref="D47:F53" name="Range6"/>
    <protectedRange sqref="G8:G13" name="Range3_1_1_1"/>
    <protectedRange sqref="H8:M12 L13:M13 H13:J13" name="Range1_1_1_1"/>
    <protectedRange sqref="H44:M46" name="Range4_4"/>
    <protectedRange sqref="G44:M46" name="Range1_4"/>
    <protectedRange sqref="G8:M53" name="Range5"/>
  </protectedRanges>
  <autoFilter ref="A7:N53"/>
  <mergeCells count="19">
    <mergeCell ref="A8:A13"/>
    <mergeCell ref="I5:J5"/>
    <mergeCell ref="K5:L5"/>
    <mergeCell ref="M5:M6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A14:A21"/>
    <mergeCell ref="A22:A29"/>
    <mergeCell ref="A30:A37"/>
    <mergeCell ref="A38:A43"/>
    <mergeCell ref="A44:A46"/>
  </mergeCells>
  <conditionalFormatting sqref="B8:D10 F8:F10">
    <cfRule type="cellIs" dxfId="150" priority="9" stopIfTrue="1" operator="equal">
      <formula>8223.307275</formula>
    </cfRule>
  </conditionalFormatting>
  <conditionalFormatting sqref="E8:E10">
    <cfRule type="cellIs" dxfId="149" priority="6" stopIfTrue="1" operator="equal">
      <formula>8223.307275</formula>
    </cfRule>
  </conditionalFormatting>
  <pageMargins left="0.94" right="0" top="0.43307086614173229" bottom="0.43307086614173229" header="0.15748031496062992" footer="0.15748031496062992"/>
  <pageSetup paperSize="9" scale="95" orientation="landscape" horizontalDpi="4294967295" verticalDpi="4294967295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6"/>
  <sheetViews>
    <sheetView tabSelected="1" view="pageBreakPreview" topLeftCell="A61" zoomScaleNormal="130" zoomScaleSheetLayoutView="100" workbookViewId="0">
      <selection activeCell="F75" sqref="F75"/>
    </sheetView>
  </sheetViews>
  <sheetFormatPr defaultRowHeight="12.75" x14ac:dyDescent="0.2"/>
  <cols>
    <col min="1" max="1" width="3" style="1040" bestFit="1" customWidth="1"/>
    <col min="2" max="2" width="8.140625" style="952" customWidth="1"/>
    <col min="3" max="3" width="49" style="811" customWidth="1"/>
    <col min="4" max="4" width="8.7109375" style="953" customWidth="1"/>
    <col min="5" max="5" width="6.5703125" style="811" bestFit="1" customWidth="1"/>
    <col min="6" max="6" width="10.140625" style="859" bestFit="1" customWidth="1"/>
    <col min="7" max="7" width="9" style="939" customWidth="1"/>
    <col min="8" max="8" width="10.140625" style="939" bestFit="1" customWidth="1"/>
    <col min="9" max="9" width="6.5703125" style="939" bestFit="1" customWidth="1"/>
    <col min="10" max="10" width="10.140625" style="939" bestFit="1" customWidth="1"/>
    <col min="11" max="11" width="8.28515625" style="939" customWidth="1"/>
    <col min="12" max="12" width="10.140625" style="939" bestFit="1" customWidth="1"/>
    <col min="13" max="13" width="12.5703125" style="939" bestFit="1" customWidth="1"/>
    <col min="14" max="16384" width="9.140625" style="811"/>
  </cols>
  <sheetData>
    <row r="1" spans="1:13" ht="15" x14ac:dyDescent="0.2">
      <c r="B1" s="1073" t="s">
        <v>643</v>
      </c>
      <c r="C1" s="1073"/>
      <c r="D1" s="1073"/>
      <c r="E1" s="1073"/>
      <c r="F1" s="1073"/>
      <c r="G1" s="1073"/>
      <c r="H1" s="1073"/>
      <c r="I1" s="1073"/>
      <c r="J1" s="1073"/>
      <c r="K1" s="1073"/>
      <c r="L1" s="1073"/>
    </row>
    <row r="2" spans="1:13" ht="15" x14ac:dyDescent="0.2">
      <c r="B2" s="1090" t="s">
        <v>347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ht="15" x14ac:dyDescent="0.2">
      <c r="A3" s="12"/>
      <c r="B3" s="1091" t="s">
        <v>346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5.75" thickBot="1" x14ac:dyDescent="0.35">
      <c r="A4" s="1092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25">
      <c r="A6" s="1095"/>
      <c r="B6" s="1097"/>
      <c r="C6" s="1099"/>
      <c r="D6" s="1099"/>
      <c r="E6" s="77" t="s">
        <v>399</v>
      </c>
      <c r="F6" s="68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940" customFormat="1" ht="15.75" thickBot="1" x14ac:dyDescent="0.25">
      <c r="A7" s="541"/>
      <c r="B7" s="184" t="s">
        <v>60</v>
      </c>
      <c r="C7" s="185">
        <v>3</v>
      </c>
      <c r="D7" s="185">
        <v>4</v>
      </c>
      <c r="E7" s="185">
        <v>5</v>
      </c>
      <c r="F7" s="639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6">
        <v>13</v>
      </c>
    </row>
    <row r="8" spans="1:13" ht="30" x14ac:dyDescent="0.2">
      <c r="A8" s="1195" t="s">
        <v>561</v>
      </c>
      <c r="B8" s="46" t="s">
        <v>348</v>
      </c>
      <c r="C8" s="293" t="s">
        <v>350</v>
      </c>
      <c r="D8" s="130" t="s">
        <v>349</v>
      </c>
      <c r="E8" s="100"/>
      <c r="F8" s="74">
        <f>F12+F18</f>
        <v>1864</v>
      </c>
      <c r="G8" s="103"/>
      <c r="H8" s="103"/>
      <c r="I8" s="103"/>
      <c r="J8" s="103"/>
      <c r="K8" s="103"/>
      <c r="L8" s="103"/>
      <c r="M8" s="103"/>
    </row>
    <row r="9" spans="1:13" ht="15.75" thickBot="1" x14ac:dyDescent="0.25">
      <c r="A9" s="1195"/>
      <c r="B9" s="693"/>
      <c r="C9" s="941" t="s">
        <v>219</v>
      </c>
      <c r="D9" s="149" t="s">
        <v>64</v>
      </c>
      <c r="E9" s="67">
        <v>1.18</v>
      </c>
      <c r="F9" s="67">
        <f>E9*F8</f>
        <v>2199.52</v>
      </c>
      <c r="G9" s="67"/>
      <c r="H9" s="67"/>
      <c r="I9" s="67"/>
      <c r="J9" s="67"/>
      <c r="K9" s="67"/>
      <c r="L9" s="67"/>
      <c r="M9" s="95"/>
    </row>
    <row r="10" spans="1:13" ht="30" x14ac:dyDescent="0.2">
      <c r="A10" s="1193" t="s">
        <v>60</v>
      </c>
      <c r="B10" s="689" t="s">
        <v>352</v>
      </c>
      <c r="C10" s="294" t="s">
        <v>351</v>
      </c>
      <c r="D10" s="35" t="s">
        <v>349</v>
      </c>
      <c r="E10" s="36"/>
      <c r="F10" s="19">
        <f>F24+F30+F36+F42</f>
        <v>48</v>
      </c>
      <c r="G10" s="676"/>
      <c r="H10" s="676"/>
      <c r="I10" s="676"/>
      <c r="J10" s="676"/>
      <c r="K10" s="676"/>
      <c r="L10" s="676"/>
      <c r="M10" s="677"/>
    </row>
    <row r="11" spans="1:13" ht="15.75" thickBot="1" x14ac:dyDescent="0.25">
      <c r="A11" s="1194"/>
      <c r="B11" s="355"/>
      <c r="C11" s="525" t="s">
        <v>219</v>
      </c>
      <c r="D11" s="277" t="s">
        <v>64</v>
      </c>
      <c r="E11" s="27">
        <v>3.53</v>
      </c>
      <c r="F11" s="27">
        <f>E11*F10</f>
        <v>169.44</v>
      </c>
      <c r="G11" s="27"/>
      <c r="H11" s="27"/>
      <c r="I11" s="27"/>
      <c r="J11" s="27"/>
      <c r="K11" s="27"/>
      <c r="L11" s="27"/>
      <c r="M11" s="28"/>
    </row>
    <row r="12" spans="1:13" ht="45" x14ac:dyDescent="0.2">
      <c r="A12" s="1139">
        <v>3</v>
      </c>
      <c r="B12" s="942" t="s">
        <v>353</v>
      </c>
      <c r="C12" s="15" t="s">
        <v>354</v>
      </c>
      <c r="D12" s="16" t="s">
        <v>87</v>
      </c>
      <c r="E12" s="943"/>
      <c r="F12" s="944">
        <v>1736</v>
      </c>
      <c r="G12" s="945"/>
      <c r="H12" s="946"/>
      <c r="I12" s="946"/>
      <c r="J12" s="946"/>
      <c r="K12" s="946"/>
      <c r="L12" s="946"/>
      <c r="M12" s="947"/>
    </row>
    <row r="13" spans="1:13" ht="15" x14ac:dyDescent="0.2">
      <c r="A13" s="1140"/>
      <c r="B13" s="132"/>
      <c r="C13" s="121" t="s">
        <v>219</v>
      </c>
      <c r="D13" s="22" t="s">
        <v>64</v>
      </c>
      <c r="E13" s="167">
        <v>1.06</v>
      </c>
      <c r="F13" s="24">
        <f>E13*F12</f>
        <v>1840.16</v>
      </c>
      <c r="G13" s="122"/>
      <c r="H13" s="82"/>
      <c r="I13" s="82"/>
      <c r="J13" s="82"/>
      <c r="K13" s="82"/>
      <c r="L13" s="82"/>
      <c r="M13" s="25"/>
    </row>
    <row r="14" spans="1:13" ht="22.5" x14ac:dyDescent="0.2">
      <c r="A14" s="1140"/>
      <c r="B14" s="45" t="s">
        <v>488</v>
      </c>
      <c r="C14" s="31" t="s">
        <v>161</v>
      </c>
      <c r="D14" s="22" t="s">
        <v>104</v>
      </c>
      <c r="E14" s="158">
        <v>2.4E-2</v>
      </c>
      <c r="F14" s="24">
        <f>E14*F12</f>
        <v>41.664000000000001</v>
      </c>
      <c r="G14" s="409"/>
      <c r="H14" s="409"/>
      <c r="I14" s="409"/>
      <c r="J14" s="409"/>
      <c r="K14" s="409"/>
      <c r="L14" s="40"/>
      <c r="M14" s="25"/>
    </row>
    <row r="15" spans="1:13" ht="45" x14ac:dyDescent="0.2">
      <c r="A15" s="1140"/>
      <c r="B15" s="132" t="s">
        <v>147</v>
      </c>
      <c r="C15" s="363" t="s">
        <v>646</v>
      </c>
      <c r="D15" s="22" t="s">
        <v>87</v>
      </c>
      <c r="E15" s="167">
        <v>1</v>
      </c>
      <c r="F15" s="24">
        <f>E15*F12</f>
        <v>1736</v>
      </c>
      <c r="G15" s="122"/>
      <c r="H15" s="82"/>
      <c r="I15" s="82"/>
      <c r="J15" s="82"/>
      <c r="K15" s="82"/>
      <c r="L15" s="82"/>
      <c r="M15" s="25"/>
    </row>
    <row r="16" spans="1:13" ht="15" x14ac:dyDescent="0.2">
      <c r="A16" s="1140"/>
      <c r="B16" s="948"/>
      <c r="C16" s="973" t="s">
        <v>179</v>
      </c>
      <c r="D16" s="33" t="s">
        <v>62</v>
      </c>
      <c r="E16" s="182">
        <f>0.9/10</f>
        <v>0.09</v>
      </c>
      <c r="F16" s="67">
        <f>F12*E16</f>
        <v>156.23999999999998</v>
      </c>
      <c r="G16" s="989"/>
      <c r="H16" s="82"/>
      <c r="I16" s="82"/>
      <c r="J16" s="82"/>
      <c r="K16" s="82"/>
      <c r="L16" s="82"/>
      <c r="M16" s="25"/>
    </row>
    <row r="17" spans="1:13" ht="15.75" thickBot="1" x14ac:dyDescent="0.25">
      <c r="A17" s="1141"/>
      <c r="B17" s="350"/>
      <c r="C17" s="120" t="s">
        <v>85</v>
      </c>
      <c r="D17" s="17" t="s">
        <v>78</v>
      </c>
      <c r="E17" s="180">
        <v>0.17899999999999999</v>
      </c>
      <c r="F17" s="27">
        <f>E17*F12</f>
        <v>310.74399999999997</v>
      </c>
      <c r="G17" s="195"/>
      <c r="H17" s="949"/>
      <c r="I17" s="949"/>
      <c r="J17" s="949"/>
      <c r="K17" s="949"/>
      <c r="L17" s="949"/>
      <c r="M17" s="28"/>
    </row>
    <row r="18" spans="1:13" ht="45" x14ac:dyDescent="0.2">
      <c r="A18" s="1139">
        <v>4</v>
      </c>
      <c r="B18" s="942" t="s">
        <v>353</v>
      </c>
      <c r="C18" s="15" t="s">
        <v>736</v>
      </c>
      <c r="D18" s="16" t="s">
        <v>87</v>
      </c>
      <c r="E18" s="943"/>
      <c r="F18" s="944">
        <v>128</v>
      </c>
      <c r="G18" s="945"/>
      <c r="H18" s="946"/>
      <c r="I18" s="946"/>
      <c r="J18" s="946"/>
      <c r="K18" s="946"/>
      <c r="L18" s="946"/>
      <c r="M18" s="947"/>
    </row>
    <row r="19" spans="1:13" ht="15" x14ac:dyDescent="0.2">
      <c r="A19" s="1140"/>
      <c r="B19" s="132"/>
      <c r="C19" s="121" t="s">
        <v>219</v>
      </c>
      <c r="D19" s="22" t="s">
        <v>64</v>
      </c>
      <c r="E19" s="167">
        <v>1.06</v>
      </c>
      <c r="F19" s="24">
        <f>E19*F18</f>
        <v>135.68</v>
      </c>
      <c r="G19" s="122"/>
      <c r="H19" s="82"/>
      <c r="I19" s="82"/>
      <c r="J19" s="82"/>
      <c r="K19" s="82"/>
      <c r="L19" s="82"/>
      <c r="M19" s="25"/>
    </row>
    <row r="20" spans="1:13" ht="22.5" x14ac:dyDescent="0.2">
      <c r="A20" s="1140"/>
      <c r="B20" s="45" t="s">
        <v>488</v>
      </c>
      <c r="C20" s="31" t="s">
        <v>161</v>
      </c>
      <c r="D20" s="22" t="s">
        <v>104</v>
      </c>
      <c r="E20" s="158">
        <v>2.4E-2</v>
      </c>
      <c r="F20" s="24">
        <f>E20*F18</f>
        <v>3.0720000000000001</v>
      </c>
      <c r="G20" s="409"/>
      <c r="H20" s="409"/>
      <c r="I20" s="409"/>
      <c r="J20" s="409"/>
      <c r="K20" s="409"/>
      <c r="L20" s="40"/>
      <c r="M20" s="25"/>
    </row>
    <row r="21" spans="1:13" ht="30" x14ac:dyDescent="0.2">
      <c r="A21" s="1140"/>
      <c r="B21" s="132" t="s">
        <v>147</v>
      </c>
      <c r="C21" s="121" t="s">
        <v>647</v>
      </c>
      <c r="D21" s="22" t="s">
        <v>87</v>
      </c>
      <c r="E21" s="167">
        <v>1</v>
      </c>
      <c r="F21" s="24">
        <f>E21*F18</f>
        <v>128</v>
      </c>
      <c r="G21" s="122"/>
      <c r="H21" s="82"/>
      <c r="I21" s="82"/>
      <c r="J21" s="82"/>
      <c r="K21" s="82"/>
      <c r="L21" s="82"/>
      <c r="M21" s="25"/>
    </row>
    <row r="22" spans="1:13" ht="15" x14ac:dyDescent="0.2">
      <c r="A22" s="1140"/>
      <c r="B22" s="948"/>
      <c r="C22" s="973" t="s">
        <v>179</v>
      </c>
      <c r="D22" s="33" t="s">
        <v>62</v>
      </c>
      <c r="E22" s="182">
        <f>0.9/10</f>
        <v>0.09</v>
      </c>
      <c r="F22" s="67">
        <f>F18*E22</f>
        <v>11.52</v>
      </c>
      <c r="G22" s="989"/>
      <c r="H22" s="82"/>
      <c r="I22" s="82"/>
      <c r="J22" s="82"/>
      <c r="K22" s="82"/>
      <c r="L22" s="82"/>
      <c r="M22" s="25"/>
    </row>
    <row r="23" spans="1:13" ht="15.75" thickBot="1" x14ac:dyDescent="0.25">
      <c r="A23" s="1141"/>
      <c r="B23" s="350"/>
      <c r="C23" s="120" t="s">
        <v>85</v>
      </c>
      <c r="D23" s="17" t="s">
        <v>78</v>
      </c>
      <c r="E23" s="180">
        <v>0.17899999999999999</v>
      </c>
      <c r="F23" s="27">
        <f>E23*F18</f>
        <v>22.911999999999999</v>
      </c>
      <c r="G23" s="195"/>
      <c r="H23" s="949"/>
      <c r="I23" s="949"/>
      <c r="J23" s="949"/>
      <c r="K23" s="949"/>
      <c r="L23" s="949"/>
      <c r="M23" s="28"/>
    </row>
    <row r="24" spans="1:13" ht="30" x14ac:dyDescent="0.2">
      <c r="A24" s="1139">
        <v>5</v>
      </c>
      <c r="B24" s="950" t="s">
        <v>356</v>
      </c>
      <c r="C24" s="15" t="s">
        <v>355</v>
      </c>
      <c r="D24" s="16" t="s">
        <v>87</v>
      </c>
      <c r="E24" s="943"/>
      <c r="F24" s="944">
        <v>12</v>
      </c>
      <c r="G24" s="945"/>
      <c r="H24" s="946"/>
      <c r="I24" s="946"/>
      <c r="J24" s="946"/>
      <c r="K24" s="946"/>
      <c r="L24" s="946"/>
      <c r="M24" s="947"/>
    </row>
    <row r="25" spans="1:13" ht="15" x14ac:dyDescent="0.2">
      <c r="A25" s="1140"/>
      <c r="B25" s="132"/>
      <c r="C25" s="121" t="s">
        <v>219</v>
      </c>
      <c r="D25" s="22" t="s">
        <v>64</v>
      </c>
      <c r="E25" s="167">
        <v>3.66</v>
      </c>
      <c r="F25" s="24">
        <f>E25*F24</f>
        <v>43.92</v>
      </c>
      <c r="G25" s="122"/>
      <c r="H25" s="82"/>
      <c r="I25" s="82"/>
      <c r="J25" s="82"/>
      <c r="K25" s="82"/>
      <c r="L25" s="82"/>
      <c r="M25" s="25"/>
    </row>
    <row r="26" spans="1:13" ht="22.5" x14ac:dyDescent="0.2">
      <c r="A26" s="1140"/>
      <c r="B26" s="45" t="s">
        <v>488</v>
      </c>
      <c r="C26" s="31" t="s">
        <v>161</v>
      </c>
      <c r="D26" s="22" t="s">
        <v>104</v>
      </c>
      <c r="E26" s="158">
        <v>0.10299999999999999</v>
      </c>
      <c r="F26" s="24">
        <f>E26*F24</f>
        <v>1.236</v>
      </c>
      <c r="G26" s="409"/>
      <c r="H26" s="409"/>
      <c r="I26" s="409"/>
      <c r="J26" s="409"/>
      <c r="K26" s="409"/>
      <c r="L26" s="40"/>
      <c r="M26" s="25"/>
    </row>
    <row r="27" spans="1:13" ht="30" x14ac:dyDescent="0.2">
      <c r="A27" s="1140"/>
      <c r="B27" s="132" t="s">
        <v>147</v>
      </c>
      <c r="C27" s="363" t="s">
        <v>737</v>
      </c>
      <c r="D27" s="22" t="s">
        <v>87</v>
      </c>
      <c r="E27" s="167">
        <v>1</v>
      </c>
      <c r="F27" s="24">
        <f>E27*F24</f>
        <v>12</v>
      </c>
      <c r="G27" s="122"/>
      <c r="H27" s="82"/>
      <c r="I27" s="82"/>
      <c r="J27" s="82"/>
      <c r="K27" s="82"/>
      <c r="L27" s="82"/>
      <c r="M27" s="25"/>
    </row>
    <row r="28" spans="1:13" ht="15" x14ac:dyDescent="0.2">
      <c r="A28" s="1140"/>
      <c r="B28" s="948"/>
      <c r="C28" s="973" t="s">
        <v>179</v>
      </c>
      <c r="D28" s="33" t="s">
        <v>62</v>
      </c>
      <c r="E28" s="182">
        <f>3.7/10</f>
        <v>0.37</v>
      </c>
      <c r="F28" s="67">
        <f>F24*E28</f>
        <v>4.4399999999999995</v>
      </c>
      <c r="G28" s="989"/>
      <c r="H28" s="82"/>
      <c r="I28" s="82"/>
      <c r="J28" s="82"/>
      <c r="K28" s="82"/>
      <c r="L28" s="82"/>
      <c r="M28" s="25"/>
    </row>
    <row r="29" spans="1:13" ht="15.75" thickBot="1" x14ac:dyDescent="0.25">
      <c r="A29" s="1141"/>
      <c r="B29" s="350"/>
      <c r="C29" s="120" t="s">
        <v>85</v>
      </c>
      <c r="D29" s="17" t="s">
        <v>78</v>
      </c>
      <c r="E29" s="180">
        <v>0.307</v>
      </c>
      <c r="F29" s="27">
        <f>E29*F24</f>
        <v>3.6840000000000002</v>
      </c>
      <c r="G29" s="195"/>
      <c r="H29" s="949"/>
      <c r="I29" s="949"/>
      <c r="J29" s="949"/>
      <c r="K29" s="949"/>
      <c r="L29" s="949"/>
      <c r="M29" s="28"/>
    </row>
    <row r="30" spans="1:13" ht="30" x14ac:dyDescent="0.2">
      <c r="A30" s="1139">
        <v>6</v>
      </c>
      <c r="B30" s="942" t="s">
        <v>356</v>
      </c>
      <c r="C30" s="379" t="s">
        <v>648</v>
      </c>
      <c r="D30" s="16" t="s">
        <v>87</v>
      </c>
      <c r="E30" s="943"/>
      <c r="F30" s="944">
        <v>12</v>
      </c>
      <c r="G30" s="945"/>
      <c r="H30" s="946"/>
      <c r="I30" s="946"/>
      <c r="J30" s="946"/>
      <c r="K30" s="946"/>
      <c r="L30" s="946"/>
      <c r="M30" s="947"/>
    </row>
    <row r="31" spans="1:13" ht="15" x14ac:dyDescent="0.2">
      <c r="A31" s="1140"/>
      <c r="B31" s="132"/>
      <c r="C31" s="121" t="s">
        <v>219</v>
      </c>
      <c r="D31" s="22" t="s">
        <v>64</v>
      </c>
      <c r="E31" s="167">
        <v>3.66</v>
      </c>
      <c r="F31" s="24">
        <f>E31*F30</f>
        <v>43.92</v>
      </c>
      <c r="G31" s="122"/>
      <c r="H31" s="82"/>
      <c r="I31" s="82"/>
      <c r="J31" s="82"/>
      <c r="K31" s="82"/>
      <c r="L31" s="82"/>
      <c r="M31" s="25"/>
    </row>
    <row r="32" spans="1:13" ht="22.5" x14ac:dyDescent="0.2">
      <c r="A32" s="1140"/>
      <c r="B32" s="45" t="s">
        <v>488</v>
      </c>
      <c r="C32" s="31" t="s">
        <v>161</v>
      </c>
      <c r="D32" s="22" t="s">
        <v>104</v>
      </c>
      <c r="E32" s="158">
        <v>0.10299999999999999</v>
      </c>
      <c r="F32" s="24">
        <f>E32*F30</f>
        <v>1.236</v>
      </c>
      <c r="G32" s="409"/>
      <c r="H32" s="409"/>
      <c r="I32" s="409"/>
      <c r="J32" s="409"/>
      <c r="K32" s="409"/>
      <c r="L32" s="40"/>
      <c r="M32" s="25"/>
    </row>
    <row r="33" spans="1:13" ht="30" x14ac:dyDescent="0.2">
      <c r="A33" s="1140"/>
      <c r="B33" s="132" t="s">
        <v>147</v>
      </c>
      <c r="C33" s="363" t="s">
        <v>738</v>
      </c>
      <c r="D33" s="22" t="s">
        <v>87</v>
      </c>
      <c r="E33" s="167">
        <v>1</v>
      </c>
      <c r="F33" s="24">
        <f>F30*E33</f>
        <v>12</v>
      </c>
      <c r="G33" s="122"/>
      <c r="H33" s="82"/>
      <c r="I33" s="82"/>
      <c r="J33" s="82"/>
      <c r="K33" s="82"/>
      <c r="L33" s="82"/>
      <c r="M33" s="25"/>
    </row>
    <row r="34" spans="1:13" ht="15" x14ac:dyDescent="0.2">
      <c r="A34" s="1140"/>
      <c r="B34" s="948"/>
      <c r="C34" s="973" t="s">
        <v>179</v>
      </c>
      <c r="D34" s="33" t="s">
        <v>62</v>
      </c>
      <c r="E34" s="182">
        <f>3.7/10</f>
        <v>0.37</v>
      </c>
      <c r="F34" s="67">
        <f>F30*E34</f>
        <v>4.4399999999999995</v>
      </c>
      <c r="G34" s="989"/>
      <c r="H34" s="82"/>
      <c r="I34" s="82"/>
      <c r="J34" s="82"/>
      <c r="K34" s="82"/>
      <c r="L34" s="82"/>
      <c r="M34" s="25"/>
    </row>
    <row r="35" spans="1:13" ht="15.75" thickBot="1" x14ac:dyDescent="0.25">
      <c r="A35" s="1141"/>
      <c r="B35" s="350"/>
      <c r="C35" s="120" t="s">
        <v>85</v>
      </c>
      <c r="D35" s="17" t="s">
        <v>78</v>
      </c>
      <c r="E35" s="180">
        <v>0.307</v>
      </c>
      <c r="F35" s="27">
        <f>E35*F30</f>
        <v>3.6840000000000002</v>
      </c>
      <c r="G35" s="195"/>
      <c r="H35" s="949"/>
      <c r="I35" s="949"/>
      <c r="J35" s="949"/>
      <c r="K35" s="949"/>
      <c r="L35" s="949"/>
      <c r="M35" s="28"/>
    </row>
    <row r="36" spans="1:13" ht="30" x14ac:dyDescent="0.2">
      <c r="A36" s="1139">
        <v>7</v>
      </c>
      <c r="B36" s="950" t="s">
        <v>356</v>
      </c>
      <c r="C36" s="379" t="s">
        <v>649</v>
      </c>
      <c r="D36" s="16" t="s">
        <v>87</v>
      </c>
      <c r="E36" s="943"/>
      <c r="F36" s="944">
        <v>12</v>
      </c>
      <c r="G36" s="945"/>
      <c r="H36" s="946"/>
      <c r="I36" s="946"/>
      <c r="J36" s="946"/>
      <c r="K36" s="946"/>
      <c r="L36" s="946"/>
      <c r="M36" s="947"/>
    </row>
    <row r="37" spans="1:13" ht="15" x14ac:dyDescent="0.2">
      <c r="A37" s="1140"/>
      <c r="B37" s="132"/>
      <c r="C37" s="121" t="s">
        <v>219</v>
      </c>
      <c r="D37" s="22" t="s">
        <v>64</v>
      </c>
      <c r="E37" s="167">
        <v>3.66</v>
      </c>
      <c r="F37" s="24">
        <f>E37*F36</f>
        <v>43.92</v>
      </c>
      <c r="G37" s="122"/>
      <c r="H37" s="82"/>
      <c r="I37" s="82"/>
      <c r="J37" s="82"/>
      <c r="K37" s="82"/>
      <c r="L37" s="82"/>
      <c r="M37" s="25"/>
    </row>
    <row r="38" spans="1:13" ht="22.5" x14ac:dyDescent="0.2">
      <c r="A38" s="1140"/>
      <c r="B38" s="45" t="s">
        <v>488</v>
      </c>
      <c r="C38" s="31" t="s">
        <v>161</v>
      </c>
      <c r="D38" s="22" t="s">
        <v>104</v>
      </c>
      <c r="E38" s="158">
        <v>0.10299999999999999</v>
      </c>
      <c r="F38" s="24">
        <f>E38*F36</f>
        <v>1.236</v>
      </c>
      <c r="G38" s="409"/>
      <c r="H38" s="409"/>
      <c r="I38" s="409"/>
      <c r="J38" s="409"/>
      <c r="K38" s="409"/>
      <c r="L38" s="40"/>
      <c r="M38" s="25"/>
    </row>
    <row r="39" spans="1:13" ht="30" x14ac:dyDescent="0.2">
      <c r="A39" s="1140"/>
      <c r="B39" s="132" t="s">
        <v>147</v>
      </c>
      <c r="C39" s="363" t="s">
        <v>743</v>
      </c>
      <c r="D39" s="22" t="s">
        <v>87</v>
      </c>
      <c r="E39" s="167">
        <v>1</v>
      </c>
      <c r="F39" s="24">
        <f>E39*F36</f>
        <v>12</v>
      </c>
      <c r="G39" s="122"/>
      <c r="H39" s="82"/>
      <c r="I39" s="82"/>
      <c r="J39" s="82"/>
      <c r="K39" s="82"/>
      <c r="L39" s="82"/>
      <c r="M39" s="25"/>
    </row>
    <row r="40" spans="1:13" ht="15" x14ac:dyDescent="0.2">
      <c r="A40" s="1140"/>
      <c r="B40" s="948"/>
      <c r="C40" s="973" t="s">
        <v>179</v>
      </c>
      <c r="D40" s="33" t="s">
        <v>62</v>
      </c>
      <c r="E40" s="182">
        <f>3.7/10</f>
        <v>0.37</v>
      </c>
      <c r="F40" s="67">
        <f>F36*E40</f>
        <v>4.4399999999999995</v>
      </c>
      <c r="G40" s="989"/>
      <c r="H40" s="82"/>
      <c r="I40" s="82"/>
      <c r="J40" s="82"/>
      <c r="K40" s="82"/>
      <c r="L40" s="82"/>
      <c r="M40" s="25"/>
    </row>
    <row r="41" spans="1:13" ht="15.75" thickBot="1" x14ac:dyDescent="0.25">
      <c r="A41" s="1141"/>
      <c r="B41" s="350"/>
      <c r="C41" s="120" t="s">
        <v>85</v>
      </c>
      <c r="D41" s="17" t="s">
        <v>78</v>
      </c>
      <c r="E41" s="180">
        <v>0.307</v>
      </c>
      <c r="F41" s="27">
        <f>E41*F36</f>
        <v>3.6840000000000002</v>
      </c>
      <c r="G41" s="195"/>
      <c r="H41" s="949"/>
      <c r="I41" s="949"/>
      <c r="J41" s="949"/>
      <c r="K41" s="949"/>
      <c r="L41" s="949"/>
      <c r="M41" s="28"/>
    </row>
    <row r="42" spans="1:13" ht="30" x14ac:dyDescent="0.2">
      <c r="A42" s="1139">
        <v>8</v>
      </c>
      <c r="B42" s="942" t="s">
        <v>356</v>
      </c>
      <c r="C42" s="379" t="s">
        <v>650</v>
      </c>
      <c r="D42" s="16" t="s">
        <v>87</v>
      </c>
      <c r="E42" s="943"/>
      <c r="F42" s="944">
        <v>12</v>
      </c>
      <c r="G42" s="945"/>
      <c r="H42" s="946"/>
      <c r="I42" s="946"/>
      <c r="J42" s="946"/>
      <c r="K42" s="946"/>
      <c r="L42" s="946"/>
      <c r="M42" s="947"/>
    </row>
    <row r="43" spans="1:13" ht="15" x14ac:dyDescent="0.2">
      <c r="A43" s="1140"/>
      <c r="B43" s="132"/>
      <c r="C43" s="121" t="s">
        <v>219</v>
      </c>
      <c r="D43" s="22" t="s">
        <v>64</v>
      </c>
      <c r="E43" s="167">
        <v>3.66</v>
      </c>
      <c r="F43" s="24">
        <f>E43*F42</f>
        <v>43.92</v>
      </c>
      <c r="G43" s="122"/>
      <c r="H43" s="82"/>
      <c r="I43" s="82"/>
      <c r="J43" s="82"/>
      <c r="K43" s="82"/>
      <c r="L43" s="82"/>
      <c r="M43" s="25"/>
    </row>
    <row r="44" spans="1:13" ht="22.5" x14ac:dyDescent="0.2">
      <c r="A44" s="1140"/>
      <c r="B44" s="45" t="s">
        <v>488</v>
      </c>
      <c r="C44" s="31" t="s">
        <v>161</v>
      </c>
      <c r="D44" s="22" t="s">
        <v>104</v>
      </c>
      <c r="E44" s="158">
        <v>0.10299999999999999</v>
      </c>
      <c r="F44" s="24">
        <f>E44*F42</f>
        <v>1.236</v>
      </c>
      <c r="G44" s="409"/>
      <c r="H44" s="409"/>
      <c r="I44" s="409"/>
      <c r="J44" s="409"/>
      <c r="K44" s="409"/>
      <c r="L44" s="40"/>
      <c r="M44" s="25"/>
    </row>
    <row r="45" spans="1:13" ht="30" x14ac:dyDescent="0.2">
      <c r="A45" s="1140"/>
      <c r="B45" s="132" t="s">
        <v>147</v>
      </c>
      <c r="C45" s="363" t="s">
        <v>744</v>
      </c>
      <c r="D45" s="22" t="s">
        <v>87</v>
      </c>
      <c r="E45" s="167">
        <v>1</v>
      </c>
      <c r="F45" s="24">
        <f>E45*F42</f>
        <v>12</v>
      </c>
      <c r="G45" s="122"/>
      <c r="H45" s="82"/>
      <c r="I45" s="82"/>
      <c r="J45" s="82"/>
      <c r="K45" s="82"/>
      <c r="L45" s="82"/>
      <c r="M45" s="25"/>
    </row>
    <row r="46" spans="1:13" ht="15" x14ac:dyDescent="0.2">
      <c r="A46" s="1140"/>
      <c r="B46" s="948"/>
      <c r="C46" s="973" t="s">
        <v>179</v>
      </c>
      <c r="D46" s="33" t="s">
        <v>62</v>
      </c>
      <c r="E46" s="182">
        <f>3.7/10</f>
        <v>0.37</v>
      </c>
      <c r="F46" s="67">
        <f>F42*E46</f>
        <v>4.4399999999999995</v>
      </c>
      <c r="G46" s="989"/>
      <c r="H46" s="82"/>
      <c r="I46" s="82"/>
      <c r="J46" s="82"/>
      <c r="K46" s="82"/>
      <c r="L46" s="82"/>
      <c r="M46" s="25"/>
    </row>
    <row r="47" spans="1:13" ht="15.75" thickBot="1" x14ac:dyDescent="0.25">
      <c r="A47" s="1141"/>
      <c r="B47" s="350"/>
      <c r="C47" s="120" t="s">
        <v>85</v>
      </c>
      <c r="D47" s="17" t="s">
        <v>78</v>
      </c>
      <c r="E47" s="180">
        <v>0.307</v>
      </c>
      <c r="F47" s="27">
        <f>E47*F42</f>
        <v>3.6840000000000002</v>
      </c>
      <c r="G47" s="195"/>
      <c r="H47" s="949"/>
      <c r="I47" s="949"/>
      <c r="J47" s="949"/>
      <c r="K47" s="949"/>
      <c r="L47" s="949"/>
      <c r="M47" s="28"/>
    </row>
    <row r="48" spans="1:13" ht="30" x14ac:dyDescent="0.2">
      <c r="A48" s="1189">
        <v>9</v>
      </c>
      <c r="B48" s="181" t="s">
        <v>360</v>
      </c>
      <c r="C48" s="35" t="s">
        <v>319</v>
      </c>
      <c r="D48" s="674" t="s">
        <v>62</v>
      </c>
      <c r="E48" s="275"/>
      <c r="F48" s="19">
        <f>F54*0.05</f>
        <v>450</v>
      </c>
      <c r="G48" s="53"/>
      <c r="H48" s="53"/>
      <c r="I48" s="53"/>
      <c r="J48" s="53"/>
      <c r="K48" s="53"/>
      <c r="L48" s="53"/>
      <c r="M48" s="125"/>
    </row>
    <row r="49" spans="1:13" ht="15" x14ac:dyDescent="0.2">
      <c r="A49" s="1190"/>
      <c r="B49" s="501"/>
      <c r="C49" s="42" t="s">
        <v>67</v>
      </c>
      <c r="D49" s="38" t="s">
        <v>68</v>
      </c>
      <c r="E49" s="39">
        <f>15.5/1000</f>
        <v>1.55E-2</v>
      </c>
      <c r="F49" s="40">
        <f>E49*F48</f>
        <v>6.9749999999999996</v>
      </c>
      <c r="G49" s="24"/>
      <c r="H49" s="24"/>
      <c r="I49" s="24"/>
      <c r="J49" s="24"/>
      <c r="K49" s="24"/>
      <c r="L49" s="24"/>
      <c r="M49" s="25"/>
    </row>
    <row r="50" spans="1:13" ht="22.5" x14ac:dyDescent="0.2">
      <c r="A50" s="1190"/>
      <c r="B50" s="377" t="s">
        <v>569</v>
      </c>
      <c r="C50" s="42" t="s">
        <v>361</v>
      </c>
      <c r="D50" s="38" t="s">
        <v>104</v>
      </c>
      <c r="E50" s="39">
        <f>34.7/1000</f>
        <v>3.4700000000000002E-2</v>
      </c>
      <c r="F50" s="40">
        <f>E50*F48</f>
        <v>15.615</v>
      </c>
      <c r="G50" s="24"/>
      <c r="H50" s="24"/>
      <c r="I50" s="24"/>
      <c r="J50" s="24"/>
      <c r="K50" s="24"/>
      <c r="L50" s="24"/>
      <c r="M50" s="25"/>
    </row>
    <row r="51" spans="1:13" ht="15" x14ac:dyDescent="0.2">
      <c r="A51" s="1191"/>
      <c r="B51" s="951" t="s">
        <v>733</v>
      </c>
      <c r="C51" s="356" t="s">
        <v>471</v>
      </c>
      <c r="D51" s="675" t="s">
        <v>62</v>
      </c>
      <c r="E51" s="77">
        <v>1</v>
      </c>
      <c r="F51" s="68">
        <f>E51*F48</f>
        <v>450</v>
      </c>
      <c r="G51" s="67"/>
      <c r="H51" s="67"/>
      <c r="I51" s="67"/>
      <c r="J51" s="67"/>
      <c r="K51" s="24"/>
      <c r="L51" s="67"/>
      <c r="M51" s="25"/>
    </row>
    <row r="52" spans="1:13" ht="15.75" thickBot="1" x14ac:dyDescent="0.25">
      <c r="A52" s="1192"/>
      <c r="B52" s="695"/>
      <c r="C52" s="191" t="s">
        <v>82</v>
      </c>
      <c r="D52" s="17" t="s">
        <v>78</v>
      </c>
      <c r="E52" s="48">
        <v>2.9000000000000001E-2</v>
      </c>
      <c r="F52" s="49">
        <f>E52*F48</f>
        <v>13.05</v>
      </c>
      <c r="G52" s="27"/>
      <c r="H52" s="27"/>
      <c r="I52" s="27"/>
      <c r="J52" s="27"/>
      <c r="K52" s="27"/>
      <c r="L52" s="27"/>
      <c r="M52" s="28"/>
    </row>
    <row r="53" spans="1:13" ht="15.75" thickBot="1" x14ac:dyDescent="0.25">
      <c r="A53" s="691">
        <v>10</v>
      </c>
      <c r="B53" s="281"/>
      <c r="C53" s="378" t="s">
        <v>570</v>
      </c>
      <c r="D53" s="282" t="s">
        <v>65</v>
      </c>
      <c r="E53" s="208">
        <v>1.5</v>
      </c>
      <c r="F53" s="267">
        <f>F48*E53</f>
        <v>675</v>
      </c>
      <c r="G53" s="267"/>
      <c r="H53" s="267"/>
      <c r="I53" s="267"/>
      <c r="J53" s="265"/>
      <c r="K53" s="265"/>
      <c r="L53" s="265"/>
      <c r="M53" s="266"/>
    </row>
    <row r="54" spans="1:13" ht="30" x14ac:dyDescent="0.2">
      <c r="A54" s="1121">
        <v>11</v>
      </c>
      <c r="B54" s="131" t="s">
        <v>320</v>
      </c>
      <c r="C54" s="16" t="s">
        <v>363</v>
      </c>
      <c r="D54" s="16" t="s">
        <v>76</v>
      </c>
      <c r="E54" s="562"/>
      <c r="F54" s="60">
        <v>9000</v>
      </c>
      <c r="G54" s="563"/>
      <c r="H54" s="53"/>
      <c r="I54" s="563"/>
      <c r="J54" s="53"/>
      <c r="K54" s="563"/>
      <c r="L54" s="563"/>
      <c r="M54" s="125"/>
    </row>
    <row r="55" spans="1:13" ht="15" x14ac:dyDescent="0.3">
      <c r="A55" s="1122"/>
      <c r="B55" s="564"/>
      <c r="C55" s="565" t="s">
        <v>63</v>
      </c>
      <c r="D55" s="566" t="s">
        <v>64</v>
      </c>
      <c r="E55" s="567">
        <f>(18.4+4.39)/100</f>
        <v>0.22789999999999999</v>
      </c>
      <c r="F55" s="568">
        <f>E55*F54</f>
        <v>2051.1</v>
      </c>
      <c r="G55" s="568"/>
      <c r="H55" s="24"/>
      <c r="I55" s="569"/>
      <c r="J55" s="24"/>
      <c r="K55" s="569"/>
      <c r="L55" s="569"/>
      <c r="M55" s="25"/>
    </row>
    <row r="56" spans="1:13" ht="15.75" thickBot="1" x14ac:dyDescent="0.35">
      <c r="A56" s="1142"/>
      <c r="B56" s="700" t="s">
        <v>147</v>
      </c>
      <c r="C56" s="570" t="s">
        <v>321</v>
      </c>
      <c r="D56" s="571" t="s">
        <v>78</v>
      </c>
      <c r="E56" s="488">
        <f>2/100</f>
        <v>0.02</v>
      </c>
      <c r="F56" s="666">
        <f>F54*E56</f>
        <v>180</v>
      </c>
      <c r="G56" s="572"/>
      <c r="H56" s="67"/>
      <c r="I56" s="573"/>
      <c r="J56" s="573"/>
      <c r="K56" s="572"/>
      <c r="L56" s="572"/>
      <c r="M56" s="95"/>
    </row>
    <row r="57" spans="1:13" ht="45" x14ac:dyDescent="0.2">
      <c r="A57" s="1139">
        <v>12</v>
      </c>
      <c r="B57" s="1186" t="s">
        <v>147</v>
      </c>
      <c r="C57" s="16" t="s">
        <v>747</v>
      </c>
      <c r="D57" s="1045" t="s">
        <v>87</v>
      </c>
      <c r="E57" s="888"/>
      <c r="F57" s="164">
        <f>F66</f>
        <v>48</v>
      </c>
      <c r="G57" s="889"/>
      <c r="H57" s="1046"/>
      <c r="I57" s="1047"/>
      <c r="J57" s="1047"/>
      <c r="K57" s="889"/>
      <c r="L57" s="889"/>
      <c r="M57" s="1048"/>
    </row>
    <row r="58" spans="1:13" ht="15" x14ac:dyDescent="0.3">
      <c r="A58" s="1140"/>
      <c r="B58" s="1187"/>
      <c r="C58" s="1034" t="s">
        <v>107</v>
      </c>
      <c r="D58" s="566" t="s">
        <v>87</v>
      </c>
      <c r="E58" s="1035">
        <v>1</v>
      </c>
      <c r="F58" s="666">
        <f>F57*E58</f>
        <v>48</v>
      </c>
      <c r="G58" s="572"/>
      <c r="H58" s="67"/>
      <c r="I58" s="573"/>
      <c r="J58" s="24"/>
      <c r="K58" s="569"/>
      <c r="L58" s="569"/>
      <c r="M58" s="25"/>
    </row>
    <row r="59" spans="1:13" ht="15" x14ac:dyDescent="0.3">
      <c r="A59" s="1140"/>
      <c r="B59" s="1187"/>
      <c r="C59" s="1034" t="s">
        <v>748</v>
      </c>
      <c r="D59" s="566" t="s">
        <v>87</v>
      </c>
      <c r="E59" s="1035">
        <v>2</v>
      </c>
      <c r="F59" s="666">
        <f>F57*E59</f>
        <v>96</v>
      </c>
      <c r="G59" s="1036"/>
      <c r="H59" s="67"/>
      <c r="I59" s="573"/>
      <c r="J59" s="573"/>
      <c r="K59" s="572"/>
      <c r="L59" s="572"/>
      <c r="M59" s="95"/>
    </row>
    <row r="60" spans="1:13" ht="15" x14ac:dyDescent="0.3">
      <c r="A60" s="1140"/>
      <c r="B60" s="1187"/>
      <c r="C60" s="1034" t="s">
        <v>749</v>
      </c>
      <c r="D60" s="566" t="s">
        <v>88</v>
      </c>
      <c r="E60" s="1035">
        <v>1</v>
      </c>
      <c r="F60" s="666">
        <f>F57*E60</f>
        <v>48</v>
      </c>
      <c r="G60" s="1036"/>
      <c r="H60" s="67"/>
      <c r="I60" s="573"/>
      <c r="J60" s="573"/>
      <c r="K60" s="572"/>
      <c r="L60" s="572"/>
      <c r="M60" s="95"/>
    </row>
    <row r="61" spans="1:13" ht="15.75" thickBot="1" x14ac:dyDescent="0.35">
      <c r="A61" s="1141"/>
      <c r="B61" s="1188"/>
      <c r="C61" s="1049" t="s">
        <v>750</v>
      </c>
      <c r="D61" s="1050" t="s">
        <v>174</v>
      </c>
      <c r="E61" s="1051">
        <v>4.0599999999999997E-2</v>
      </c>
      <c r="F61" s="885">
        <f>F57*E61</f>
        <v>1.9487999999999999</v>
      </c>
      <c r="G61" s="1051"/>
      <c r="H61" s="27"/>
      <c r="I61" s="1052"/>
      <c r="J61" s="1052"/>
      <c r="K61" s="581"/>
      <c r="L61" s="581"/>
      <c r="M61" s="28"/>
    </row>
    <row r="62" spans="1:13" s="728" customFormat="1" ht="15" x14ac:dyDescent="0.25">
      <c r="A62" s="1140"/>
      <c r="B62" s="1041" t="s">
        <v>735</v>
      </c>
      <c r="C62" s="1042" t="s">
        <v>751</v>
      </c>
      <c r="D62" s="29" t="s">
        <v>87</v>
      </c>
      <c r="E62" s="1043"/>
      <c r="F62" s="302">
        <f>F8</f>
        <v>1864</v>
      </c>
      <c r="G62" s="1044"/>
      <c r="H62" s="150"/>
      <c r="I62" s="1044"/>
      <c r="J62" s="150"/>
      <c r="K62" s="1044"/>
      <c r="L62" s="1044"/>
      <c r="M62" s="351"/>
    </row>
    <row r="63" spans="1:13" s="728" customFormat="1" ht="15.75" x14ac:dyDescent="0.3">
      <c r="A63" s="1140"/>
      <c r="B63" s="564"/>
      <c r="C63" s="565" t="s">
        <v>63</v>
      </c>
      <c r="D63" s="566" t="s">
        <v>64</v>
      </c>
      <c r="E63" s="567">
        <f>2.79/10</f>
        <v>0.27900000000000003</v>
      </c>
      <c r="F63" s="706">
        <f>E63*F62</f>
        <v>520.05600000000004</v>
      </c>
      <c r="G63" s="568"/>
      <c r="H63" s="24"/>
      <c r="I63" s="569"/>
      <c r="J63" s="24"/>
      <c r="K63" s="569"/>
      <c r="L63" s="569"/>
      <c r="M63" s="25"/>
    </row>
    <row r="64" spans="1:13" s="728" customFormat="1" ht="22.5" x14ac:dyDescent="0.25">
      <c r="A64" s="1140"/>
      <c r="B64" s="45" t="s">
        <v>488</v>
      </c>
      <c r="C64" s="121" t="s">
        <v>183</v>
      </c>
      <c r="D64" s="990" t="s">
        <v>104</v>
      </c>
      <c r="E64" s="990">
        <f>0.45/10</f>
        <v>4.4999999999999998E-2</v>
      </c>
      <c r="F64" s="992">
        <f>F62*E64</f>
        <v>83.88</v>
      </c>
      <c r="G64" s="409"/>
      <c r="H64" s="24"/>
      <c r="I64" s="982"/>
      <c r="J64" s="982"/>
      <c r="K64" s="409"/>
      <c r="L64" s="409"/>
      <c r="M64" s="25"/>
    </row>
    <row r="65" spans="1:13" s="728" customFormat="1" ht="16.5" thickBot="1" x14ac:dyDescent="0.35">
      <c r="A65" s="1140"/>
      <c r="B65" s="700"/>
      <c r="C65" s="570" t="s">
        <v>179</v>
      </c>
      <c r="D65" s="571" t="s">
        <v>62</v>
      </c>
      <c r="E65" s="1053">
        <f>0.4/10</f>
        <v>0.04</v>
      </c>
      <c r="F65" s="707">
        <f>E65*F62</f>
        <v>74.56</v>
      </c>
      <c r="G65" s="572"/>
      <c r="H65" s="67"/>
      <c r="I65" s="573"/>
      <c r="J65" s="573"/>
      <c r="K65" s="572"/>
      <c r="L65" s="572"/>
      <c r="M65" s="95"/>
    </row>
    <row r="66" spans="1:13" s="993" customFormat="1" ht="15" x14ac:dyDescent="0.2">
      <c r="A66" s="1139">
        <v>15</v>
      </c>
      <c r="B66" s="1054" t="s">
        <v>734</v>
      </c>
      <c r="C66" s="869" t="s">
        <v>752</v>
      </c>
      <c r="D66" s="1055" t="s">
        <v>753</v>
      </c>
      <c r="E66" s="1055"/>
      <c r="F66" s="1056">
        <f>F10</f>
        <v>48</v>
      </c>
      <c r="G66" s="1055"/>
      <c r="H66" s="1057"/>
      <c r="I66" s="1058"/>
      <c r="J66" s="1057"/>
      <c r="K66" s="1058"/>
      <c r="L66" s="1057"/>
      <c r="M66" s="1059"/>
    </row>
    <row r="67" spans="1:13" s="993" customFormat="1" ht="15" x14ac:dyDescent="0.3">
      <c r="A67" s="1140"/>
      <c r="B67" s="1039"/>
      <c r="C67" s="57" t="s">
        <v>63</v>
      </c>
      <c r="D67" s="133" t="s">
        <v>64</v>
      </c>
      <c r="E67" s="133">
        <v>0.44800000000000001</v>
      </c>
      <c r="F67" s="1037">
        <f>F66*E67</f>
        <v>21.504000000000001</v>
      </c>
      <c r="G67" s="133"/>
      <c r="H67" s="1037"/>
      <c r="I67" s="569"/>
      <c r="J67" s="1037"/>
      <c r="K67" s="1038"/>
      <c r="L67" s="1037"/>
      <c r="M67" s="1060"/>
    </row>
    <row r="68" spans="1:13" s="993" customFormat="1" ht="16.5" customHeight="1" x14ac:dyDescent="0.2">
      <c r="A68" s="1140"/>
      <c r="B68" s="1039"/>
      <c r="C68" s="57" t="s">
        <v>754</v>
      </c>
      <c r="D68" s="133" t="s">
        <v>755</v>
      </c>
      <c r="E68" s="133">
        <v>3.4000000000000002E-2</v>
      </c>
      <c r="F68" s="1037">
        <f>F66*E68</f>
        <v>1.6320000000000001</v>
      </c>
      <c r="G68" s="133"/>
      <c r="H68" s="1037"/>
      <c r="I68" s="1038"/>
      <c r="J68" s="1037"/>
      <c r="K68" s="409"/>
      <c r="L68" s="1037"/>
      <c r="M68" s="1060"/>
    </row>
    <row r="69" spans="1:13" s="993" customFormat="1" ht="15.75" thickBot="1" x14ac:dyDescent="0.25">
      <c r="A69" s="1141"/>
      <c r="B69" s="1061"/>
      <c r="C69" s="58" t="s">
        <v>179</v>
      </c>
      <c r="D69" s="176" t="s">
        <v>62</v>
      </c>
      <c r="E69" s="176">
        <v>0.12</v>
      </c>
      <c r="F69" s="1062">
        <f>F66*E69</f>
        <v>5.76</v>
      </c>
      <c r="G69" s="176"/>
      <c r="H69" s="1063"/>
      <c r="I69" s="1062"/>
      <c r="J69" s="1063"/>
      <c r="K69" s="1062"/>
      <c r="L69" s="1063"/>
      <c r="M69" s="1064"/>
    </row>
    <row r="70" spans="1:13" ht="15.75" thickBot="1" x14ac:dyDescent="0.25">
      <c r="A70" s="129"/>
      <c r="B70" s="1066"/>
      <c r="C70" s="650" t="s">
        <v>113</v>
      </c>
      <c r="D70" s="1067"/>
      <c r="E70" s="1068"/>
      <c r="F70" s="639"/>
      <c r="G70" s="639"/>
      <c r="H70" s="653"/>
      <c r="I70" s="653"/>
      <c r="J70" s="653"/>
      <c r="K70" s="653"/>
      <c r="L70" s="653"/>
      <c r="M70" s="1026"/>
    </row>
    <row r="71" spans="1:13" ht="30" x14ac:dyDescent="0.2">
      <c r="A71" s="1024"/>
      <c r="B71" s="46"/>
      <c r="C71" s="1065" t="s">
        <v>633</v>
      </c>
      <c r="D71" s="610" t="s">
        <v>757</v>
      </c>
      <c r="E71" s="113"/>
      <c r="F71" s="103"/>
      <c r="G71" s="103"/>
      <c r="H71" s="103"/>
      <c r="I71" s="74"/>
      <c r="J71" s="74"/>
      <c r="K71" s="74"/>
      <c r="L71" s="74"/>
      <c r="M71" s="114"/>
    </row>
    <row r="72" spans="1:13" ht="15" x14ac:dyDescent="0.2">
      <c r="A72" s="696"/>
      <c r="B72" s="690"/>
      <c r="C72" s="594" t="s">
        <v>24</v>
      </c>
      <c r="D72" s="362"/>
      <c r="E72" s="39"/>
      <c r="F72" s="40"/>
      <c r="G72" s="40"/>
      <c r="H72" s="75"/>
      <c r="I72" s="75"/>
      <c r="J72" s="75"/>
      <c r="K72" s="75"/>
      <c r="L72" s="75"/>
      <c r="M72" s="597"/>
    </row>
    <row r="73" spans="1:13" ht="15" x14ac:dyDescent="0.2">
      <c r="A73" s="696"/>
      <c r="B73" s="45"/>
      <c r="C73" s="21" t="s">
        <v>117</v>
      </c>
      <c r="D73" s="362" t="s">
        <v>757</v>
      </c>
      <c r="E73" s="61"/>
      <c r="F73" s="75"/>
      <c r="G73" s="75"/>
      <c r="H73" s="75"/>
      <c r="I73" s="40"/>
      <c r="J73" s="40"/>
      <c r="K73" s="40"/>
      <c r="L73" s="24"/>
      <c r="M73" s="25"/>
    </row>
    <row r="74" spans="1:13" ht="15" x14ac:dyDescent="0.2">
      <c r="A74" s="696"/>
      <c r="B74" s="45"/>
      <c r="C74" s="595" t="s">
        <v>24</v>
      </c>
      <c r="D74" s="362"/>
      <c r="E74" s="61"/>
      <c r="F74" s="75"/>
      <c r="G74" s="75"/>
      <c r="H74" s="75"/>
      <c r="I74" s="40"/>
      <c r="J74" s="40"/>
      <c r="K74" s="40"/>
      <c r="L74" s="40"/>
      <c r="M74" s="118"/>
    </row>
    <row r="75" spans="1:13" ht="15" x14ac:dyDescent="0.2">
      <c r="A75" s="696"/>
      <c r="B75" s="45"/>
      <c r="C75" s="21" t="s">
        <v>118</v>
      </c>
      <c r="D75" s="362" t="s">
        <v>757</v>
      </c>
      <c r="E75" s="61"/>
      <c r="F75" s="75"/>
      <c r="G75" s="75"/>
      <c r="H75" s="75"/>
      <c r="I75" s="40"/>
      <c r="J75" s="40"/>
      <c r="K75" s="40"/>
      <c r="L75" s="24"/>
      <c r="M75" s="25"/>
    </row>
    <row r="76" spans="1:13" s="873" customFormat="1" ht="15" x14ac:dyDescent="0.2">
      <c r="A76" s="1025"/>
      <c r="B76" s="361"/>
      <c r="C76" s="595" t="s">
        <v>24</v>
      </c>
      <c r="D76" s="362"/>
      <c r="E76" s="334"/>
      <c r="F76" s="75"/>
      <c r="G76" s="75"/>
      <c r="H76" s="75"/>
      <c r="I76" s="75"/>
      <c r="J76" s="75"/>
      <c r="K76" s="75"/>
      <c r="L76" s="669"/>
      <c r="M76" s="118"/>
    </row>
  </sheetData>
  <sheetProtection password="CF7A" sheet="1" objects="1" scenarios="1"/>
  <protectedRanges>
    <protectedRange sqref="D71:G76" name="Range2"/>
    <protectedRange sqref="G8:M76" name="Range1"/>
  </protectedRanges>
  <autoFilter ref="A7:M76"/>
  <mergeCells count="27">
    <mergeCell ref="M5:M6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I5:J5"/>
    <mergeCell ref="A66:A69"/>
    <mergeCell ref="A57:A61"/>
    <mergeCell ref="B57:B61"/>
    <mergeCell ref="K5:L5"/>
    <mergeCell ref="A48:A52"/>
    <mergeCell ref="A54:A56"/>
    <mergeCell ref="A10:A11"/>
    <mergeCell ref="A12:A17"/>
    <mergeCell ref="A8:A9"/>
    <mergeCell ref="A18:A23"/>
    <mergeCell ref="A24:A29"/>
    <mergeCell ref="A30:A35"/>
    <mergeCell ref="A36:A41"/>
    <mergeCell ref="A42:A47"/>
    <mergeCell ref="A62:A65"/>
  </mergeCells>
  <conditionalFormatting sqref="B15:F16">
    <cfRule type="cellIs" dxfId="148" priority="53" stopIfTrue="1" operator="equal">
      <formula>8223.307275</formula>
    </cfRule>
  </conditionalFormatting>
  <conditionalFormatting sqref="B17:F17">
    <cfRule type="cellIs" dxfId="147" priority="51" stopIfTrue="1" operator="equal">
      <formula>8223.307275</formula>
    </cfRule>
  </conditionalFormatting>
  <conditionalFormatting sqref="B12:F13">
    <cfRule type="cellIs" dxfId="146" priority="48" stopIfTrue="1" operator="equal">
      <formula>8223.307275</formula>
    </cfRule>
  </conditionalFormatting>
  <conditionalFormatting sqref="B23:F23">
    <cfRule type="cellIs" dxfId="145" priority="42" stopIfTrue="1" operator="equal">
      <formula>8223.307275</formula>
    </cfRule>
  </conditionalFormatting>
  <conditionalFormatting sqref="B18:F19">
    <cfRule type="cellIs" dxfId="144" priority="41" stopIfTrue="1" operator="equal">
      <formula>8223.307275</formula>
    </cfRule>
  </conditionalFormatting>
  <conditionalFormatting sqref="B21 D21:F21">
    <cfRule type="cellIs" dxfId="143" priority="43" stopIfTrue="1" operator="equal">
      <formula>8223.307275</formula>
    </cfRule>
  </conditionalFormatting>
  <conditionalFormatting sqref="B27 D27:F27">
    <cfRule type="cellIs" dxfId="142" priority="39" stopIfTrue="1" operator="equal">
      <formula>8223.307275</formula>
    </cfRule>
  </conditionalFormatting>
  <conditionalFormatting sqref="B29:F29">
    <cfRule type="cellIs" dxfId="141" priority="38" stopIfTrue="1" operator="equal">
      <formula>8223.307275</formula>
    </cfRule>
  </conditionalFormatting>
  <conditionalFormatting sqref="B24:F25">
    <cfRule type="cellIs" dxfId="140" priority="37" stopIfTrue="1" operator="equal">
      <formula>8223.307275</formula>
    </cfRule>
  </conditionalFormatting>
  <conditionalFormatting sqref="B14 B20 B26">
    <cfRule type="cellIs" dxfId="139" priority="35" stopIfTrue="1" operator="equal">
      <formula>8223.307275</formula>
    </cfRule>
  </conditionalFormatting>
  <conditionalFormatting sqref="B50">
    <cfRule type="cellIs" dxfId="138" priority="34" stopIfTrue="1" operator="equal">
      <formula>8223.307275</formula>
    </cfRule>
  </conditionalFormatting>
  <conditionalFormatting sqref="C21">
    <cfRule type="cellIs" dxfId="137" priority="31" stopIfTrue="1" operator="equal">
      <formula>8223.307275</formula>
    </cfRule>
  </conditionalFormatting>
  <conditionalFormatting sqref="C27">
    <cfRule type="cellIs" dxfId="136" priority="30" stopIfTrue="1" operator="equal">
      <formula>8223.307275</formula>
    </cfRule>
  </conditionalFormatting>
  <conditionalFormatting sqref="B44">
    <cfRule type="cellIs" dxfId="135" priority="14" stopIfTrue="1" operator="equal">
      <formula>8223.307275</formula>
    </cfRule>
  </conditionalFormatting>
  <conditionalFormatting sqref="C45">
    <cfRule type="cellIs" dxfId="134" priority="12" stopIfTrue="1" operator="equal">
      <formula>8223.307275</formula>
    </cfRule>
  </conditionalFormatting>
  <conditionalFormatting sqref="B33 D33:F33">
    <cfRule type="cellIs" dxfId="133" priority="29" stopIfTrue="1" operator="equal">
      <formula>8223.307275</formula>
    </cfRule>
  </conditionalFormatting>
  <conditionalFormatting sqref="B35:D35 F35">
    <cfRule type="cellIs" dxfId="132" priority="28" stopIfTrue="1" operator="equal">
      <formula>8223.307275</formula>
    </cfRule>
  </conditionalFormatting>
  <conditionalFormatting sqref="B30:F31">
    <cfRule type="cellIs" dxfId="131" priority="27" stopIfTrue="1" operator="equal">
      <formula>8223.307275</formula>
    </cfRule>
  </conditionalFormatting>
  <conditionalFormatting sqref="B32">
    <cfRule type="cellIs" dxfId="130" priority="26" stopIfTrue="1" operator="equal">
      <formula>8223.307275</formula>
    </cfRule>
  </conditionalFormatting>
  <conditionalFormatting sqref="C33">
    <cfRule type="cellIs" dxfId="129" priority="24" stopIfTrue="1" operator="equal">
      <formula>8223.307275</formula>
    </cfRule>
  </conditionalFormatting>
  <conditionalFormatting sqref="B39 D39:F39">
    <cfRule type="cellIs" dxfId="128" priority="23" stopIfTrue="1" operator="equal">
      <formula>8223.307275</formula>
    </cfRule>
  </conditionalFormatting>
  <conditionalFormatting sqref="B41:D41 F41">
    <cfRule type="cellIs" dxfId="127" priority="22" stopIfTrue="1" operator="equal">
      <formula>8223.307275</formula>
    </cfRule>
  </conditionalFormatting>
  <conditionalFormatting sqref="B36:F37">
    <cfRule type="cellIs" dxfId="126" priority="21" stopIfTrue="1" operator="equal">
      <formula>8223.307275</formula>
    </cfRule>
  </conditionalFormatting>
  <conditionalFormatting sqref="B38">
    <cfRule type="cellIs" dxfId="125" priority="20" stopIfTrue="1" operator="equal">
      <formula>8223.307275</formula>
    </cfRule>
  </conditionalFormatting>
  <conditionalFormatting sqref="C39">
    <cfRule type="cellIs" dxfId="124" priority="18" stopIfTrue="1" operator="equal">
      <formula>8223.307275</formula>
    </cfRule>
  </conditionalFormatting>
  <conditionalFormatting sqref="B45 D45:F45">
    <cfRule type="cellIs" dxfId="123" priority="17" stopIfTrue="1" operator="equal">
      <formula>8223.307275</formula>
    </cfRule>
  </conditionalFormatting>
  <conditionalFormatting sqref="B47:D47 F47">
    <cfRule type="cellIs" dxfId="122" priority="16" stopIfTrue="1" operator="equal">
      <formula>8223.307275</formula>
    </cfRule>
  </conditionalFormatting>
  <conditionalFormatting sqref="B42:F43">
    <cfRule type="cellIs" dxfId="121" priority="15" stopIfTrue="1" operator="equal">
      <formula>8223.307275</formula>
    </cfRule>
  </conditionalFormatting>
  <conditionalFormatting sqref="D52">
    <cfRule type="cellIs" dxfId="120" priority="11" stopIfTrue="1" operator="equal">
      <formula>8223.307275</formula>
    </cfRule>
  </conditionalFormatting>
  <conditionalFormatting sqref="B22:F22">
    <cfRule type="cellIs" dxfId="119" priority="10" stopIfTrue="1" operator="equal">
      <formula>8223.307275</formula>
    </cfRule>
  </conditionalFormatting>
  <conditionalFormatting sqref="B28:F28">
    <cfRule type="cellIs" dxfId="118" priority="9" stopIfTrue="1" operator="equal">
      <formula>8223.307275</formula>
    </cfRule>
  </conditionalFormatting>
  <conditionalFormatting sqref="B34:F34">
    <cfRule type="cellIs" dxfId="117" priority="8" stopIfTrue="1" operator="equal">
      <formula>8223.307275</formula>
    </cfRule>
  </conditionalFormatting>
  <conditionalFormatting sqref="E35">
    <cfRule type="cellIs" dxfId="116" priority="7" stopIfTrue="1" operator="equal">
      <formula>8223.307275</formula>
    </cfRule>
  </conditionalFormatting>
  <conditionalFormatting sqref="B40:F40">
    <cfRule type="cellIs" dxfId="115" priority="6" stopIfTrue="1" operator="equal">
      <formula>8223.307275</formula>
    </cfRule>
  </conditionalFormatting>
  <conditionalFormatting sqref="E41">
    <cfRule type="cellIs" dxfId="114" priority="5" stopIfTrue="1" operator="equal">
      <formula>8223.307275</formula>
    </cfRule>
  </conditionalFormatting>
  <conditionalFormatting sqref="B46:F46">
    <cfRule type="cellIs" dxfId="113" priority="4" stopIfTrue="1" operator="equal">
      <formula>8223.307275</formula>
    </cfRule>
  </conditionalFormatting>
  <conditionalFormatting sqref="E47">
    <cfRule type="cellIs" dxfId="112" priority="3" stopIfTrue="1" operator="equal">
      <formula>8223.307275</formula>
    </cfRule>
  </conditionalFormatting>
  <conditionalFormatting sqref="B64">
    <cfRule type="cellIs" dxfId="111" priority="2" stopIfTrue="1" operator="equal">
      <formula>8223.307275</formula>
    </cfRule>
  </conditionalFormatting>
  <conditionalFormatting sqref="C64:D64">
    <cfRule type="cellIs" dxfId="110" priority="1" stopIfTrue="1" operator="equal">
      <formula>0</formula>
    </cfRule>
  </conditionalFormatting>
  <pageMargins left="0.9055118110236221" right="0" top="0.51181102362204722" bottom="0.23622047244094491" header="0.15748031496062992" footer="0.15748031496062992"/>
  <pageSetup paperSize="9" scale="85" orientation="landscape" horizontalDpi="4294967295" verticalDpi="4294967295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85"/>
  <sheetViews>
    <sheetView view="pageBreakPreview" topLeftCell="A64" zoomScaleNormal="110" zoomScaleSheetLayoutView="100" workbookViewId="0">
      <selection activeCell="E68" sqref="E68"/>
    </sheetView>
  </sheetViews>
  <sheetFormatPr defaultRowHeight="15" x14ac:dyDescent="0.25"/>
  <cols>
    <col min="1" max="1" width="4.5703125" style="1069" customWidth="1"/>
    <col min="2" max="2" width="11.7109375" style="959" customWidth="1"/>
    <col min="3" max="3" width="42.85546875" style="954" customWidth="1"/>
    <col min="4" max="4" width="7.85546875" style="954" bestFit="1" customWidth="1"/>
    <col min="5" max="5" width="9.140625" style="954" bestFit="1" customWidth="1"/>
    <col min="6" max="6" width="12.42578125" style="954" customWidth="1"/>
    <col min="7" max="7" width="6.42578125" style="955" bestFit="1" customWidth="1"/>
    <col min="8" max="8" width="10.7109375" style="955" bestFit="1" customWidth="1"/>
    <col min="9" max="9" width="5.28515625" style="955" bestFit="1" customWidth="1"/>
    <col min="10" max="10" width="10.7109375" style="955" bestFit="1" customWidth="1"/>
    <col min="11" max="11" width="5.42578125" style="955" bestFit="1" customWidth="1"/>
    <col min="12" max="12" width="9.42578125" style="955" bestFit="1" customWidth="1"/>
    <col min="13" max="13" width="12.7109375" style="955" bestFit="1" customWidth="1"/>
    <col min="14" max="16384" width="9.140625" style="954"/>
  </cols>
  <sheetData>
    <row r="1" spans="1:15" x14ac:dyDescent="0.25">
      <c r="B1" s="1089" t="s">
        <v>643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5" x14ac:dyDescent="0.25">
      <c r="B2" s="1090" t="s">
        <v>373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5" x14ac:dyDescent="0.25">
      <c r="A3" s="12"/>
      <c r="B3" s="1091" t="s">
        <v>458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5" ht="16.5" thickBot="1" x14ac:dyDescent="0.35">
      <c r="A4" s="1093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5" ht="15.7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5" ht="30.75" thickBot="1" x14ac:dyDescent="0.3">
      <c r="A6" s="1095"/>
      <c r="B6" s="1097"/>
      <c r="C6" s="1099"/>
      <c r="D6" s="1099"/>
      <c r="E6" s="77" t="s">
        <v>399</v>
      </c>
      <c r="F6" s="77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5" s="956" customFormat="1" ht="15.75" thickBot="1" x14ac:dyDescent="0.3">
      <c r="A7" s="183"/>
      <c r="B7" s="184" t="s">
        <v>60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6">
        <v>13</v>
      </c>
    </row>
    <row r="8" spans="1:15" s="956" customFormat="1" ht="45.75" thickBot="1" x14ac:dyDescent="0.3">
      <c r="A8" s="298"/>
      <c r="B8" s="299"/>
      <c r="C8" s="296" t="s">
        <v>459</v>
      </c>
      <c r="D8" s="300"/>
      <c r="E8" s="297"/>
      <c r="F8" s="300"/>
      <c r="G8" s="300"/>
      <c r="H8" s="300"/>
      <c r="I8" s="300"/>
      <c r="J8" s="300"/>
      <c r="K8" s="300"/>
      <c r="L8" s="300"/>
      <c r="M8" s="301"/>
    </row>
    <row r="9" spans="1:15" ht="30" x14ac:dyDescent="0.25">
      <c r="A9" s="1111">
        <v>1</v>
      </c>
      <c r="B9" s="1114" t="s">
        <v>105</v>
      </c>
      <c r="C9" s="379" t="s">
        <v>571</v>
      </c>
      <c r="D9" s="16" t="s">
        <v>62</v>
      </c>
      <c r="E9" s="303"/>
      <c r="F9" s="303">
        <v>13.266</v>
      </c>
      <c r="G9" s="53"/>
      <c r="H9" s="53"/>
      <c r="I9" s="53"/>
      <c r="J9" s="53"/>
      <c r="K9" s="53"/>
      <c r="L9" s="53"/>
      <c r="M9" s="54"/>
      <c r="N9" s="984"/>
      <c r="O9" s="984"/>
    </row>
    <row r="10" spans="1:15" ht="15.75" x14ac:dyDescent="0.3">
      <c r="A10" s="1112"/>
      <c r="B10" s="1115"/>
      <c r="C10" s="306" t="s">
        <v>107</v>
      </c>
      <c r="D10" s="307" t="s">
        <v>64</v>
      </c>
      <c r="E10" s="304">
        <v>2.06</v>
      </c>
      <c r="F10" s="304">
        <f>F9*E10</f>
        <v>27.327960000000001</v>
      </c>
      <c r="G10" s="24"/>
      <c r="H10" s="24"/>
      <c r="I10" s="24"/>
      <c r="J10" s="24"/>
      <c r="K10" s="24"/>
      <c r="L10" s="24"/>
      <c r="M10" s="25"/>
      <c r="N10" s="984"/>
      <c r="O10" s="984"/>
    </row>
    <row r="11" spans="1:15" ht="15.75" thickBot="1" x14ac:dyDescent="0.3">
      <c r="A11" s="1152"/>
      <c r="B11" s="355" t="s">
        <v>480</v>
      </c>
      <c r="C11" s="590" t="s">
        <v>156</v>
      </c>
      <c r="D11" s="17" t="s">
        <v>65</v>
      </c>
      <c r="E11" s="985">
        <v>1.8</v>
      </c>
      <c r="F11" s="137">
        <f>E11*(F9)</f>
        <v>23.878800000000002</v>
      </c>
      <c r="G11" s="27"/>
      <c r="H11" s="27"/>
      <c r="I11" s="27"/>
      <c r="J11" s="27"/>
      <c r="K11" s="27"/>
      <c r="L11" s="27"/>
      <c r="M11" s="28"/>
      <c r="N11" s="984"/>
      <c r="O11" s="984"/>
    </row>
    <row r="12" spans="1:15" ht="45" x14ac:dyDescent="0.25">
      <c r="A12" s="1086">
        <v>2</v>
      </c>
      <c r="B12" s="322" t="s">
        <v>204</v>
      </c>
      <c r="C12" s="34" t="s">
        <v>375</v>
      </c>
      <c r="D12" s="35" t="s">
        <v>62</v>
      </c>
      <c r="E12" s="36"/>
      <c r="F12" s="19">
        <f>5.31</f>
        <v>5.31</v>
      </c>
      <c r="G12" s="19"/>
      <c r="H12" s="19"/>
      <c r="I12" s="19"/>
      <c r="J12" s="19"/>
      <c r="K12" s="19"/>
      <c r="L12" s="19"/>
      <c r="M12" s="20"/>
      <c r="N12" s="984"/>
      <c r="O12" s="984"/>
    </row>
    <row r="13" spans="1:15" x14ac:dyDescent="0.25">
      <c r="A13" s="1087"/>
      <c r="B13" s="679"/>
      <c r="C13" s="37" t="s">
        <v>67</v>
      </c>
      <c r="D13" s="38" t="s">
        <v>68</v>
      </c>
      <c r="E13" s="39">
        <v>8.44</v>
      </c>
      <c r="F13" s="39">
        <f>E13*F12</f>
        <v>44.816399999999994</v>
      </c>
      <c r="G13" s="40"/>
      <c r="H13" s="40"/>
      <c r="I13" s="40"/>
      <c r="J13" s="40"/>
      <c r="K13" s="40"/>
      <c r="L13" s="40"/>
      <c r="M13" s="41"/>
      <c r="N13" s="984"/>
      <c r="O13" s="984"/>
    </row>
    <row r="14" spans="1:15" x14ac:dyDescent="0.25">
      <c r="A14" s="1087"/>
      <c r="B14" s="679" t="s">
        <v>502</v>
      </c>
      <c r="C14" s="37" t="s">
        <v>69</v>
      </c>
      <c r="D14" s="38" t="s">
        <v>62</v>
      </c>
      <c r="E14" s="39">
        <v>1.0149999999999999</v>
      </c>
      <c r="F14" s="39">
        <f>E14*F12</f>
        <v>5.3896499999999987</v>
      </c>
      <c r="G14" s="40"/>
      <c r="H14" s="40"/>
      <c r="I14" s="40"/>
      <c r="J14" s="40"/>
      <c r="K14" s="40"/>
      <c r="L14" s="40"/>
      <c r="M14" s="41"/>
      <c r="N14" s="984"/>
      <c r="O14" s="984"/>
    </row>
    <row r="15" spans="1:15" x14ac:dyDescent="0.25">
      <c r="A15" s="1087"/>
      <c r="B15" s="364" t="s">
        <v>496</v>
      </c>
      <c r="C15" s="601" t="s">
        <v>80</v>
      </c>
      <c r="D15" s="38" t="s">
        <v>71</v>
      </c>
      <c r="E15" s="43" t="s">
        <v>72</v>
      </c>
      <c r="F15" s="136">
        <f>727.27*0.889/13.2*5.31</f>
        <v>260.08662797727271</v>
      </c>
      <c r="G15" s="44"/>
      <c r="H15" s="40"/>
      <c r="I15" s="40"/>
      <c r="J15" s="40"/>
      <c r="K15" s="40"/>
      <c r="L15" s="40"/>
      <c r="M15" s="41"/>
      <c r="N15" s="984"/>
      <c r="O15" s="984"/>
    </row>
    <row r="16" spans="1:15" x14ac:dyDescent="0.25">
      <c r="A16" s="1087"/>
      <c r="B16" s="364" t="s">
        <v>497</v>
      </c>
      <c r="C16" s="601" t="s">
        <v>336</v>
      </c>
      <c r="D16" s="38" t="s">
        <v>71</v>
      </c>
      <c r="E16" s="43" t="s">
        <v>72</v>
      </c>
      <c r="F16" s="136">
        <f>326.4*0.4/13.2*5.32</f>
        <v>52.619636363636374</v>
      </c>
      <c r="G16" s="44"/>
      <c r="H16" s="40"/>
      <c r="I16" s="40"/>
      <c r="J16" s="40"/>
      <c r="K16" s="40"/>
      <c r="L16" s="40"/>
      <c r="M16" s="41"/>
      <c r="N16" s="984"/>
      <c r="O16" s="984"/>
    </row>
    <row r="17" spans="1:15" x14ac:dyDescent="0.25">
      <c r="A17" s="1087"/>
      <c r="B17" s="45" t="s">
        <v>514</v>
      </c>
      <c r="C17" s="37" t="s">
        <v>74</v>
      </c>
      <c r="D17" s="38" t="s">
        <v>62</v>
      </c>
      <c r="E17" s="985">
        <f>(0.34+3.91)/100</f>
        <v>4.2500000000000003E-2</v>
      </c>
      <c r="F17" s="39">
        <f>E17*F12</f>
        <v>0.22567499999999999</v>
      </c>
      <c r="G17" s="24"/>
      <c r="H17" s="40"/>
      <c r="I17" s="40"/>
      <c r="J17" s="40"/>
      <c r="K17" s="40"/>
      <c r="L17" s="40"/>
      <c r="M17" s="41"/>
      <c r="N17" s="984"/>
      <c r="O17" s="984"/>
    </row>
    <row r="18" spans="1:15" x14ac:dyDescent="0.25">
      <c r="A18" s="1087"/>
      <c r="B18" s="679" t="s">
        <v>492</v>
      </c>
      <c r="C18" s="37" t="s">
        <v>75</v>
      </c>
      <c r="D18" s="38" t="s">
        <v>76</v>
      </c>
      <c r="E18" s="39">
        <v>1.84</v>
      </c>
      <c r="F18" s="39">
        <f>E18*F12</f>
        <v>9.7704000000000004</v>
      </c>
      <c r="G18" s="40"/>
      <c r="H18" s="40"/>
      <c r="I18" s="40"/>
      <c r="J18" s="40"/>
      <c r="K18" s="40"/>
      <c r="L18" s="40"/>
      <c r="M18" s="41"/>
      <c r="N18" s="984"/>
      <c r="O18" s="984"/>
    </row>
    <row r="19" spans="1:15" x14ac:dyDescent="0.25">
      <c r="A19" s="1087"/>
      <c r="B19" s="46"/>
      <c r="C19" s="37" t="s">
        <v>77</v>
      </c>
      <c r="D19" s="38" t="s">
        <v>78</v>
      </c>
      <c r="E19" s="39">
        <v>1.1000000000000001</v>
      </c>
      <c r="F19" s="39">
        <f>E19*F12</f>
        <v>5.8410000000000002</v>
      </c>
      <c r="G19" s="40"/>
      <c r="H19" s="40"/>
      <c r="I19" s="40"/>
      <c r="J19" s="40"/>
      <c r="K19" s="40"/>
      <c r="L19" s="40"/>
      <c r="M19" s="41"/>
      <c r="N19" s="984"/>
      <c r="O19" s="984"/>
    </row>
    <row r="20" spans="1:15" x14ac:dyDescent="0.25">
      <c r="A20" s="1087"/>
      <c r="B20" s="72" t="s">
        <v>504</v>
      </c>
      <c r="C20" s="57" t="s">
        <v>90</v>
      </c>
      <c r="D20" s="22" t="s">
        <v>71</v>
      </c>
      <c r="E20" s="23">
        <v>1</v>
      </c>
      <c r="F20" s="23">
        <f>E20*F12</f>
        <v>5.31</v>
      </c>
      <c r="G20" s="23"/>
      <c r="H20" s="23"/>
      <c r="I20" s="23"/>
      <c r="J20" s="23"/>
      <c r="K20" s="23"/>
      <c r="L20" s="23"/>
      <c r="M20" s="32"/>
      <c r="N20" s="984"/>
      <c r="O20" s="984"/>
    </row>
    <row r="21" spans="1:15" ht="15.75" thickBot="1" x14ac:dyDescent="0.3">
      <c r="A21" s="1088"/>
      <c r="B21" s="355"/>
      <c r="C21" s="47" t="s">
        <v>79</v>
      </c>
      <c r="D21" s="342" t="s">
        <v>78</v>
      </c>
      <c r="E21" s="48">
        <v>0.46</v>
      </c>
      <c r="F21" s="48">
        <f>E21*F12</f>
        <v>2.4426000000000001</v>
      </c>
      <c r="G21" s="49"/>
      <c r="H21" s="49"/>
      <c r="I21" s="49"/>
      <c r="J21" s="49"/>
      <c r="K21" s="49"/>
      <c r="L21" s="49"/>
      <c r="M21" s="50"/>
      <c r="N21" s="984"/>
      <c r="O21" s="984"/>
    </row>
    <row r="22" spans="1:15" ht="30" x14ac:dyDescent="0.25">
      <c r="A22" s="1200">
        <v>3</v>
      </c>
      <c r="B22" s="181" t="s">
        <v>168</v>
      </c>
      <c r="C22" s="16" t="s">
        <v>443</v>
      </c>
      <c r="D22" s="16" t="s">
        <v>158</v>
      </c>
      <c r="E22" s="93"/>
      <c r="F22" s="60">
        <v>4.88</v>
      </c>
      <c r="G22" s="60"/>
      <c r="H22" s="60"/>
      <c r="I22" s="60"/>
      <c r="J22" s="60"/>
      <c r="K22" s="60"/>
      <c r="L22" s="60"/>
      <c r="M22" s="54"/>
      <c r="N22" s="984"/>
      <c r="O22" s="984"/>
    </row>
    <row r="23" spans="1:15" x14ac:dyDescent="0.25">
      <c r="A23" s="1183"/>
      <c r="B23" s="757"/>
      <c r="C23" s="121" t="s">
        <v>159</v>
      </c>
      <c r="D23" s="22" t="s">
        <v>64</v>
      </c>
      <c r="E23" s="158">
        <v>0.15</v>
      </c>
      <c r="F23" s="167">
        <f>E23*F22</f>
        <v>0.73199999999999998</v>
      </c>
      <c r="G23" s="24"/>
      <c r="H23" s="24"/>
      <c r="I23" s="24"/>
      <c r="J23" s="24"/>
      <c r="K23" s="24"/>
      <c r="L23" s="24"/>
      <c r="M23" s="25"/>
      <c r="N23" s="984"/>
      <c r="O23" s="984"/>
    </row>
    <row r="24" spans="1:15" x14ac:dyDescent="0.25">
      <c r="A24" s="1183"/>
      <c r="B24" s="45" t="s">
        <v>476</v>
      </c>
      <c r="C24" s="153" t="s">
        <v>155</v>
      </c>
      <c r="D24" s="122" t="s">
        <v>97</v>
      </c>
      <c r="E24" s="407">
        <v>2.1600000000000001E-2</v>
      </c>
      <c r="F24" s="167">
        <f>E24*F22</f>
        <v>0.105408</v>
      </c>
      <c r="G24" s="40"/>
      <c r="H24" s="40"/>
      <c r="I24" s="40"/>
      <c r="J24" s="40"/>
      <c r="K24" s="40"/>
      <c r="L24" s="40"/>
      <c r="M24" s="25"/>
      <c r="N24" s="984"/>
      <c r="O24" s="984"/>
    </row>
    <row r="25" spans="1:15" x14ac:dyDescent="0.25">
      <c r="A25" s="1183"/>
      <c r="B25" s="688" t="s">
        <v>483</v>
      </c>
      <c r="C25" s="121" t="s">
        <v>160</v>
      </c>
      <c r="D25" s="22" t="s">
        <v>104</v>
      </c>
      <c r="E25" s="158">
        <v>2.7300000000000001E-2</v>
      </c>
      <c r="F25" s="167">
        <f>E25*F22</f>
        <v>0.13322400000000001</v>
      </c>
      <c r="G25" s="24"/>
      <c r="H25" s="24"/>
      <c r="I25" s="24"/>
      <c r="J25" s="24"/>
      <c r="K25" s="24"/>
      <c r="L25" s="40"/>
      <c r="M25" s="25"/>
      <c r="N25" s="984"/>
      <c r="O25" s="984"/>
    </row>
    <row r="26" spans="1:15" x14ac:dyDescent="0.25">
      <c r="A26" s="1183"/>
      <c r="B26" s="45" t="s">
        <v>488</v>
      </c>
      <c r="C26" s="31" t="s">
        <v>161</v>
      </c>
      <c r="D26" s="22" t="s">
        <v>104</v>
      </c>
      <c r="E26" s="158">
        <v>9.7000000000000003E-3</v>
      </c>
      <c r="F26" s="167">
        <f>E26*F22</f>
        <v>4.7336000000000003E-2</v>
      </c>
      <c r="G26" s="24"/>
      <c r="H26" s="24"/>
      <c r="I26" s="24"/>
      <c r="J26" s="24"/>
      <c r="K26" s="24"/>
      <c r="L26" s="40"/>
      <c r="M26" s="25"/>
      <c r="N26" s="984"/>
      <c r="O26" s="984"/>
    </row>
    <row r="27" spans="1:15" x14ac:dyDescent="0.25">
      <c r="A27" s="1183"/>
      <c r="B27" s="679" t="s">
        <v>489</v>
      </c>
      <c r="C27" s="79" t="s">
        <v>94</v>
      </c>
      <c r="D27" s="80" t="s">
        <v>62</v>
      </c>
      <c r="E27" s="81">
        <v>1.22</v>
      </c>
      <c r="F27" s="604">
        <f>E27*F22</f>
        <v>5.9535999999999998</v>
      </c>
      <c r="G27" s="83"/>
      <c r="H27" s="83"/>
      <c r="I27" s="83"/>
      <c r="J27" s="83"/>
      <c r="K27" s="83"/>
      <c r="L27" s="83"/>
      <c r="M27" s="84"/>
      <c r="N27" s="984"/>
      <c r="O27" s="984"/>
    </row>
    <row r="28" spans="1:15" ht="15.75" thickBot="1" x14ac:dyDescent="0.3">
      <c r="A28" s="1184"/>
      <c r="B28" s="115" t="s">
        <v>480</v>
      </c>
      <c r="C28" s="724" t="s">
        <v>664</v>
      </c>
      <c r="D28" s="17" t="s">
        <v>65</v>
      </c>
      <c r="E28" s="162">
        <v>1.5</v>
      </c>
      <c r="F28" s="608">
        <f>E28*F27</f>
        <v>8.9303999999999988</v>
      </c>
      <c r="G28" s="27"/>
      <c r="H28" s="27"/>
      <c r="I28" s="27"/>
      <c r="J28" s="27"/>
      <c r="K28" s="27"/>
      <c r="L28" s="27"/>
      <c r="M28" s="28"/>
      <c r="N28" s="984"/>
      <c r="O28" s="984"/>
    </row>
    <row r="29" spans="1:15" ht="45" x14ac:dyDescent="0.25">
      <c r="A29" s="1086">
        <v>4</v>
      </c>
      <c r="B29" s="322" t="s">
        <v>189</v>
      </c>
      <c r="C29" s="360" t="s">
        <v>572</v>
      </c>
      <c r="D29" s="19" t="s">
        <v>76</v>
      </c>
      <c r="E29" s="19"/>
      <c r="F29" s="19">
        <f>F32+F33</f>
        <v>103.005</v>
      </c>
      <c r="G29" s="19"/>
      <c r="H29" s="19"/>
      <c r="I29" s="19"/>
      <c r="J29" s="19"/>
      <c r="K29" s="19"/>
      <c r="L29" s="19"/>
      <c r="M29" s="20"/>
      <c r="N29" s="984"/>
      <c r="O29" s="984"/>
    </row>
    <row r="30" spans="1:15" x14ac:dyDescent="0.25">
      <c r="A30" s="1087"/>
      <c r="B30" s="679"/>
      <c r="C30" s="37" t="s">
        <v>67</v>
      </c>
      <c r="D30" s="38" t="s">
        <v>68</v>
      </c>
      <c r="E30" s="39">
        <v>3.86</v>
      </c>
      <c r="F30" s="39">
        <f>E30*F29</f>
        <v>397.59929999999997</v>
      </c>
      <c r="G30" s="75"/>
      <c r="H30" s="40"/>
      <c r="I30" s="40"/>
      <c r="J30" s="40"/>
      <c r="K30" s="40"/>
      <c r="L30" s="40"/>
      <c r="M30" s="41"/>
      <c r="N30" s="984"/>
      <c r="O30" s="984"/>
    </row>
    <row r="31" spans="1:15" x14ac:dyDescent="0.25">
      <c r="A31" s="1087"/>
      <c r="B31" s="679" t="s">
        <v>494</v>
      </c>
      <c r="C31" s="37" t="s">
        <v>112</v>
      </c>
      <c r="D31" s="38" t="s">
        <v>71</v>
      </c>
      <c r="E31" s="39">
        <v>6</v>
      </c>
      <c r="F31" s="39">
        <f>F29*E31</f>
        <v>618.03</v>
      </c>
      <c r="G31" s="40"/>
      <c r="H31" s="40"/>
      <c r="I31" s="40"/>
      <c r="J31" s="40"/>
      <c r="K31" s="40"/>
      <c r="L31" s="40"/>
      <c r="M31" s="41"/>
      <c r="N31" s="984"/>
      <c r="O31" s="984"/>
    </row>
    <row r="32" spans="1:15" x14ac:dyDescent="0.25">
      <c r="A32" s="1087"/>
      <c r="B32" s="364" t="s">
        <v>573</v>
      </c>
      <c r="C32" s="42" t="s">
        <v>190</v>
      </c>
      <c r="D32" s="38" t="s">
        <v>76</v>
      </c>
      <c r="E32" s="43" t="s">
        <v>72</v>
      </c>
      <c r="F32" s="136">
        <f>(3.15*1.5*2+3.15*2)*5</f>
        <v>78.75</v>
      </c>
      <c r="G32" s="40"/>
      <c r="H32" s="40"/>
      <c r="I32" s="40"/>
      <c r="J32" s="40"/>
      <c r="K32" s="40"/>
      <c r="L32" s="40"/>
      <c r="M32" s="41"/>
      <c r="N32" s="984"/>
      <c r="O32" s="984"/>
    </row>
    <row r="33" spans="1:15" x14ac:dyDescent="0.25">
      <c r="A33" s="1087"/>
      <c r="B33" s="134" t="s">
        <v>482</v>
      </c>
      <c r="C33" s="380" t="s">
        <v>390</v>
      </c>
      <c r="D33" s="38" t="s">
        <v>76</v>
      </c>
      <c r="E33" s="43" t="s">
        <v>72</v>
      </c>
      <c r="F33" s="136">
        <f>(3.15*0.11*14)*5</f>
        <v>24.254999999999999</v>
      </c>
      <c r="G33" s="40"/>
      <c r="H33" s="40"/>
      <c r="I33" s="40"/>
      <c r="J33" s="40"/>
      <c r="K33" s="40"/>
      <c r="L33" s="40"/>
      <c r="M33" s="41"/>
      <c r="N33" s="984"/>
      <c r="O33" s="984"/>
    </row>
    <row r="34" spans="1:15" x14ac:dyDescent="0.25">
      <c r="A34" s="1087"/>
      <c r="B34" s="343"/>
      <c r="C34" s="37" t="s">
        <v>77</v>
      </c>
      <c r="D34" s="38" t="s">
        <v>78</v>
      </c>
      <c r="E34" s="39">
        <v>3.5999999999999997E-2</v>
      </c>
      <c r="F34" s="39">
        <f>F29*E34</f>
        <v>3.7081799999999996</v>
      </c>
      <c r="G34" s="75"/>
      <c r="H34" s="40"/>
      <c r="I34" s="40"/>
      <c r="J34" s="40"/>
      <c r="K34" s="40"/>
      <c r="L34" s="40"/>
      <c r="M34" s="41"/>
      <c r="N34" s="984"/>
      <c r="O34" s="984"/>
    </row>
    <row r="35" spans="1:15" ht="15.75" thickBot="1" x14ac:dyDescent="0.3">
      <c r="A35" s="1088"/>
      <c r="B35" s="104"/>
      <c r="C35" s="47" t="s">
        <v>85</v>
      </c>
      <c r="D35" s="342" t="s">
        <v>78</v>
      </c>
      <c r="E35" s="48">
        <v>4.2999999999999997E-2</v>
      </c>
      <c r="F35" s="48">
        <f>F29*E35</f>
        <v>4.4292149999999992</v>
      </c>
      <c r="G35" s="49"/>
      <c r="H35" s="49"/>
      <c r="I35" s="49"/>
      <c r="J35" s="49"/>
      <c r="K35" s="49"/>
      <c r="L35" s="49"/>
      <c r="M35" s="50"/>
      <c r="N35" s="984"/>
      <c r="O35" s="984"/>
    </row>
    <row r="36" spans="1:15" s="957" customFormat="1" ht="45" x14ac:dyDescent="0.25">
      <c r="A36" s="1200">
        <v>5</v>
      </c>
      <c r="B36" s="181" t="s">
        <v>168</v>
      </c>
      <c r="C36" s="16" t="s">
        <v>372</v>
      </c>
      <c r="D36" s="16" t="s">
        <v>158</v>
      </c>
      <c r="E36" s="93"/>
      <c r="F36" s="60">
        <f>3.15*132*0.2</f>
        <v>83.160000000000011</v>
      </c>
      <c r="G36" s="60"/>
      <c r="H36" s="60"/>
      <c r="I36" s="60"/>
      <c r="J36" s="60"/>
      <c r="K36" s="60"/>
      <c r="L36" s="60"/>
      <c r="M36" s="54"/>
      <c r="N36" s="986"/>
      <c r="O36" s="986"/>
    </row>
    <row r="37" spans="1:15" x14ac:dyDescent="0.25">
      <c r="A37" s="1183"/>
      <c r="B37" s="757"/>
      <c r="C37" s="121" t="s">
        <v>159</v>
      </c>
      <c r="D37" s="22" t="s">
        <v>64</v>
      </c>
      <c r="E37" s="158">
        <v>1.4999999999999999E-2</v>
      </c>
      <c r="F37" s="167">
        <f>E37*F36</f>
        <v>1.2474000000000001</v>
      </c>
      <c r="G37" s="24"/>
      <c r="H37" s="24"/>
      <c r="I37" s="24"/>
      <c r="J37" s="24"/>
      <c r="K37" s="24"/>
      <c r="L37" s="24"/>
      <c r="M37" s="25"/>
      <c r="N37" s="984"/>
      <c r="O37" s="984"/>
    </row>
    <row r="38" spans="1:15" x14ac:dyDescent="0.25">
      <c r="A38" s="1183"/>
      <c r="B38" s="45" t="s">
        <v>476</v>
      </c>
      <c r="C38" s="153" t="s">
        <v>155</v>
      </c>
      <c r="D38" s="122" t="s">
        <v>97</v>
      </c>
      <c r="E38" s="407">
        <v>2.1600000000000001E-2</v>
      </c>
      <c r="F38" s="167">
        <f>E38*F36</f>
        <v>1.7962560000000003</v>
      </c>
      <c r="G38" s="40"/>
      <c r="H38" s="40"/>
      <c r="I38" s="40"/>
      <c r="J38" s="40"/>
      <c r="K38" s="40"/>
      <c r="L38" s="40"/>
      <c r="M38" s="25"/>
      <c r="N38" s="984"/>
      <c r="O38" s="984"/>
    </row>
    <row r="39" spans="1:15" x14ac:dyDescent="0.25">
      <c r="A39" s="1183"/>
      <c r="B39" s="688" t="s">
        <v>483</v>
      </c>
      <c r="C39" s="121" t="s">
        <v>160</v>
      </c>
      <c r="D39" s="22" t="s">
        <v>104</v>
      </c>
      <c r="E39" s="158">
        <v>2.7300000000000001E-2</v>
      </c>
      <c r="F39" s="167">
        <f>E39*F36</f>
        <v>2.2702680000000006</v>
      </c>
      <c r="G39" s="24"/>
      <c r="H39" s="24"/>
      <c r="I39" s="24"/>
      <c r="J39" s="24"/>
      <c r="K39" s="24"/>
      <c r="L39" s="40"/>
      <c r="M39" s="25"/>
      <c r="N39" s="984"/>
      <c r="O39" s="984"/>
    </row>
    <row r="40" spans="1:15" x14ac:dyDescent="0.25">
      <c r="A40" s="1183"/>
      <c r="B40" s="45" t="s">
        <v>488</v>
      </c>
      <c r="C40" s="31" t="s">
        <v>161</v>
      </c>
      <c r="D40" s="22" t="s">
        <v>104</v>
      </c>
      <c r="E40" s="158">
        <v>9.7000000000000003E-3</v>
      </c>
      <c r="F40" s="167">
        <f>E40*F36</f>
        <v>0.80665200000000015</v>
      </c>
      <c r="G40" s="24"/>
      <c r="H40" s="24"/>
      <c r="I40" s="24"/>
      <c r="J40" s="24"/>
      <c r="K40" s="24"/>
      <c r="L40" s="40"/>
      <c r="M40" s="25"/>
      <c r="N40" s="984"/>
      <c r="O40" s="984"/>
    </row>
    <row r="41" spans="1:15" x14ac:dyDescent="0.25">
      <c r="A41" s="1183"/>
      <c r="B41" s="679" t="s">
        <v>489</v>
      </c>
      <c r="C41" s="79" t="s">
        <v>94</v>
      </c>
      <c r="D41" s="80" t="s">
        <v>62</v>
      </c>
      <c r="E41" s="81">
        <v>1.22</v>
      </c>
      <c r="F41" s="604">
        <f>E41*F36</f>
        <v>101.4552</v>
      </c>
      <c r="G41" s="83"/>
      <c r="H41" s="83"/>
      <c r="I41" s="83"/>
      <c r="J41" s="83"/>
      <c r="K41" s="83"/>
      <c r="L41" s="83"/>
      <c r="M41" s="84"/>
      <c r="N41" s="984"/>
      <c r="O41" s="984"/>
    </row>
    <row r="42" spans="1:15" ht="15.75" thickBot="1" x14ac:dyDescent="0.3">
      <c r="A42" s="1184"/>
      <c r="B42" s="115" t="s">
        <v>480</v>
      </c>
      <c r="C42" s="120" t="s">
        <v>664</v>
      </c>
      <c r="D42" s="17" t="s">
        <v>65</v>
      </c>
      <c r="E42" s="162">
        <v>1.5</v>
      </c>
      <c r="F42" s="608">
        <f>E42*F41</f>
        <v>152.18280000000001</v>
      </c>
      <c r="G42" s="27"/>
      <c r="H42" s="27"/>
      <c r="I42" s="27"/>
      <c r="J42" s="27"/>
      <c r="K42" s="27"/>
      <c r="L42" s="27"/>
      <c r="M42" s="28"/>
      <c r="N42" s="984"/>
      <c r="O42" s="984"/>
    </row>
    <row r="43" spans="1:15" ht="30" x14ac:dyDescent="0.25">
      <c r="A43" s="1140">
        <v>6</v>
      </c>
      <c r="B43" s="591" t="s">
        <v>170</v>
      </c>
      <c r="C43" s="171" t="s">
        <v>164</v>
      </c>
      <c r="D43" s="171" t="s">
        <v>88</v>
      </c>
      <c r="E43" s="172"/>
      <c r="F43" s="302">
        <f>2*132</f>
        <v>264</v>
      </c>
      <c r="G43" s="150"/>
      <c r="H43" s="150"/>
      <c r="I43" s="150"/>
      <c r="J43" s="150"/>
      <c r="K43" s="150"/>
      <c r="L43" s="150"/>
      <c r="M43" s="351"/>
      <c r="N43" s="984"/>
      <c r="O43" s="984"/>
    </row>
    <row r="44" spans="1:15" x14ac:dyDescent="0.25">
      <c r="A44" s="1140"/>
      <c r="B44" s="177"/>
      <c r="C44" s="159" t="s">
        <v>63</v>
      </c>
      <c r="D44" s="158" t="s">
        <v>165</v>
      </c>
      <c r="E44" s="158">
        <v>1.1100000000000001</v>
      </c>
      <c r="F44" s="158">
        <f>F43*E44</f>
        <v>293.04000000000002</v>
      </c>
      <c r="G44" s="24"/>
      <c r="H44" s="24"/>
      <c r="I44" s="24"/>
      <c r="J44" s="24"/>
      <c r="K44" s="24"/>
      <c r="L44" s="24"/>
      <c r="M44" s="25"/>
      <c r="N44" s="984"/>
      <c r="O44" s="984"/>
    </row>
    <row r="45" spans="1:15" x14ac:dyDescent="0.25">
      <c r="A45" s="1140"/>
      <c r="B45" s="177"/>
      <c r="C45" s="159" t="s">
        <v>166</v>
      </c>
      <c r="D45" s="158" t="s">
        <v>78</v>
      </c>
      <c r="E45" s="158">
        <v>7.1000000000000004E-3</v>
      </c>
      <c r="F45" s="158">
        <f>E45*F43</f>
        <v>1.8744000000000001</v>
      </c>
      <c r="G45" s="24"/>
      <c r="H45" s="24"/>
      <c r="I45" s="24"/>
      <c r="J45" s="24"/>
      <c r="K45" s="40"/>
      <c r="L45" s="24"/>
      <c r="M45" s="25"/>
      <c r="N45" s="984"/>
      <c r="O45" s="984"/>
    </row>
    <row r="46" spans="1:15" x14ac:dyDescent="0.25">
      <c r="A46" s="1140"/>
      <c r="B46" s="45" t="s">
        <v>477</v>
      </c>
      <c r="C46" s="160" t="s">
        <v>173</v>
      </c>
      <c r="D46" s="158" t="s">
        <v>88</v>
      </c>
      <c r="E46" s="168">
        <v>1</v>
      </c>
      <c r="F46" s="168">
        <f>F43*E46</f>
        <v>264</v>
      </c>
      <c r="G46" s="24"/>
      <c r="H46" s="40"/>
      <c r="I46" s="24"/>
      <c r="J46" s="24"/>
      <c r="K46" s="24"/>
      <c r="L46" s="24"/>
      <c r="M46" s="25"/>
      <c r="N46" s="984"/>
      <c r="O46" s="984"/>
    </row>
    <row r="47" spans="1:15" x14ac:dyDescent="0.25">
      <c r="A47" s="1140"/>
      <c r="B47" s="364" t="s">
        <v>478</v>
      </c>
      <c r="C47" s="165" t="s">
        <v>171</v>
      </c>
      <c r="D47" s="166" t="s">
        <v>62</v>
      </c>
      <c r="E47" s="166">
        <v>0.02</v>
      </c>
      <c r="F47" s="167">
        <f>E47*F43</f>
        <v>5.28</v>
      </c>
      <c r="G47" s="24"/>
      <c r="H47" s="40"/>
      <c r="I47" s="40"/>
      <c r="J47" s="40"/>
      <c r="K47" s="40"/>
      <c r="L47" s="40"/>
      <c r="M47" s="41"/>
      <c r="N47" s="984"/>
      <c r="O47" s="984"/>
    </row>
    <row r="48" spans="1:15" x14ac:dyDescent="0.25">
      <c r="A48" s="1140"/>
      <c r="B48" s="679" t="s">
        <v>495</v>
      </c>
      <c r="C48" s="165" t="s">
        <v>172</v>
      </c>
      <c r="D48" s="166" t="s">
        <v>62</v>
      </c>
      <c r="E48" s="166">
        <v>5.9999999999999995E-4</v>
      </c>
      <c r="F48" s="167">
        <f>E48*F43</f>
        <v>0.15839999999999999</v>
      </c>
      <c r="G48" s="24"/>
      <c r="H48" s="40"/>
      <c r="I48" s="40"/>
      <c r="J48" s="40"/>
      <c r="K48" s="40"/>
      <c r="L48" s="40"/>
      <c r="M48" s="41"/>
      <c r="N48" s="984"/>
      <c r="O48" s="984"/>
    </row>
    <row r="49" spans="1:15" ht="15.75" thickBot="1" x14ac:dyDescent="0.3">
      <c r="A49" s="1141"/>
      <c r="B49" s="115"/>
      <c r="C49" s="163" t="s">
        <v>119</v>
      </c>
      <c r="D49" s="162" t="s">
        <v>78</v>
      </c>
      <c r="E49" s="162">
        <v>9.6000000000000002E-2</v>
      </c>
      <c r="F49" s="162">
        <f>E49*F43</f>
        <v>25.344000000000001</v>
      </c>
      <c r="G49" s="27"/>
      <c r="H49" s="27"/>
      <c r="I49" s="27"/>
      <c r="J49" s="27"/>
      <c r="K49" s="27"/>
      <c r="L49" s="27"/>
      <c r="M49" s="85"/>
      <c r="N49" s="984"/>
      <c r="O49" s="984"/>
    </row>
    <row r="50" spans="1:15" s="957" customFormat="1" ht="30" x14ac:dyDescent="0.25">
      <c r="A50" s="1139">
        <v>7</v>
      </c>
      <c r="B50" s="181" t="s">
        <v>182</v>
      </c>
      <c r="C50" s="15" t="s">
        <v>724</v>
      </c>
      <c r="D50" s="16" t="s">
        <v>76</v>
      </c>
      <c r="E50" s="164"/>
      <c r="F50" s="164">
        <f>132*1.95</f>
        <v>257.39999999999998</v>
      </c>
      <c r="G50" s="60"/>
      <c r="H50" s="60"/>
      <c r="I50" s="60"/>
      <c r="J50" s="60"/>
      <c r="K50" s="60"/>
      <c r="L50" s="60"/>
      <c r="M50" s="54"/>
      <c r="N50" s="986"/>
      <c r="O50" s="986"/>
    </row>
    <row r="51" spans="1:15" x14ac:dyDescent="0.25">
      <c r="A51" s="1140"/>
      <c r="B51" s="123"/>
      <c r="C51" s="363" t="s">
        <v>713</v>
      </c>
      <c r="D51" s="22" t="s">
        <v>64</v>
      </c>
      <c r="E51" s="168">
        <v>0.38600000000000001</v>
      </c>
      <c r="F51" s="167">
        <f>F50*E51</f>
        <v>99.356399999999994</v>
      </c>
      <c r="G51" s="24"/>
      <c r="H51" s="24"/>
      <c r="I51" s="24"/>
      <c r="J51" s="24"/>
      <c r="K51" s="24"/>
      <c r="L51" s="24"/>
      <c r="M51" s="25"/>
      <c r="N51" s="984"/>
      <c r="O51" s="984"/>
    </row>
    <row r="52" spans="1:15" x14ac:dyDescent="0.25">
      <c r="A52" s="1140"/>
      <c r="B52" s="45" t="s">
        <v>488</v>
      </c>
      <c r="C52" s="121" t="s">
        <v>183</v>
      </c>
      <c r="D52" s="22" t="s">
        <v>104</v>
      </c>
      <c r="E52" s="167">
        <v>2.2599999999999999E-2</v>
      </c>
      <c r="F52" s="167">
        <f>F50*E52</f>
        <v>5.8172399999999991</v>
      </c>
      <c r="G52" s="24"/>
      <c r="H52" s="24"/>
      <c r="I52" s="24"/>
      <c r="J52" s="24"/>
      <c r="K52" s="24"/>
      <c r="L52" s="24"/>
      <c r="M52" s="25"/>
      <c r="N52" s="984"/>
      <c r="O52" s="984"/>
    </row>
    <row r="53" spans="1:15" x14ac:dyDescent="0.25">
      <c r="A53" s="1140"/>
      <c r="B53" s="123"/>
      <c r="C53" s="121" t="s">
        <v>166</v>
      </c>
      <c r="D53" s="22" t="s">
        <v>78</v>
      </c>
      <c r="E53" s="167">
        <v>1.3100000000000001E-2</v>
      </c>
      <c r="F53" s="167">
        <f>E53*F50</f>
        <v>3.3719399999999999</v>
      </c>
      <c r="G53" s="24"/>
      <c r="H53" s="24"/>
      <c r="I53" s="24"/>
      <c r="J53" s="24"/>
      <c r="K53" s="40"/>
      <c r="L53" s="24"/>
      <c r="M53" s="25"/>
      <c r="N53" s="984"/>
      <c r="O53" s="984"/>
    </row>
    <row r="54" spans="1:15" ht="15.75" x14ac:dyDescent="0.25">
      <c r="A54" s="1140"/>
      <c r="B54" s="364" t="s">
        <v>478</v>
      </c>
      <c r="C54" s="21" t="s">
        <v>185</v>
      </c>
      <c r="D54" s="22" t="s">
        <v>739</v>
      </c>
      <c r="E54" s="408">
        <f>0.1*1.015</f>
        <v>0.10149999999999999</v>
      </c>
      <c r="F54" s="167">
        <f>F50*E54</f>
        <v>26.126099999999997</v>
      </c>
      <c r="G54" s="24"/>
      <c r="H54" s="40"/>
      <c r="I54" s="24"/>
      <c r="J54" s="24"/>
      <c r="K54" s="24"/>
      <c r="L54" s="24"/>
      <c r="M54" s="25"/>
      <c r="N54" s="984"/>
      <c r="O54" s="984"/>
    </row>
    <row r="55" spans="1:15" x14ac:dyDescent="0.25">
      <c r="A55" s="1140"/>
      <c r="B55" s="688" t="s">
        <v>681</v>
      </c>
      <c r="C55" s="415" t="s">
        <v>186</v>
      </c>
      <c r="D55" s="22" t="s">
        <v>88</v>
      </c>
      <c r="E55" s="295" t="s">
        <v>72</v>
      </c>
      <c r="F55" s="637">
        <v>2232</v>
      </c>
      <c r="G55" s="24"/>
      <c r="H55" s="40"/>
      <c r="I55" s="24"/>
      <c r="J55" s="24"/>
      <c r="K55" s="24"/>
      <c r="L55" s="24"/>
      <c r="M55" s="25"/>
      <c r="N55" s="984"/>
      <c r="O55" s="984"/>
    </row>
    <row r="56" spans="1:15" x14ac:dyDescent="0.25">
      <c r="A56" s="1140"/>
      <c r="B56" s="45" t="s">
        <v>487</v>
      </c>
      <c r="C56" s="415" t="s">
        <v>187</v>
      </c>
      <c r="D56" s="22" t="s">
        <v>71</v>
      </c>
      <c r="E56" s="295" t="s">
        <v>72</v>
      </c>
      <c r="F56" s="606">
        <f>F50*0.05</f>
        <v>12.87</v>
      </c>
      <c r="G56" s="24"/>
      <c r="H56" s="40"/>
      <c r="I56" s="24"/>
      <c r="J56" s="24"/>
      <c r="K56" s="24"/>
      <c r="L56" s="24"/>
      <c r="M56" s="25"/>
      <c r="N56" s="984"/>
      <c r="O56" s="984"/>
    </row>
    <row r="57" spans="1:15" x14ac:dyDescent="0.25">
      <c r="A57" s="1140"/>
      <c r="B57" s="679" t="s">
        <v>492</v>
      </c>
      <c r="C57" s="21" t="s">
        <v>184</v>
      </c>
      <c r="D57" s="22" t="s">
        <v>76</v>
      </c>
      <c r="E57" s="175">
        <f>(11.7-0.59*10)/100</f>
        <v>5.7999999999999996E-2</v>
      </c>
      <c r="F57" s="167">
        <f>F50*E57</f>
        <v>14.929199999999998</v>
      </c>
      <c r="G57" s="24"/>
      <c r="H57" s="40"/>
      <c r="I57" s="24"/>
      <c r="J57" s="24"/>
      <c r="K57" s="24"/>
      <c r="L57" s="24"/>
      <c r="M57" s="25"/>
      <c r="N57" s="984"/>
      <c r="O57" s="984"/>
    </row>
    <row r="58" spans="1:15" ht="15.75" thickBot="1" x14ac:dyDescent="0.3">
      <c r="A58" s="1141"/>
      <c r="B58" s="179"/>
      <c r="C58" s="58" t="s">
        <v>85</v>
      </c>
      <c r="D58" s="176" t="s">
        <v>78</v>
      </c>
      <c r="E58" s="739">
        <f>(6.4-0.19*10)/100</f>
        <v>4.4999999999999998E-2</v>
      </c>
      <c r="F58" s="180">
        <f>F50*E58</f>
        <v>11.582999999999998</v>
      </c>
      <c r="G58" s="27"/>
      <c r="H58" s="49"/>
      <c r="I58" s="27"/>
      <c r="J58" s="27"/>
      <c r="K58" s="27"/>
      <c r="L58" s="27"/>
      <c r="M58" s="28"/>
      <c r="N58" s="984"/>
      <c r="O58" s="984"/>
    </row>
    <row r="59" spans="1:15" ht="45" x14ac:dyDescent="0.25">
      <c r="A59" s="1086">
        <v>8</v>
      </c>
      <c r="B59" s="322" t="s">
        <v>189</v>
      </c>
      <c r="C59" s="360" t="s">
        <v>475</v>
      </c>
      <c r="D59" s="19" t="s">
        <v>76</v>
      </c>
      <c r="E59" s="19"/>
      <c r="F59" s="19">
        <f>F50</f>
        <v>257.39999999999998</v>
      </c>
      <c r="G59" s="19"/>
      <c r="H59" s="19"/>
      <c r="I59" s="19"/>
      <c r="J59" s="19"/>
      <c r="K59" s="19"/>
      <c r="L59" s="19"/>
      <c r="M59" s="20"/>
      <c r="N59" s="984"/>
      <c r="O59" s="984"/>
    </row>
    <row r="60" spans="1:15" x14ac:dyDescent="0.25">
      <c r="A60" s="1087"/>
      <c r="B60" s="679"/>
      <c r="C60" s="37" t="s">
        <v>67</v>
      </c>
      <c r="D60" s="38" t="s">
        <v>68</v>
      </c>
      <c r="E60" s="39">
        <v>3.86</v>
      </c>
      <c r="F60" s="39">
        <f>F59*E60</f>
        <v>993.56399999999985</v>
      </c>
      <c r="G60" s="75"/>
      <c r="H60" s="40"/>
      <c r="I60" s="40"/>
      <c r="J60" s="40"/>
      <c r="K60" s="40"/>
      <c r="L60" s="40"/>
      <c r="M60" s="41"/>
      <c r="N60" s="984"/>
      <c r="O60" s="984"/>
    </row>
    <row r="61" spans="1:15" x14ac:dyDescent="0.25">
      <c r="A61" s="1087"/>
      <c r="B61" s="679" t="s">
        <v>494</v>
      </c>
      <c r="C61" s="37" t="s">
        <v>112</v>
      </c>
      <c r="D61" s="38" t="s">
        <v>71</v>
      </c>
      <c r="E61" s="39">
        <v>6</v>
      </c>
      <c r="F61" s="39">
        <f>F59*E61</f>
        <v>1544.3999999999999</v>
      </c>
      <c r="G61" s="40"/>
      <c r="H61" s="40"/>
      <c r="I61" s="40"/>
      <c r="J61" s="40"/>
      <c r="K61" s="40"/>
      <c r="L61" s="40"/>
      <c r="M61" s="41"/>
      <c r="N61" s="984"/>
      <c r="O61" s="984"/>
    </row>
    <row r="62" spans="1:15" x14ac:dyDescent="0.25">
      <c r="A62" s="1087"/>
      <c r="B62" s="364" t="s">
        <v>573</v>
      </c>
      <c r="C62" s="42" t="s">
        <v>190</v>
      </c>
      <c r="D62" s="38" t="s">
        <v>76</v>
      </c>
      <c r="E62" s="39">
        <v>1</v>
      </c>
      <c r="F62" s="39">
        <f>F59*E62</f>
        <v>257.39999999999998</v>
      </c>
      <c r="G62" s="40"/>
      <c r="H62" s="40"/>
      <c r="I62" s="40"/>
      <c r="J62" s="40"/>
      <c r="K62" s="40"/>
      <c r="L62" s="40"/>
      <c r="M62" s="41"/>
      <c r="N62" s="984"/>
      <c r="O62" s="984"/>
    </row>
    <row r="63" spans="1:15" x14ac:dyDescent="0.25">
      <c r="A63" s="1087"/>
      <c r="B63" s="343"/>
      <c r="C63" s="37" t="s">
        <v>77</v>
      </c>
      <c r="D63" s="38" t="s">
        <v>78</v>
      </c>
      <c r="E63" s="39">
        <v>3.5999999999999997E-2</v>
      </c>
      <c r="F63" s="39">
        <f>F59*E63</f>
        <v>9.2663999999999991</v>
      </c>
      <c r="G63" s="75"/>
      <c r="H63" s="40"/>
      <c r="I63" s="40"/>
      <c r="J63" s="40"/>
      <c r="K63" s="40"/>
      <c r="L63" s="40"/>
      <c r="M63" s="41"/>
      <c r="N63" s="984"/>
      <c r="O63" s="984"/>
    </row>
    <row r="64" spans="1:15" ht="15.75" thickBot="1" x14ac:dyDescent="0.3">
      <c r="A64" s="1087"/>
      <c r="B64" s="233"/>
      <c r="C64" s="76" t="s">
        <v>85</v>
      </c>
      <c r="D64" s="675" t="s">
        <v>78</v>
      </c>
      <c r="E64" s="77">
        <v>4.2999999999999997E-2</v>
      </c>
      <c r="F64" s="77">
        <f>F59*E64</f>
        <v>11.068199999999997</v>
      </c>
      <c r="G64" s="68"/>
      <c r="H64" s="68"/>
      <c r="I64" s="68"/>
      <c r="J64" s="68"/>
      <c r="K64" s="68"/>
      <c r="L64" s="68"/>
      <c r="M64" s="678"/>
      <c r="N64" s="984"/>
      <c r="O64" s="984"/>
    </row>
    <row r="65" spans="1:15" ht="45" x14ac:dyDescent="0.25">
      <c r="A65" s="1196">
        <v>9</v>
      </c>
      <c r="B65" s="607" t="s">
        <v>192</v>
      </c>
      <c r="C65" s="93" t="s">
        <v>196</v>
      </c>
      <c r="D65" s="93" t="s">
        <v>62</v>
      </c>
      <c r="E65" s="161"/>
      <c r="F65" s="164">
        <f>132*1.2*0.05</f>
        <v>7.9200000000000008</v>
      </c>
      <c r="G65" s="53"/>
      <c r="H65" s="53"/>
      <c r="I65" s="53"/>
      <c r="J65" s="53"/>
      <c r="K65" s="53"/>
      <c r="L65" s="53"/>
      <c r="M65" s="125"/>
      <c r="N65" s="984"/>
      <c r="O65" s="984"/>
    </row>
    <row r="66" spans="1:15" x14ac:dyDescent="0.25">
      <c r="A66" s="1197"/>
      <c r="B66" s="123"/>
      <c r="C66" s="159" t="s">
        <v>63</v>
      </c>
      <c r="D66" s="158" t="s">
        <v>165</v>
      </c>
      <c r="E66" s="158">
        <v>2.12</v>
      </c>
      <c r="F66" s="167">
        <f>F65*E66</f>
        <v>16.790400000000002</v>
      </c>
      <c r="G66" s="24"/>
      <c r="H66" s="24"/>
      <c r="I66" s="40"/>
      <c r="J66" s="40"/>
      <c r="K66" s="24"/>
      <c r="L66" s="24"/>
      <c r="M66" s="41"/>
      <c r="N66" s="984"/>
      <c r="O66" s="984"/>
    </row>
    <row r="67" spans="1:15" x14ac:dyDescent="0.25">
      <c r="A67" s="1197"/>
      <c r="B67" s="123"/>
      <c r="C67" s="160" t="s">
        <v>166</v>
      </c>
      <c r="D67" s="158" t="s">
        <v>78</v>
      </c>
      <c r="E67" s="158">
        <v>0.10100000000000001</v>
      </c>
      <c r="F67" s="167">
        <f>E67*F65</f>
        <v>0.79992000000000019</v>
      </c>
      <c r="G67" s="24"/>
      <c r="H67" s="24"/>
      <c r="I67" s="24"/>
      <c r="J67" s="24"/>
      <c r="K67" s="40"/>
      <c r="L67" s="24"/>
      <c r="M67" s="41"/>
      <c r="N67" s="984"/>
      <c r="O67" s="984"/>
    </row>
    <row r="68" spans="1:15" x14ac:dyDescent="0.25">
      <c r="A68" s="1197"/>
      <c r="B68" s="45" t="s">
        <v>193</v>
      </c>
      <c r="C68" s="159" t="s">
        <v>191</v>
      </c>
      <c r="D68" s="158" t="s">
        <v>62</v>
      </c>
      <c r="E68" s="158">
        <v>1.1000000000000001</v>
      </c>
      <c r="F68" s="167">
        <f>E68*F65</f>
        <v>8.7120000000000015</v>
      </c>
      <c r="G68" s="24"/>
      <c r="H68" s="24"/>
      <c r="I68" s="24"/>
      <c r="J68" s="24"/>
      <c r="K68" s="24"/>
      <c r="L68" s="24"/>
      <c r="M68" s="41"/>
      <c r="N68" s="984"/>
      <c r="O68" s="984"/>
    </row>
    <row r="69" spans="1:15" x14ac:dyDescent="0.25">
      <c r="A69" s="1197"/>
      <c r="B69" s="45" t="s">
        <v>480</v>
      </c>
      <c r="C69" s="605" t="s">
        <v>631</v>
      </c>
      <c r="D69" s="158" t="s">
        <v>65</v>
      </c>
      <c r="E69" s="158">
        <v>1.5</v>
      </c>
      <c r="F69" s="606">
        <f>E69*F68</f>
        <v>13.068000000000001</v>
      </c>
      <c r="G69" s="409"/>
      <c r="H69" s="409"/>
      <c r="I69" s="409"/>
      <c r="J69" s="409"/>
      <c r="K69" s="409"/>
      <c r="L69" s="40"/>
      <c r="M69" s="25"/>
      <c r="N69" s="984"/>
      <c r="O69" s="984"/>
    </row>
    <row r="70" spans="1:15" ht="16.5" thickBot="1" x14ac:dyDescent="0.35">
      <c r="A70" s="1198"/>
      <c r="B70" s="958" t="s">
        <v>493</v>
      </c>
      <c r="C70" s="65" t="s">
        <v>194</v>
      </c>
      <c r="D70" s="33" t="s">
        <v>65</v>
      </c>
      <c r="E70" s="196">
        <f>E68*1.5*0.1</f>
        <v>0.16500000000000004</v>
      </c>
      <c r="F70" s="182">
        <f>E70*F65</f>
        <v>1.3068000000000004</v>
      </c>
      <c r="G70" s="67"/>
      <c r="H70" s="67"/>
      <c r="I70" s="67"/>
      <c r="J70" s="67"/>
      <c r="K70" s="67"/>
      <c r="L70" s="67"/>
      <c r="M70" s="678"/>
      <c r="N70" s="984"/>
      <c r="O70" s="984"/>
    </row>
    <row r="71" spans="1:15" ht="45" x14ac:dyDescent="0.25">
      <c r="A71" s="1196">
        <v>10</v>
      </c>
      <c r="B71" s="636" t="s">
        <v>195</v>
      </c>
      <c r="C71" s="359" t="s">
        <v>720</v>
      </c>
      <c r="D71" s="93" t="s">
        <v>76</v>
      </c>
      <c r="E71" s="161"/>
      <c r="F71" s="164">
        <f>132*1.2</f>
        <v>158.4</v>
      </c>
      <c r="G71" s="53"/>
      <c r="H71" s="53"/>
      <c r="I71" s="53"/>
      <c r="J71" s="53"/>
      <c r="K71" s="53"/>
      <c r="L71" s="53"/>
      <c r="M71" s="125"/>
      <c r="N71" s="984"/>
      <c r="O71" s="984"/>
    </row>
    <row r="72" spans="1:15" x14ac:dyDescent="0.25">
      <c r="A72" s="1197"/>
      <c r="B72" s="169"/>
      <c r="C72" s="159" t="s">
        <v>63</v>
      </c>
      <c r="D72" s="158" t="s">
        <v>165</v>
      </c>
      <c r="E72" s="158">
        <v>0.40200000000000002</v>
      </c>
      <c r="F72" s="167">
        <f>F71*E72</f>
        <v>63.676800000000007</v>
      </c>
      <c r="G72" s="24"/>
      <c r="H72" s="24"/>
      <c r="I72" s="40"/>
      <c r="J72" s="40"/>
      <c r="K72" s="24"/>
      <c r="L72" s="24"/>
      <c r="M72" s="41"/>
      <c r="N72" s="984"/>
      <c r="O72" s="984"/>
    </row>
    <row r="73" spans="1:15" x14ac:dyDescent="0.25">
      <c r="A73" s="1197"/>
      <c r="B73" s="169"/>
      <c r="C73" s="159" t="s">
        <v>166</v>
      </c>
      <c r="D73" s="158" t="s">
        <v>78</v>
      </c>
      <c r="E73" s="158">
        <v>0.129</v>
      </c>
      <c r="F73" s="167">
        <f>F71*E73</f>
        <v>20.433600000000002</v>
      </c>
      <c r="G73" s="24"/>
      <c r="H73" s="24"/>
      <c r="I73" s="24"/>
      <c r="J73" s="24"/>
      <c r="K73" s="40"/>
      <c r="L73" s="24"/>
      <c r="M73" s="41"/>
      <c r="N73" s="984"/>
      <c r="O73" s="984"/>
    </row>
    <row r="74" spans="1:15" x14ac:dyDescent="0.25">
      <c r="A74" s="1197"/>
      <c r="B74" s="169" t="s">
        <v>479</v>
      </c>
      <c r="C74" s="745" t="s">
        <v>682</v>
      </c>
      <c r="D74" s="158" t="s">
        <v>76</v>
      </c>
      <c r="E74" s="167">
        <v>1</v>
      </c>
      <c r="F74" s="167">
        <f>E74*F71</f>
        <v>158.4</v>
      </c>
      <c r="G74" s="24"/>
      <c r="H74" s="24"/>
      <c r="I74" s="24"/>
      <c r="J74" s="24"/>
      <c r="K74" s="24"/>
      <c r="L74" s="24"/>
      <c r="M74" s="41"/>
      <c r="N74" s="984"/>
      <c r="O74" s="984"/>
    </row>
    <row r="75" spans="1:15" x14ac:dyDescent="0.25">
      <c r="A75" s="1197"/>
      <c r="B75" s="45" t="s">
        <v>193</v>
      </c>
      <c r="C75" s="159" t="s">
        <v>191</v>
      </c>
      <c r="D75" s="158" t="s">
        <v>62</v>
      </c>
      <c r="E75" s="158">
        <v>5.0000000000000001E-4</v>
      </c>
      <c r="F75" s="167">
        <f>E75*F71</f>
        <v>7.9200000000000007E-2</v>
      </c>
      <c r="G75" s="24"/>
      <c r="H75" s="24"/>
      <c r="I75" s="24"/>
      <c r="J75" s="24"/>
      <c r="K75" s="24"/>
      <c r="L75" s="24"/>
      <c r="M75" s="41"/>
      <c r="N75" s="984"/>
      <c r="O75" s="984"/>
    </row>
    <row r="76" spans="1:15" ht="15.75" thickBot="1" x14ac:dyDescent="0.3">
      <c r="A76" s="1199"/>
      <c r="B76" s="283" t="s">
        <v>480</v>
      </c>
      <c r="C76" s="586" t="s">
        <v>631</v>
      </c>
      <c r="D76" s="162" t="s">
        <v>65</v>
      </c>
      <c r="E76" s="808">
        <v>1.5</v>
      </c>
      <c r="F76" s="608">
        <f>E76*F75</f>
        <v>0.11880000000000002</v>
      </c>
      <c r="G76" s="581"/>
      <c r="H76" s="581"/>
      <c r="I76" s="581"/>
      <c r="J76" s="581"/>
      <c r="K76" s="581"/>
      <c r="L76" s="49"/>
      <c r="M76" s="28"/>
      <c r="N76" s="984"/>
      <c r="O76" s="984"/>
    </row>
    <row r="77" spans="1:15" x14ac:dyDescent="0.25">
      <c r="A77" s="699"/>
      <c r="B77" s="13"/>
      <c r="C77" s="593" t="s">
        <v>113</v>
      </c>
      <c r="D77" s="14"/>
      <c r="E77" s="105"/>
      <c r="F77" s="105"/>
      <c r="G77" s="554"/>
      <c r="H77" s="554"/>
      <c r="I77" s="554"/>
      <c r="J77" s="554"/>
      <c r="K77" s="554"/>
      <c r="L77" s="554"/>
      <c r="M77" s="554"/>
      <c r="N77" s="984"/>
      <c r="O77" s="984"/>
    </row>
    <row r="78" spans="1:15" ht="45" x14ac:dyDescent="0.25">
      <c r="A78" s="135"/>
      <c r="B78" s="343"/>
      <c r="C78" s="121" t="s">
        <v>197</v>
      </c>
      <c r="D78" s="362" t="s">
        <v>757</v>
      </c>
      <c r="E78" s="39"/>
      <c r="F78" s="39"/>
      <c r="G78" s="40"/>
      <c r="H78" s="40"/>
      <c r="I78" s="75"/>
      <c r="J78" s="75"/>
      <c r="K78" s="75"/>
      <c r="L78" s="75"/>
      <c r="M78" s="41"/>
      <c r="N78" s="984"/>
      <c r="O78" s="984"/>
    </row>
    <row r="79" spans="1:15" x14ac:dyDescent="0.25">
      <c r="A79" s="135"/>
      <c r="B79" s="343"/>
      <c r="C79" s="594" t="s">
        <v>24</v>
      </c>
      <c r="D79" s="362"/>
      <c r="E79" s="39"/>
      <c r="F79" s="39"/>
      <c r="G79" s="40"/>
      <c r="H79" s="75"/>
      <c r="I79" s="75"/>
      <c r="J79" s="75"/>
      <c r="K79" s="75"/>
      <c r="L79" s="75"/>
      <c r="M79" s="597"/>
      <c r="N79" s="984"/>
      <c r="O79" s="984"/>
    </row>
    <row r="80" spans="1:15" x14ac:dyDescent="0.25">
      <c r="A80" s="135"/>
      <c r="B80" s="123"/>
      <c r="C80" s="21" t="s">
        <v>117</v>
      </c>
      <c r="D80" s="362" t="s">
        <v>757</v>
      </c>
      <c r="E80" s="61"/>
      <c r="F80" s="136"/>
      <c r="G80" s="75"/>
      <c r="H80" s="75"/>
      <c r="I80" s="40"/>
      <c r="J80" s="40"/>
      <c r="K80" s="40"/>
      <c r="L80" s="24"/>
      <c r="M80" s="25"/>
      <c r="N80" s="984"/>
      <c r="O80" s="984"/>
    </row>
    <row r="81" spans="1:15" x14ac:dyDescent="0.25">
      <c r="A81" s="135"/>
      <c r="B81" s="123"/>
      <c r="C81" s="594" t="s">
        <v>24</v>
      </c>
      <c r="D81" s="362"/>
      <c r="E81" s="61"/>
      <c r="F81" s="136"/>
      <c r="G81" s="75"/>
      <c r="H81" s="75"/>
      <c r="I81" s="40"/>
      <c r="J81" s="40"/>
      <c r="K81" s="40"/>
      <c r="L81" s="40"/>
      <c r="M81" s="118"/>
      <c r="N81" s="984"/>
      <c r="O81" s="984"/>
    </row>
    <row r="82" spans="1:15" x14ac:dyDescent="0.25">
      <c r="A82" s="135"/>
      <c r="B82" s="123"/>
      <c r="C82" s="21" t="s">
        <v>118</v>
      </c>
      <c r="D82" s="362" t="s">
        <v>757</v>
      </c>
      <c r="E82" s="61"/>
      <c r="F82" s="136"/>
      <c r="G82" s="75"/>
      <c r="H82" s="75"/>
      <c r="I82" s="40"/>
      <c r="J82" s="40"/>
      <c r="K82" s="40"/>
      <c r="L82" s="24"/>
      <c r="M82" s="25"/>
      <c r="N82" s="984"/>
      <c r="O82" s="984"/>
    </row>
    <row r="83" spans="1:15" s="957" customFormat="1" ht="15.75" thickBot="1" x14ac:dyDescent="0.3">
      <c r="A83" s="382"/>
      <c r="B83" s="126"/>
      <c r="C83" s="596" t="s">
        <v>344</v>
      </c>
      <c r="D83" s="383"/>
      <c r="E83" s="137"/>
      <c r="F83" s="384"/>
      <c r="G83" s="193"/>
      <c r="H83" s="193"/>
      <c r="I83" s="193"/>
      <c r="J83" s="193"/>
      <c r="K83" s="193"/>
      <c r="L83" s="127"/>
      <c r="M83" s="128"/>
      <c r="N83" s="986"/>
      <c r="O83" s="986"/>
    </row>
    <row r="84" spans="1:15" x14ac:dyDescent="0.25">
      <c r="A84" s="1070"/>
      <c r="B84" s="987"/>
      <c r="C84" s="984"/>
      <c r="D84" s="984"/>
      <c r="E84" s="984"/>
      <c r="F84" s="984"/>
      <c r="G84" s="988"/>
      <c r="H84" s="988"/>
      <c r="I84" s="988"/>
      <c r="J84" s="988"/>
      <c r="K84" s="988"/>
      <c r="L84" s="988"/>
      <c r="M84" s="988"/>
      <c r="N84" s="984"/>
      <c r="O84" s="984"/>
    </row>
    <row r="85" spans="1:15" x14ac:dyDescent="0.25">
      <c r="A85" s="1070"/>
      <c r="B85" s="987"/>
      <c r="C85" s="811"/>
      <c r="D85" s="984"/>
      <c r="E85" s="984"/>
      <c r="F85" s="984"/>
      <c r="G85" s="988"/>
      <c r="H85" s="988"/>
      <c r="I85" s="988"/>
      <c r="J85" s="988"/>
      <c r="K85" s="988"/>
      <c r="L85" s="988"/>
      <c r="M85" s="988"/>
      <c r="N85" s="984"/>
      <c r="O85" s="984"/>
    </row>
  </sheetData>
  <sheetProtection password="CF7A" sheet="1" objects="1" scenarios="1"/>
  <protectedRanges>
    <protectedRange sqref="D78:G83" name="Range2"/>
    <protectedRange sqref="G9:M83" name="Range1"/>
  </protectedRanges>
  <autoFilter ref="A8:M83"/>
  <mergeCells count="24">
    <mergeCell ref="B9:B10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59:A64"/>
    <mergeCell ref="A65:A70"/>
    <mergeCell ref="A29:A35"/>
    <mergeCell ref="A71:A76"/>
    <mergeCell ref="A9:A11"/>
    <mergeCell ref="A12:A21"/>
    <mergeCell ref="A36:A42"/>
    <mergeCell ref="A43:A49"/>
    <mergeCell ref="A22:A28"/>
    <mergeCell ref="A50:A58"/>
  </mergeCells>
  <conditionalFormatting sqref="B9:F10">
    <cfRule type="cellIs" dxfId="109" priority="91" stopIfTrue="1" operator="equal">
      <formula>8223.307275</formula>
    </cfRule>
  </conditionalFormatting>
  <conditionalFormatting sqref="C38:F38">
    <cfRule type="cellIs" dxfId="108" priority="88" stopIfTrue="1" operator="equal">
      <formula>8223.307275</formula>
    </cfRule>
  </conditionalFormatting>
  <conditionalFormatting sqref="E50:F53 F54:F58">
    <cfRule type="cellIs" dxfId="107" priority="84" stopIfTrue="1" operator="equal">
      <formula>8223.307275</formula>
    </cfRule>
  </conditionalFormatting>
  <conditionalFormatting sqref="C50:F53 C54:D58 F54:F58">
    <cfRule type="cellIs" dxfId="106" priority="85" stopIfTrue="1" operator="equal">
      <formula>0</formula>
    </cfRule>
  </conditionalFormatting>
  <conditionalFormatting sqref="B12:F13 B19">
    <cfRule type="cellIs" dxfId="105" priority="40" stopIfTrue="1" operator="equal">
      <formula>8223.307275</formula>
    </cfRule>
  </conditionalFormatting>
  <conditionalFormatting sqref="C17:D17 F17">
    <cfRule type="cellIs" dxfId="104" priority="39" stopIfTrue="1" operator="equal">
      <formula>8223.307275</formula>
    </cfRule>
  </conditionalFormatting>
  <conditionalFormatting sqref="B38">
    <cfRule type="cellIs" dxfId="103" priority="13" stopIfTrue="1" operator="equal">
      <formula>8223.307275</formula>
    </cfRule>
  </conditionalFormatting>
  <conditionalFormatting sqref="C24:F24">
    <cfRule type="cellIs" dxfId="102" priority="15" stopIfTrue="1" operator="equal">
      <formula>8223.307275</formula>
    </cfRule>
  </conditionalFormatting>
  <conditionalFormatting sqref="B24">
    <cfRule type="cellIs" dxfId="101" priority="14" stopIfTrue="1" operator="equal">
      <formula>8223.307275</formula>
    </cfRule>
  </conditionalFormatting>
  <conditionalFormatting sqref="B33">
    <cfRule type="cellIs" dxfId="100" priority="12" stopIfTrue="1" operator="equal">
      <formula>8223.307275</formula>
    </cfRule>
  </conditionalFormatting>
  <conditionalFormatting sqref="B20">
    <cfRule type="cellIs" dxfId="99" priority="11" stopIfTrue="1" operator="equal">
      <formula>8223.307275</formula>
    </cfRule>
  </conditionalFormatting>
  <conditionalFormatting sqref="B25">
    <cfRule type="cellIs" dxfId="98" priority="9" stopIfTrue="1" operator="equal">
      <formula>8223.307275</formula>
    </cfRule>
  </conditionalFormatting>
  <conditionalFormatting sqref="B39">
    <cfRule type="cellIs" dxfId="97" priority="8" stopIfTrue="1" operator="equal">
      <formula>8223.307275</formula>
    </cfRule>
  </conditionalFormatting>
  <conditionalFormatting sqref="B26 B40 B52">
    <cfRule type="cellIs" dxfId="96" priority="7" stopIfTrue="1" operator="equal">
      <formula>8223.307275</formula>
    </cfRule>
  </conditionalFormatting>
  <conditionalFormatting sqref="B17">
    <cfRule type="cellIs" dxfId="95" priority="6" stopIfTrue="1" operator="equal">
      <formula>8223.307275</formula>
    </cfRule>
  </conditionalFormatting>
  <conditionalFormatting sqref="E58">
    <cfRule type="cellIs" dxfId="94" priority="1" stopIfTrue="1" operator="equal">
      <formula>8223.307275</formula>
    </cfRule>
  </conditionalFormatting>
  <conditionalFormatting sqref="E57">
    <cfRule type="cellIs" dxfId="93" priority="3" stopIfTrue="1" operator="equal">
      <formula>8223.307275</formula>
    </cfRule>
  </conditionalFormatting>
  <conditionalFormatting sqref="E57">
    <cfRule type="cellIs" dxfId="92" priority="4" stopIfTrue="1" operator="equal">
      <formula>0</formula>
    </cfRule>
  </conditionalFormatting>
  <conditionalFormatting sqref="E58">
    <cfRule type="cellIs" dxfId="91" priority="2" stopIfTrue="1" operator="equal">
      <formula>0</formula>
    </cfRule>
  </conditionalFormatting>
  <pageMargins left="0.89" right="0" top="0.31" bottom="0.19685039370078741" header="0.15748031496062992" footer="0.15748031496062992"/>
  <pageSetup paperSize="9" scale="90" orientation="landscape" horizontalDpi="4294967295" verticalDpi="4294967295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71"/>
  <sheetViews>
    <sheetView view="pageBreakPreview" topLeftCell="A157" zoomScaleNormal="110" zoomScaleSheetLayoutView="100" workbookViewId="0">
      <selection activeCell="D160" sqref="D160:G167"/>
    </sheetView>
  </sheetViews>
  <sheetFormatPr defaultRowHeight="15" x14ac:dyDescent="0.25"/>
  <cols>
    <col min="1" max="1" width="4.5703125" style="1022" customWidth="1"/>
    <col min="2" max="2" width="7.7109375" style="770" customWidth="1"/>
    <col min="3" max="3" width="45" style="710" customWidth="1"/>
    <col min="4" max="4" width="8" style="710" bestFit="1" customWidth="1"/>
    <col min="5" max="5" width="9.140625" style="710" bestFit="1" customWidth="1"/>
    <col min="6" max="6" width="8.140625" style="772" bestFit="1" customWidth="1"/>
    <col min="7" max="7" width="7.7109375" style="709" bestFit="1" customWidth="1"/>
    <col min="8" max="8" width="10.7109375" style="709" bestFit="1" customWidth="1"/>
    <col min="9" max="9" width="5.28515625" style="709" bestFit="1" customWidth="1"/>
    <col min="10" max="10" width="10.7109375" style="709" bestFit="1" customWidth="1"/>
    <col min="11" max="11" width="5.42578125" style="709" bestFit="1" customWidth="1"/>
    <col min="12" max="12" width="9.42578125" style="709" bestFit="1" customWidth="1"/>
    <col min="13" max="13" width="12.5703125" style="709" bestFit="1" customWidth="1"/>
    <col min="14" max="16384" width="9.140625" style="710"/>
  </cols>
  <sheetData>
    <row r="1" spans="1:13" x14ac:dyDescent="0.25">
      <c r="B1" s="1089" t="s">
        <v>643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3" x14ac:dyDescent="0.25">
      <c r="B2" s="1090" t="s">
        <v>384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x14ac:dyDescent="0.25">
      <c r="A3" s="12"/>
      <c r="B3" s="1091" t="s">
        <v>385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6.5" thickBot="1" x14ac:dyDescent="0.35">
      <c r="A4" s="1092" t="s">
        <v>472</v>
      </c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.7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3">
      <c r="A6" s="1095"/>
      <c r="B6" s="1097"/>
      <c r="C6" s="1099"/>
      <c r="D6" s="1099"/>
      <c r="E6" s="77" t="s">
        <v>399</v>
      </c>
      <c r="F6" s="68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711" customFormat="1" ht="15.75" thickBot="1" x14ac:dyDescent="0.3">
      <c r="A7" s="183"/>
      <c r="B7" s="184" t="s">
        <v>60</v>
      </c>
      <c r="C7" s="185">
        <v>3</v>
      </c>
      <c r="D7" s="185">
        <v>4</v>
      </c>
      <c r="E7" s="185">
        <v>5</v>
      </c>
      <c r="F7" s="639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6">
        <v>13</v>
      </c>
    </row>
    <row r="8" spans="1:13" s="810" customFormat="1" ht="30.75" thickBot="1" x14ac:dyDescent="0.3">
      <c r="A8" s="308"/>
      <c r="B8" s="309"/>
      <c r="C8" s="310" t="s">
        <v>460</v>
      </c>
      <c r="D8" s="310"/>
      <c r="E8" s="960"/>
      <c r="F8" s="640"/>
      <c r="G8" s="310"/>
      <c r="H8" s="310"/>
      <c r="I8" s="310"/>
      <c r="J8" s="310"/>
      <c r="K8" s="310"/>
      <c r="L8" s="310"/>
      <c r="M8" s="311"/>
    </row>
    <row r="9" spans="1:13" ht="45" x14ac:dyDescent="0.25">
      <c r="A9" s="1108">
        <v>1</v>
      </c>
      <c r="B9" s="622" t="s">
        <v>109</v>
      </c>
      <c r="C9" s="92" t="s">
        <v>108</v>
      </c>
      <c r="D9" s="29" t="s">
        <v>62</v>
      </c>
      <c r="E9" s="720"/>
      <c r="F9" s="213">
        <f>7*7*0.3</f>
        <v>14.7</v>
      </c>
      <c r="G9" s="150"/>
      <c r="H9" s="150"/>
      <c r="I9" s="150"/>
      <c r="J9" s="150"/>
      <c r="K9" s="150"/>
      <c r="L9" s="150"/>
      <c r="M9" s="211"/>
    </row>
    <row r="10" spans="1:13" x14ac:dyDescent="0.25">
      <c r="A10" s="1109"/>
      <c r="B10" s="688"/>
      <c r="C10" s="57" t="s">
        <v>63</v>
      </c>
      <c r="D10" s="22" t="s">
        <v>64</v>
      </c>
      <c r="E10" s="61">
        <v>3.4000000000000002E-2</v>
      </c>
      <c r="F10" s="24">
        <f>E10*F9</f>
        <v>0.49980000000000002</v>
      </c>
      <c r="G10" s="24"/>
      <c r="H10" s="24"/>
      <c r="I10" s="24"/>
      <c r="J10" s="24"/>
      <c r="K10" s="24"/>
      <c r="L10" s="24"/>
      <c r="M10" s="25"/>
    </row>
    <row r="11" spans="1:13" x14ac:dyDescent="0.25">
      <c r="A11" s="1110"/>
      <c r="B11" s="358"/>
      <c r="C11" s="94" t="s">
        <v>82</v>
      </c>
      <c r="D11" s="33" t="s">
        <v>78</v>
      </c>
      <c r="E11" s="66">
        <v>5.5999999999999999E-3</v>
      </c>
      <c r="F11" s="67">
        <f>E11*F9</f>
        <v>8.231999999999999E-2</v>
      </c>
      <c r="G11" s="67"/>
      <c r="H11" s="67"/>
      <c r="I11" s="67"/>
      <c r="J11" s="67"/>
      <c r="K11" s="67"/>
      <c r="L11" s="67"/>
      <c r="M11" s="25"/>
    </row>
    <row r="12" spans="1:13" ht="30.75" thickBot="1" x14ac:dyDescent="0.3">
      <c r="A12" s="1110"/>
      <c r="B12" s="673" t="s">
        <v>486</v>
      </c>
      <c r="C12" s="94" t="s">
        <v>103</v>
      </c>
      <c r="D12" s="33" t="s">
        <v>104</v>
      </c>
      <c r="E12" s="66">
        <v>8.0299999999999996E-2</v>
      </c>
      <c r="F12" s="67">
        <f>E12*F9</f>
        <v>1.18041</v>
      </c>
      <c r="G12" s="67"/>
      <c r="H12" s="67"/>
      <c r="I12" s="67"/>
      <c r="J12" s="67"/>
      <c r="K12" s="67"/>
      <c r="L12" s="67"/>
      <c r="M12" s="95"/>
    </row>
    <row r="13" spans="1:13" ht="30" x14ac:dyDescent="0.25">
      <c r="A13" s="1111">
        <v>2</v>
      </c>
      <c r="B13" s="1114" t="s">
        <v>105</v>
      </c>
      <c r="C13" s="15" t="s">
        <v>106</v>
      </c>
      <c r="D13" s="16" t="s">
        <v>62</v>
      </c>
      <c r="E13" s="721"/>
      <c r="F13" s="582">
        <f>F9*0.1</f>
        <v>1.47</v>
      </c>
      <c r="G13" s="53"/>
      <c r="H13" s="53"/>
      <c r="I13" s="53"/>
      <c r="J13" s="53"/>
      <c r="K13" s="53"/>
      <c r="L13" s="53"/>
      <c r="M13" s="54"/>
    </row>
    <row r="14" spans="1:13" ht="15.75" x14ac:dyDescent="0.3">
      <c r="A14" s="1112"/>
      <c r="B14" s="1115"/>
      <c r="C14" s="306" t="s">
        <v>107</v>
      </c>
      <c r="D14" s="307" t="s">
        <v>64</v>
      </c>
      <c r="E14" s="304">
        <v>2.06</v>
      </c>
      <c r="F14" s="583">
        <f>F13*E14</f>
        <v>3.0282</v>
      </c>
      <c r="G14" s="24"/>
      <c r="H14" s="24"/>
      <c r="I14" s="24"/>
      <c r="J14" s="24"/>
      <c r="K14" s="24"/>
      <c r="L14" s="24"/>
      <c r="M14" s="25"/>
    </row>
    <row r="15" spans="1:13" ht="15.75" thickBot="1" x14ac:dyDescent="0.3">
      <c r="A15" s="1113"/>
      <c r="B15" s="673" t="s">
        <v>480</v>
      </c>
      <c r="C15" s="587" t="s">
        <v>156</v>
      </c>
      <c r="D15" s="33" t="s">
        <v>65</v>
      </c>
      <c r="E15" s="66">
        <v>1.8</v>
      </c>
      <c r="F15" s="396">
        <f>E15*(F13+F9)</f>
        <v>29.105999999999998</v>
      </c>
      <c r="G15" s="67"/>
      <c r="H15" s="67"/>
      <c r="I15" s="67"/>
      <c r="J15" s="67"/>
      <c r="K15" s="67"/>
      <c r="L15" s="67"/>
      <c r="M15" s="95"/>
    </row>
    <row r="16" spans="1:13" ht="45" x14ac:dyDescent="0.25">
      <c r="A16" s="1116">
        <v>3</v>
      </c>
      <c r="B16" s="643" t="s">
        <v>168</v>
      </c>
      <c r="C16" s="16" t="s">
        <v>372</v>
      </c>
      <c r="D16" s="16" t="s">
        <v>158</v>
      </c>
      <c r="E16" s="161"/>
      <c r="F16" s="60">
        <f>7*7*0.2</f>
        <v>9.8000000000000007</v>
      </c>
      <c r="G16" s="223"/>
      <c r="H16" s="223"/>
      <c r="I16" s="223"/>
      <c r="J16" s="223"/>
      <c r="K16" s="223"/>
      <c r="L16" s="223"/>
      <c r="M16" s="722"/>
    </row>
    <row r="17" spans="1:13" x14ac:dyDescent="0.25">
      <c r="A17" s="1117"/>
      <c r="B17" s="723"/>
      <c r="C17" s="121" t="s">
        <v>159</v>
      </c>
      <c r="D17" s="22" t="s">
        <v>64</v>
      </c>
      <c r="E17" s="158">
        <v>0.15</v>
      </c>
      <c r="F17" s="24">
        <f>E17*F16</f>
        <v>1.47</v>
      </c>
      <c r="G17" s="409"/>
      <c r="H17" s="409"/>
      <c r="I17" s="409"/>
      <c r="J17" s="409"/>
      <c r="K17" s="409"/>
      <c r="L17" s="409"/>
      <c r="M17" s="25"/>
    </row>
    <row r="18" spans="1:13" ht="22.5" x14ac:dyDescent="0.25">
      <c r="A18" s="1117"/>
      <c r="B18" s="45" t="s">
        <v>476</v>
      </c>
      <c r="C18" s="153" t="s">
        <v>155</v>
      </c>
      <c r="D18" s="117" t="s">
        <v>97</v>
      </c>
      <c r="E18" s="154">
        <v>2.1600000000000001E-2</v>
      </c>
      <c r="F18" s="409">
        <f>E18*F16</f>
        <v>0.21168000000000003</v>
      </c>
      <c r="G18" s="40"/>
      <c r="H18" s="40"/>
      <c r="I18" s="40"/>
      <c r="J18" s="40"/>
      <c r="K18" s="40"/>
      <c r="L18" s="40"/>
      <c r="M18" s="25"/>
    </row>
    <row r="19" spans="1:13" ht="22.5" x14ac:dyDescent="0.25">
      <c r="A19" s="1117"/>
      <c r="B19" s="688" t="s">
        <v>483</v>
      </c>
      <c r="C19" s="121" t="s">
        <v>160</v>
      </c>
      <c r="D19" s="22" t="s">
        <v>104</v>
      </c>
      <c r="E19" s="158">
        <v>2.7300000000000001E-2</v>
      </c>
      <c r="F19" s="24">
        <f>E19*F16</f>
        <v>0.26754000000000006</v>
      </c>
      <c r="G19" s="409"/>
      <c r="H19" s="409"/>
      <c r="I19" s="409"/>
      <c r="J19" s="409"/>
      <c r="K19" s="409"/>
      <c r="L19" s="40"/>
      <c r="M19" s="25"/>
    </row>
    <row r="20" spans="1:13" ht="22.5" x14ac:dyDescent="0.25">
      <c r="A20" s="1117"/>
      <c r="B20" s="45" t="s">
        <v>488</v>
      </c>
      <c r="C20" s="31" t="s">
        <v>161</v>
      </c>
      <c r="D20" s="22" t="s">
        <v>104</v>
      </c>
      <c r="E20" s="158">
        <v>9.7000000000000003E-3</v>
      </c>
      <c r="F20" s="24">
        <f>E20*F16</f>
        <v>9.5060000000000006E-2</v>
      </c>
      <c r="G20" s="409"/>
      <c r="H20" s="409"/>
      <c r="I20" s="409"/>
      <c r="J20" s="409"/>
      <c r="K20" s="409"/>
      <c r="L20" s="40"/>
      <c r="M20" s="25"/>
    </row>
    <row r="21" spans="1:13" ht="22.5" x14ac:dyDescent="0.25">
      <c r="A21" s="1117"/>
      <c r="B21" s="679" t="s">
        <v>489</v>
      </c>
      <c r="C21" s="79" t="s">
        <v>94</v>
      </c>
      <c r="D21" s="80" t="s">
        <v>62</v>
      </c>
      <c r="E21" s="81">
        <v>1.22</v>
      </c>
      <c r="F21" s="83">
        <f>E21*F16</f>
        <v>11.956000000000001</v>
      </c>
      <c r="G21" s="83"/>
      <c r="H21" s="83"/>
      <c r="I21" s="83"/>
      <c r="J21" s="83"/>
      <c r="K21" s="83"/>
      <c r="L21" s="83"/>
      <c r="M21" s="84"/>
    </row>
    <row r="22" spans="1:13" ht="15.75" customHeight="1" thickBot="1" x14ac:dyDescent="0.3">
      <c r="A22" s="1118"/>
      <c r="B22" s="507" t="s">
        <v>480</v>
      </c>
      <c r="C22" s="724" t="s">
        <v>664</v>
      </c>
      <c r="D22" s="17" t="s">
        <v>65</v>
      </c>
      <c r="E22" s="162">
        <v>1.5</v>
      </c>
      <c r="F22" s="127">
        <f>E22*F21</f>
        <v>17.934000000000001</v>
      </c>
      <c r="G22" s="581"/>
      <c r="H22" s="581"/>
      <c r="I22" s="581"/>
      <c r="J22" s="581"/>
      <c r="K22" s="581"/>
      <c r="L22" s="581"/>
      <c r="M22" s="725"/>
    </row>
    <row r="23" spans="1:13" x14ac:dyDescent="0.25">
      <c r="A23" s="1119">
        <v>4</v>
      </c>
      <c r="B23" s="591" t="s">
        <v>170</v>
      </c>
      <c r="C23" s="171" t="s">
        <v>387</v>
      </c>
      <c r="D23" s="171" t="s">
        <v>88</v>
      </c>
      <c r="E23" s="172"/>
      <c r="F23" s="213">
        <v>27.6</v>
      </c>
      <c r="G23" s="726"/>
      <c r="H23" s="726"/>
      <c r="I23" s="726"/>
      <c r="J23" s="726"/>
      <c r="K23" s="726"/>
      <c r="L23" s="726"/>
      <c r="M23" s="727"/>
    </row>
    <row r="24" spans="1:13" x14ac:dyDescent="0.25">
      <c r="A24" s="1119"/>
      <c r="B24" s="177"/>
      <c r="C24" s="159" t="s">
        <v>63</v>
      </c>
      <c r="D24" s="158" t="s">
        <v>165</v>
      </c>
      <c r="E24" s="158">
        <v>1.1100000000000001</v>
      </c>
      <c r="F24" s="24">
        <f>F23*E24</f>
        <v>30.636000000000003</v>
      </c>
      <c r="G24" s="409"/>
      <c r="H24" s="409"/>
      <c r="I24" s="409"/>
      <c r="J24" s="409"/>
      <c r="K24" s="409"/>
      <c r="L24" s="409"/>
      <c r="M24" s="25"/>
    </row>
    <row r="25" spans="1:13" x14ac:dyDescent="0.25">
      <c r="A25" s="1119"/>
      <c r="B25" s="177"/>
      <c r="C25" s="159" t="s">
        <v>166</v>
      </c>
      <c r="D25" s="158" t="s">
        <v>78</v>
      </c>
      <c r="E25" s="158">
        <v>7.1000000000000004E-3</v>
      </c>
      <c r="F25" s="24">
        <f>E25*F23</f>
        <v>0.19596000000000002</v>
      </c>
      <c r="G25" s="409"/>
      <c r="H25" s="409"/>
      <c r="I25" s="409"/>
      <c r="J25" s="409"/>
      <c r="K25" s="67"/>
      <c r="L25" s="409"/>
      <c r="M25" s="25"/>
    </row>
    <row r="26" spans="1:13" ht="22.5" x14ac:dyDescent="0.25">
      <c r="A26" s="1119"/>
      <c r="B26" s="45" t="s">
        <v>477</v>
      </c>
      <c r="C26" s="160" t="s">
        <v>388</v>
      </c>
      <c r="D26" s="158" t="s">
        <v>88</v>
      </c>
      <c r="E26" s="168">
        <v>1</v>
      </c>
      <c r="F26" s="24">
        <f>F23*E26</f>
        <v>27.6</v>
      </c>
      <c r="G26" s="409"/>
      <c r="H26" s="40"/>
      <c r="I26" s="409"/>
      <c r="J26" s="409"/>
      <c r="K26" s="409"/>
      <c r="L26" s="409"/>
      <c r="M26" s="25"/>
    </row>
    <row r="27" spans="1:13" ht="22.5" x14ac:dyDescent="0.25">
      <c r="A27" s="1119"/>
      <c r="B27" s="364" t="s">
        <v>478</v>
      </c>
      <c r="C27" s="165" t="s">
        <v>171</v>
      </c>
      <c r="D27" s="166" t="s">
        <v>62</v>
      </c>
      <c r="E27" s="166">
        <v>3.9E-2</v>
      </c>
      <c r="F27" s="24">
        <f>E27*F23</f>
        <v>1.0764</v>
      </c>
      <c r="G27" s="24"/>
      <c r="H27" s="40"/>
      <c r="I27" s="40"/>
      <c r="J27" s="40"/>
      <c r="K27" s="40"/>
      <c r="L27" s="40"/>
      <c r="M27" s="41"/>
    </row>
    <row r="28" spans="1:13" ht="22.5" x14ac:dyDescent="0.25">
      <c r="A28" s="1119"/>
      <c r="B28" s="679" t="s">
        <v>495</v>
      </c>
      <c r="C28" s="165" t="s">
        <v>172</v>
      </c>
      <c r="D28" s="166" t="s">
        <v>62</v>
      </c>
      <c r="E28" s="166">
        <v>5.9999999999999995E-4</v>
      </c>
      <c r="F28" s="24">
        <f>E28*F23</f>
        <v>1.6559999999999998E-2</v>
      </c>
      <c r="G28" s="24"/>
      <c r="H28" s="40"/>
      <c r="I28" s="40"/>
      <c r="J28" s="40"/>
      <c r="K28" s="40"/>
      <c r="L28" s="40"/>
      <c r="M28" s="41"/>
    </row>
    <row r="29" spans="1:13" ht="15.75" thickBot="1" x14ac:dyDescent="0.3">
      <c r="A29" s="1120"/>
      <c r="B29" s="115"/>
      <c r="C29" s="163" t="s">
        <v>119</v>
      </c>
      <c r="D29" s="162" t="s">
        <v>78</v>
      </c>
      <c r="E29" s="162">
        <v>9.6000000000000002E-2</v>
      </c>
      <c r="F29" s="27">
        <f>E29*F23</f>
        <v>2.6496000000000004</v>
      </c>
      <c r="G29" s="581"/>
      <c r="H29" s="581"/>
      <c r="I29" s="581"/>
      <c r="J29" s="581"/>
      <c r="K29" s="581"/>
      <c r="L29" s="581"/>
      <c r="M29" s="85"/>
    </row>
    <row r="30" spans="1:13" s="765" customFormat="1" ht="30" x14ac:dyDescent="0.25">
      <c r="A30" s="1124">
        <v>5</v>
      </c>
      <c r="B30" s="181" t="s">
        <v>182</v>
      </c>
      <c r="C30" s="15" t="s">
        <v>724</v>
      </c>
      <c r="D30" s="16" t="s">
        <v>76</v>
      </c>
      <c r="E30" s="736"/>
      <c r="F30" s="223">
        <f>6.8*7</f>
        <v>47.6</v>
      </c>
      <c r="G30" s="223"/>
      <c r="H30" s="223"/>
      <c r="I30" s="223"/>
      <c r="J30" s="223"/>
      <c r="K30" s="223"/>
      <c r="L30" s="223"/>
      <c r="M30" s="722"/>
    </row>
    <row r="31" spans="1:13" x14ac:dyDescent="0.25">
      <c r="A31" s="1119"/>
      <c r="B31" s="123"/>
      <c r="C31" s="363" t="s">
        <v>712</v>
      </c>
      <c r="D31" s="116" t="s">
        <v>64</v>
      </c>
      <c r="E31" s="737">
        <f>(405-10*4.64)/1000</f>
        <v>0.35860000000000003</v>
      </c>
      <c r="F31" s="409">
        <f>F30*E31</f>
        <v>17.069360000000003</v>
      </c>
      <c r="G31" s="409"/>
      <c r="H31" s="409"/>
      <c r="I31" s="409"/>
      <c r="J31" s="409"/>
      <c r="K31" s="409"/>
      <c r="L31" s="409"/>
      <c r="M31" s="25"/>
    </row>
    <row r="32" spans="1:13" ht="22.5" x14ac:dyDescent="0.25">
      <c r="A32" s="1119"/>
      <c r="B32" s="45" t="s">
        <v>488</v>
      </c>
      <c r="C32" s="121" t="s">
        <v>183</v>
      </c>
      <c r="D32" s="22" t="s">
        <v>104</v>
      </c>
      <c r="E32" s="155">
        <v>2.2599999999999999E-2</v>
      </c>
      <c r="F32" s="409">
        <f>F30*E32</f>
        <v>1.07576</v>
      </c>
      <c r="G32" s="409"/>
      <c r="H32" s="409"/>
      <c r="I32" s="409"/>
      <c r="J32" s="409"/>
      <c r="K32" s="409"/>
      <c r="L32" s="409"/>
      <c r="M32" s="25"/>
    </row>
    <row r="33" spans="1:13" x14ac:dyDescent="0.25">
      <c r="A33" s="1119"/>
      <c r="B33" s="123"/>
      <c r="C33" s="121" t="s">
        <v>166</v>
      </c>
      <c r="D33" s="116" t="s">
        <v>78</v>
      </c>
      <c r="E33" s="155">
        <v>1.3100000000000001E-2</v>
      </c>
      <c r="F33" s="409">
        <f>E33*F30</f>
        <v>0.62356</v>
      </c>
      <c r="G33" s="409"/>
      <c r="H33" s="409"/>
      <c r="I33" s="409"/>
      <c r="J33" s="409"/>
      <c r="K33" s="67"/>
      <c r="L33" s="409"/>
      <c r="M33" s="25"/>
    </row>
    <row r="34" spans="1:13" ht="22.5" x14ac:dyDescent="0.25">
      <c r="A34" s="1119"/>
      <c r="B34" s="364" t="s">
        <v>478</v>
      </c>
      <c r="C34" s="21" t="s">
        <v>185</v>
      </c>
      <c r="D34" s="22" t="s">
        <v>739</v>
      </c>
      <c r="E34" s="961">
        <f>0.1*1.015</f>
        <v>0.10149999999999999</v>
      </c>
      <c r="F34" s="409">
        <f>F30*E34</f>
        <v>4.8313999999999995</v>
      </c>
      <c r="G34" s="409"/>
      <c r="H34" s="40"/>
      <c r="I34" s="409"/>
      <c r="J34" s="409"/>
      <c r="K34" s="409"/>
      <c r="L34" s="409"/>
      <c r="M34" s="25"/>
    </row>
    <row r="35" spans="1:13" x14ac:dyDescent="0.25">
      <c r="A35" s="1119"/>
      <c r="B35" s="975" t="s">
        <v>681</v>
      </c>
      <c r="C35" s="21" t="s">
        <v>186</v>
      </c>
      <c r="D35" s="22" t="s">
        <v>88</v>
      </c>
      <c r="E35" s="295" t="s">
        <v>72</v>
      </c>
      <c r="F35" s="584">
        <v>476</v>
      </c>
      <c r="G35" s="409"/>
      <c r="H35" s="40"/>
      <c r="I35" s="409"/>
      <c r="J35" s="409"/>
      <c r="K35" s="409"/>
      <c r="L35" s="409"/>
      <c r="M35" s="25"/>
    </row>
    <row r="36" spans="1:13" ht="30" x14ac:dyDescent="0.25">
      <c r="A36" s="1119"/>
      <c r="B36" s="123" t="s">
        <v>487</v>
      </c>
      <c r="C36" s="21" t="s">
        <v>187</v>
      </c>
      <c r="D36" s="22" t="s">
        <v>71</v>
      </c>
      <c r="E36" s="295" t="s">
        <v>72</v>
      </c>
      <c r="F36" s="584">
        <f>F30*0.05</f>
        <v>2.3800000000000003</v>
      </c>
      <c r="G36" s="409"/>
      <c r="H36" s="40"/>
      <c r="I36" s="409"/>
      <c r="J36" s="409"/>
      <c r="K36" s="409"/>
      <c r="L36" s="409"/>
      <c r="M36" s="25"/>
    </row>
    <row r="37" spans="1:13" ht="22.5" x14ac:dyDescent="0.25">
      <c r="A37" s="1119"/>
      <c r="B37" s="679" t="s">
        <v>492</v>
      </c>
      <c r="C37" s="21" t="s">
        <v>184</v>
      </c>
      <c r="D37" s="22" t="s">
        <v>76</v>
      </c>
      <c r="E37" s="175">
        <f>(11.7-0.59*10)/100</f>
        <v>5.7999999999999996E-2</v>
      </c>
      <c r="F37" s="409">
        <f>F30*E37</f>
        <v>2.7607999999999997</v>
      </c>
      <c r="G37" s="409"/>
      <c r="H37" s="40"/>
      <c r="I37" s="409"/>
      <c r="J37" s="409"/>
      <c r="K37" s="409"/>
      <c r="L37" s="409"/>
      <c r="M37" s="25"/>
    </row>
    <row r="38" spans="1:13" ht="15.75" thickBot="1" x14ac:dyDescent="0.3">
      <c r="A38" s="1120"/>
      <c r="B38" s="179"/>
      <c r="C38" s="58" t="s">
        <v>85</v>
      </c>
      <c r="D38" s="176" t="s">
        <v>78</v>
      </c>
      <c r="E38" s="739">
        <f>(6.4-0.19*10)/100</f>
        <v>4.4999999999999998E-2</v>
      </c>
      <c r="F38" s="581">
        <f>F30*E38</f>
        <v>2.1419999999999999</v>
      </c>
      <c r="G38" s="581"/>
      <c r="H38" s="49"/>
      <c r="I38" s="581"/>
      <c r="J38" s="581"/>
      <c r="K38" s="581"/>
      <c r="L38" s="581"/>
      <c r="M38" s="28"/>
    </row>
    <row r="39" spans="1:13" ht="45" x14ac:dyDescent="0.25">
      <c r="A39" s="1086">
        <v>6</v>
      </c>
      <c r="B39" s="322" t="s">
        <v>189</v>
      </c>
      <c r="C39" s="284" t="s">
        <v>440</v>
      </c>
      <c r="D39" s="19" t="s">
        <v>76</v>
      </c>
      <c r="E39" s="676"/>
      <c r="F39" s="19">
        <v>16</v>
      </c>
      <c r="G39" s="19"/>
      <c r="H39" s="19"/>
      <c r="I39" s="19"/>
      <c r="J39" s="19"/>
      <c r="K39" s="19"/>
      <c r="L39" s="19"/>
      <c r="M39" s="20"/>
    </row>
    <row r="40" spans="1:13" x14ac:dyDescent="0.25">
      <c r="A40" s="1087"/>
      <c r="B40" s="679"/>
      <c r="C40" s="37" t="s">
        <v>67</v>
      </c>
      <c r="D40" s="38" t="s">
        <v>68</v>
      </c>
      <c r="E40" s="39">
        <v>3.86</v>
      </c>
      <c r="F40" s="40">
        <f>F39*E40</f>
        <v>61.76</v>
      </c>
      <c r="G40" s="75"/>
      <c r="H40" s="40"/>
      <c r="I40" s="40"/>
      <c r="J40" s="40"/>
      <c r="K40" s="40"/>
      <c r="L40" s="40"/>
      <c r="M40" s="41"/>
    </row>
    <row r="41" spans="1:13" ht="22.5" x14ac:dyDescent="0.25">
      <c r="A41" s="1087"/>
      <c r="B41" s="679" t="s">
        <v>494</v>
      </c>
      <c r="C41" s="37" t="s">
        <v>392</v>
      </c>
      <c r="D41" s="38" t="s">
        <v>71</v>
      </c>
      <c r="E41" s="39">
        <v>6</v>
      </c>
      <c r="F41" s="40">
        <f>F39*E41</f>
        <v>96</v>
      </c>
      <c r="G41" s="40"/>
      <c r="H41" s="40"/>
      <c r="I41" s="40"/>
      <c r="J41" s="40"/>
      <c r="K41" s="40"/>
      <c r="L41" s="40"/>
      <c r="M41" s="41"/>
    </row>
    <row r="42" spans="1:13" ht="22.5" x14ac:dyDescent="0.25">
      <c r="A42" s="1087"/>
      <c r="B42" s="679" t="s">
        <v>482</v>
      </c>
      <c r="C42" s="42" t="s">
        <v>390</v>
      </c>
      <c r="D42" s="38" t="s">
        <v>76</v>
      </c>
      <c r="E42" s="39">
        <v>1</v>
      </c>
      <c r="F42" s="40">
        <f>F39*E42</f>
        <v>16</v>
      </c>
      <c r="G42" s="40"/>
      <c r="H42" s="40"/>
      <c r="I42" s="40"/>
      <c r="J42" s="40"/>
      <c r="K42" s="40"/>
      <c r="L42" s="40"/>
      <c r="M42" s="41"/>
    </row>
    <row r="43" spans="1:13" x14ac:dyDescent="0.25">
      <c r="A43" s="1087"/>
      <c r="B43" s="343"/>
      <c r="C43" s="37" t="s">
        <v>77</v>
      </c>
      <c r="D43" s="38" t="s">
        <v>78</v>
      </c>
      <c r="E43" s="39">
        <v>3.5999999999999997E-2</v>
      </c>
      <c r="F43" s="40">
        <f>F39*E43</f>
        <v>0.57599999999999996</v>
      </c>
      <c r="G43" s="75"/>
      <c r="H43" s="40"/>
      <c r="I43" s="40"/>
      <c r="J43" s="40"/>
      <c r="K43" s="67"/>
      <c r="L43" s="40"/>
      <c r="M43" s="41"/>
    </row>
    <row r="44" spans="1:13" ht="15.75" thickBot="1" x14ac:dyDescent="0.3">
      <c r="A44" s="1088"/>
      <c r="B44" s="104"/>
      <c r="C44" s="47" t="s">
        <v>85</v>
      </c>
      <c r="D44" s="342" t="s">
        <v>78</v>
      </c>
      <c r="E44" s="48">
        <v>4.2999999999999997E-2</v>
      </c>
      <c r="F44" s="49">
        <f>F39*E44</f>
        <v>0.68799999999999994</v>
      </c>
      <c r="G44" s="49"/>
      <c r="H44" s="49"/>
      <c r="I44" s="49"/>
      <c r="J44" s="49"/>
      <c r="K44" s="49"/>
      <c r="L44" s="49"/>
      <c r="M44" s="50"/>
    </row>
    <row r="45" spans="1:13" ht="45" x14ac:dyDescent="0.25">
      <c r="A45" s="1200">
        <v>7</v>
      </c>
      <c r="B45" s="181" t="s">
        <v>684</v>
      </c>
      <c r="C45" s="86" t="s">
        <v>389</v>
      </c>
      <c r="D45" s="93" t="s">
        <v>76</v>
      </c>
      <c r="E45" s="161"/>
      <c r="F45" s="60">
        <v>29.9</v>
      </c>
      <c r="G45" s="344"/>
      <c r="H45" s="731"/>
      <c r="I45" s="344"/>
      <c r="J45" s="731"/>
      <c r="K45" s="344"/>
      <c r="L45" s="731"/>
      <c r="M45" s="732"/>
    </row>
    <row r="46" spans="1:13" x14ac:dyDescent="0.25">
      <c r="A46" s="1183"/>
      <c r="B46" s="679"/>
      <c r="C46" s="37" t="s">
        <v>67</v>
      </c>
      <c r="D46" s="38" t="s">
        <v>68</v>
      </c>
      <c r="E46" s="39">
        <v>8.9</v>
      </c>
      <c r="F46" s="40">
        <f>F45*E46</f>
        <v>266.11</v>
      </c>
      <c r="G46" s="75"/>
      <c r="H46" s="40"/>
      <c r="I46" s="40"/>
      <c r="J46" s="40"/>
      <c r="K46" s="40"/>
      <c r="L46" s="40"/>
      <c r="M46" s="41"/>
    </row>
    <row r="47" spans="1:13" ht="22.5" x14ac:dyDescent="0.25">
      <c r="A47" s="1183"/>
      <c r="B47" s="679" t="s">
        <v>494</v>
      </c>
      <c r="C47" s="37" t="s">
        <v>392</v>
      </c>
      <c r="D47" s="38" t="s">
        <v>71</v>
      </c>
      <c r="E47" s="39">
        <v>6</v>
      </c>
      <c r="F47" s="40">
        <f>F45*E47</f>
        <v>179.39999999999998</v>
      </c>
      <c r="G47" s="40"/>
      <c r="H47" s="40"/>
      <c r="I47" s="40"/>
      <c r="J47" s="40"/>
      <c r="K47" s="40"/>
      <c r="L47" s="40"/>
      <c r="M47" s="41"/>
    </row>
    <row r="48" spans="1:13" ht="30" x14ac:dyDescent="0.25">
      <c r="A48" s="1183"/>
      <c r="B48" s="679" t="s">
        <v>482</v>
      </c>
      <c r="C48" s="42" t="s">
        <v>441</v>
      </c>
      <c r="D48" s="38" t="s">
        <v>76</v>
      </c>
      <c r="E48" s="39">
        <v>0.97</v>
      </c>
      <c r="F48" s="40">
        <f>F45*E48</f>
        <v>29.002999999999997</v>
      </c>
      <c r="G48" s="40"/>
      <c r="H48" s="40"/>
      <c r="I48" s="40"/>
      <c r="J48" s="40"/>
      <c r="K48" s="40"/>
      <c r="L48" s="40"/>
      <c r="M48" s="41"/>
    </row>
    <row r="49" spans="1:13" x14ac:dyDescent="0.25">
      <c r="A49" s="1183"/>
      <c r="B49" s="343"/>
      <c r="C49" s="37" t="s">
        <v>77</v>
      </c>
      <c r="D49" s="38" t="s">
        <v>78</v>
      </c>
      <c r="E49" s="39">
        <v>0.13</v>
      </c>
      <c r="F49" s="40">
        <f>F45*E49</f>
        <v>3.887</v>
      </c>
      <c r="G49" s="75"/>
      <c r="H49" s="40"/>
      <c r="I49" s="40"/>
      <c r="J49" s="40"/>
      <c r="K49" s="67"/>
      <c r="L49" s="40"/>
      <c r="M49" s="41"/>
    </row>
    <row r="50" spans="1:13" ht="15.75" thickBot="1" x14ac:dyDescent="0.3">
      <c r="A50" s="1183"/>
      <c r="B50" s="104"/>
      <c r="C50" s="47" t="s">
        <v>85</v>
      </c>
      <c r="D50" s="342" t="s">
        <v>78</v>
      </c>
      <c r="E50" s="48">
        <v>0.1</v>
      </c>
      <c r="F50" s="49">
        <f>F45*E50</f>
        <v>2.99</v>
      </c>
      <c r="G50" s="49"/>
      <c r="H50" s="49"/>
      <c r="I50" s="49"/>
      <c r="J50" s="49"/>
      <c r="K50" s="49"/>
      <c r="L50" s="49"/>
      <c r="M50" s="50"/>
    </row>
    <row r="51" spans="1:13" ht="30.75" thickBot="1" x14ac:dyDescent="0.3">
      <c r="A51" s="698">
        <v>8</v>
      </c>
      <c r="B51" s="905"/>
      <c r="C51" s="284" t="s">
        <v>391</v>
      </c>
      <c r="D51" s="906" t="s">
        <v>294</v>
      </c>
      <c r="E51" s="980"/>
      <c r="F51" s="213">
        <v>1</v>
      </c>
      <c r="G51" s="213"/>
      <c r="H51" s="74"/>
      <c r="I51" s="74"/>
      <c r="J51" s="74"/>
      <c r="K51" s="74"/>
      <c r="L51" s="74"/>
      <c r="M51" s="87"/>
    </row>
    <row r="52" spans="1:13" ht="60.75" thickBot="1" x14ac:dyDescent="0.3">
      <c r="A52" s="352"/>
      <c r="B52" s="353"/>
      <c r="C52" s="336" t="s">
        <v>461</v>
      </c>
      <c r="D52" s="336"/>
      <c r="E52" s="412"/>
      <c r="F52" s="641"/>
      <c r="G52" s="336"/>
      <c r="H52" s="336"/>
      <c r="I52" s="336"/>
      <c r="J52" s="336"/>
      <c r="K52" s="336"/>
      <c r="L52" s="336"/>
      <c r="M52" s="354"/>
    </row>
    <row r="53" spans="1:13" ht="45" x14ac:dyDescent="0.25">
      <c r="A53" s="1108">
        <v>1</v>
      </c>
      <c r="B53" s="622" t="s">
        <v>109</v>
      </c>
      <c r="C53" s="92" t="s">
        <v>108</v>
      </c>
      <c r="D53" s="29" t="s">
        <v>62</v>
      </c>
      <c r="E53" s="720"/>
      <c r="F53" s="213">
        <f>(102)*0.2</f>
        <v>20.400000000000002</v>
      </c>
      <c r="G53" s="150"/>
      <c r="H53" s="150"/>
      <c r="I53" s="150"/>
      <c r="J53" s="150"/>
      <c r="K53" s="150"/>
      <c r="L53" s="150"/>
      <c r="M53" s="211"/>
    </row>
    <row r="54" spans="1:13" x14ac:dyDescent="0.25">
      <c r="A54" s="1109"/>
      <c r="B54" s="688"/>
      <c r="C54" s="57" t="s">
        <v>63</v>
      </c>
      <c r="D54" s="22" t="s">
        <v>64</v>
      </c>
      <c r="E54" s="61">
        <v>3.4000000000000002E-2</v>
      </c>
      <c r="F54" s="24">
        <f>E54*F53</f>
        <v>0.69360000000000011</v>
      </c>
      <c r="G54" s="24"/>
      <c r="H54" s="24"/>
      <c r="I54" s="24"/>
      <c r="J54" s="24"/>
      <c r="K54" s="24"/>
      <c r="L54" s="24"/>
      <c r="M54" s="25"/>
    </row>
    <row r="55" spans="1:13" x14ac:dyDescent="0.25">
      <c r="A55" s="1110"/>
      <c r="B55" s="358"/>
      <c r="C55" s="94" t="s">
        <v>82</v>
      </c>
      <c r="D55" s="33" t="s">
        <v>78</v>
      </c>
      <c r="E55" s="66">
        <v>5.5999999999999999E-3</v>
      </c>
      <c r="F55" s="67">
        <f>E55*F53</f>
        <v>0.11424000000000001</v>
      </c>
      <c r="G55" s="67"/>
      <c r="H55" s="67"/>
      <c r="I55" s="67"/>
      <c r="J55" s="67"/>
      <c r="K55" s="67"/>
      <c r="L55" s="67"/>
      <c r="M55" s="25"/>
    </row>
    <row r="56" spans="1:13" ht="30.75" thickBot="1" x14ac:dyDescent="0.3">
      <c r="A56" s="1110"/>
      <c r="B56" s="673" t="s">
        <v>486</v>
      </c>
      <c r="C56" s="94" t="s">
        <v>103</v>
      </c>
      <c r="D56" s="33" t="s">
        <v>104</v>
      </c>
      <c r="E56" s="66">
        <v>8.0299999999999996E-2</v>
      </c>
      <c r="F56" s="67">
        <f>E56*F53</f>
        <v>1.63812</v>
      </c>
      <c r="G56" s="67"/>
      <c r="H56" s="67"/>
      <c r="I56" s="67"/>
      <c r="J56" s="67"/>
      <c r="K56" s="67"/>
      <c r="L56" s="67"/>
      <c r="M56" s="95"/>
    </row>
    <row r="57" spans="1:13" ht="30" x14ac:dyDescent="0.25">
      <c r="A57" s="1111">
        <v>2</v>
      </c>
      <c r="B57" s="1201" t="s">
        <v>105</v>
      </c>
      <c r="C57" s="15" t="s">
        <v>106</v>
      </c>
      <c r="D57" s="16" t="s">
        <v>62</v>
      </c>
      <c r="E57" s="721"/>
      <c r="F57" s="582">
        <f>F53*0.1</f>
        <v>2.0400000000000005</v>
      </c>
      <c r="G57" s="53"/>
      <c r="H57" s="53"/>
      <c r="I57" s="53"/>
      <c r="J57" s="53"/>
      <c r="K57" s="53"/>
      <c r="L57" s="53"/>
      <c r="M57" s="54"/>
    </row>
    <row r="58" spans="1:13" ht="15.75" x14ac:dyDescent="0.3">
      <c r="A58" s="1112"/>
      <c r="B58" s="1202"/>
      <c r="C58" s="306" t="s">
        <v>107</v>
      </c>
      <c r="D58" s="307" t="s">
        <v>64</v>
      </c>
      <c r="E58" s="304">
        <v>2.06</v>
      </c>
      <c r="F58" s="583">
        <f>F57*E58</f>
        <v>4.2024000000000008</v>
      </c>
      <c r="G58" s="24"/>
      <c r="H58" s="24"/>
      <c r="I58" s="24"/>
      <c r="J58" s="24"/>
      <c r="K58" s="24"/>
      <c r="L58" s="24"/>
      <c r="M58" s="25"/>
    </row>
    <row r="59" spans="1:13" ht="15.75" thickBot="1" x14ac:dyDescent="0.3">
      <c r="A59" s="1113"/>
      <c r="B59" s="673" t="s">
        <v>480</v>
      </c>
      <c r="C59" s="587" t="s">
        <v>156</v>
      </c>
      <c r="D59" s="665" t="s">
        <v>65</v>
      </c>
      <c r="E59" s="66">
        <v>1.8</v>
      </c>
      <c r="F59" s="396">
        <f>E59*(F57+F53)</f>
        <v>40.392000000000003</v>
      </c>
      <c r="G59" s="67"/>
      <c r="H59" s="67"/>
      <c r="I59" s="67"/>
      <c r="J59" s="67"/>
      <c r="K59" s="67"/>
      <c r="L59" s="67"/>
      <c r="M59" s="95"/>
    </row>
    <row r="60" spans="1:13" ht="45" x14ac:dyDescent="0.25">
      <c r="A60" s="1116">
        <v>3</v>
      </c>
      <c r="B60" s="643" t="s">
        <v>168</v>
      </c>
      <c r="C60" s="16" t="s">
        <v>394</v>
      </c>
      <c r="D60" s="16" t="s">
        <v>158</v>
      </c>
      <c r="E60" s="161"/>
      <c r="F60" s="60">
        <f>(102)*0.1</f>
        <v>10.200000000000001</v>
      </c>
      <c r="G60" s="223"/>
      <c r="H60" s="223"/>
      <c r="I60" s="223"/>
      <c r="J60" s="223"/>
      <c r="K60" s="223"/>
      <c r="L60" s="223"/>
      <c r="M60" s="722"/>
    </row>
    <row r="61" spans="1:13" x14ac:dyDescent="0.25">
      <c r="A61" s="1117"/>
      <c r="B61" s="723"/>
      <c r="C61" s="121" t="s">
        <v>159</v>
      </c>
      <c r="D61" s="22" t="s">
        <v>64</v>
      </c>
      <c r="E61" s="158">
        <v>0.15</v>
      </c>
      <c r="F61" s="24">
        <f>E61*F60</f>
        <v>1.53</v>
      </c>
      <c r="G61" s="409"/>
      <c r="H61" s="409"/>
      <c r="I61" s="409"/>
      <c r="J61" s="409"/>
      <c r="K61" s="409"/>
      <c r="L61" s="409"/>
      <c r="M61" s="25"/>
    </row>
    <row r="62" spans="1:13" ht="22.5" x14ac:dyDescent="0.25">
      <c r="A62" s="1117"/>
      <c r="B62" s="45" t="s">
        <v>476</v>
      </c>
      <c r="C62" s="153" t="s">
        <v>155</v>
      </c>
      <c r="D62" s="117" t="s">
        <v>97</v>
      </c>
      <c r="E62" s="154">
        <v>2.1600000000000001E-2</v>
      </c>
      <c r="F62" s="409">
        <f>E62*F60</f>
        <v>0.22032000000000004</v>
      </c>
      <c r="G62" s="40"/>
      <c r="H62" s="40"/>
      <c r="I62" s="40"/>
      <c r="J62" s="40"/>
      <c r="K62" s="40"/>
      <c r="L62" s="40"/>
      <c r="M62" s="25"/>
    </row>
    <row r="63" spans="1:13" ht="22.5" x14ac:dyDescent="0.25">
      <c r="A63" s="1117"/>
      <c r="B63" s="688" t="s">
        <v>483</v>
      </c>
      <c r="C63" s="121" t="s">
        <v>160</v>
      </c>
      <c r="D63" s="22" t="s">
        <v>104</v>
      </c>
      <c r="E63" s="158">
        <v>2.7300000000000001E-2</v>
      </c>
      <c r="F63" s="24">
        <f>E63*F60</f>
        <v>0.27846000000000004</v>
      </c>
      <c r="G63" s="409"/>
      <c r="H63" s="409"/>
      <c r="I63" s="409"/>
      <c r="J63" s="409"/>
      <c r="K63" s="409"/>
      <c r="L63" s="40"/>
      <c r="M63" s="25"/>
    </row>
    <row r="64" spans="1:13" ht="22.5" x14ac:dyDescent="0.25">
      <c r="A64" s="1117"/>
      <c r="B64" s="45" t="s">
        <v>488</v>
      </c>
      <c r="C64" s="31" t="s">
        <v>161</v>
      </c>
      <c r="D64" s="22" t="s">
        <v>104</v>
      </c>
      <c r="E64" s="158">
        <v>9.7000000000000003E-3</v>
      </c>
      <c r="F64" s="24">
        <f>E64*F60</f>
        <v>9.8940000000000014E-2</v>
      </c>
      <c r="G64" s="409"/>
      <c r="H64" s="409"/>
      <c r="I64" s="409"/>
      <c r="J64" s="409"/>
      <c r="K64" s="409"/>
      <c r="L64" s="40"/>
      <c r="M64" s="25"/>
    </row>
    <row r="65" spans="1:13" ht="22.5" x14ac:dyDescent="0.25">
      <c r="A65" s="1117"/>
      <c r="B65" s="679" t="s">
        <v>489</v>
      </c>
      <c r="C65" s="79" t="s">
        <v>94</v>
      </c>
      <c r="D65" s="80" t="s">
        <v>62</v>
      </c>
      <c r="E65" s="81">
        <v>1.22</v>
      </c>
      <c r="F65" s="621">
        <f>E65*F60</f>
        <v>12.444000000000001</v>
      </c>
      <c r="G65" s="83"/>
      <c r="H65" s="83"/>
      <c r="I65" s="83"/>
      <c r="J65" s="83"/>
      <c r="K65" s="83"/>
      <c r="L65" s="83"/>
      <c r="M65" s="84"/>
    </row>
    <row r="66" spans="1:13" ht="15.75" thickBot="1" x14ac:dyDescent="0.3">
      <c r="A66" s="1118"/>
      <c r="B66" s="507" t="s">
        <v>480</v>
      </c>
      <c r="C66" s="724" t="s">
        <v>664</v>
      </c>
      <c r="D66" s="17" t="s">
        <v>65</v>
      </c>
      <c r="E66" s="162">
        <v>1.55</v>
      </c>
      <c r="F66" s="127">
        <f>E66*F65</f>
        <v>19.288200000000003</v>
      </c>
      <c r="G66" s="581"/>
      <c r="H66" s="581"/>
      <c r="I66" s="581"/>
      <c r="J66" s="581"/>
      <c r="K66" s="581"/>
      <c r="L66" s="581"/>
      <c r="M66" s="725"/>
    </row>
    <row r="67" spans="1:13" x14ac:dyDescent="0.25">
      <c r="A67" s="1119">
        <v>4</v>
      </c>
      <c r="B67" s="591" t="s">
        <v>170</v>
      </c>
      <c r="C67" s="171" t="s">
        <v>164</v>
      </c>
      <c r="D67" s="171" t="s">
        <v>88</v>
      </c>
      <c r="E67" s="172"/>
      <c r="F67" s="213">
        <f>68</f>
        <v>68</v>
      </c>
      <c r="G67" s="726"/>
      <c r="H67" s="726"/>
      <c r="I67" s="726"/>
      <c r="J67" s="726"/>
      <c r="K67" s="726"/>
      <c r="L67" s="726"/>
      <c r="M67" s="727"/>
    </row>
    <row r="68" spans="1:13" x14ac:dyDescent="0.25">
      <c r="A68" s="1119"/>
      <c r="B68" s="177"/>
      <c r="C68" s="159" t="s">
        <v>63</v>
      </c>
      <c r="D68" s="158" t="s">
        <v>165</v>
      </c>
      <c r="E68" s="158">
        <v>1.1100000000000001</v>
      </c>
      <c r="F68" s="24">
        <f>F67*E68</f>
        <v>75.48</v>
      </c>
      <c r="G68" s="409"/>
      <c r="H68" s="409"/>
      <c r="I68" s="409"/>
      <c r="J68" s="409"/>
      <c r="K68" s="409"/>
      <c r="L68" s="409"/>
      <c r="M68" s="25"/>
    </row>
    <row r="69" spans="1:13" x14ac:dyDescent="0.25">
      <c r="A69" s="1119"/>
      <c r="B69" s="177"/>
      <c r="C69" s="159" t="s">
        <v>166</v>
      </c>
      <c r="D69" s="158" t="s">
        <v>78</v>
      </c>
      <c r="E69" s="158">
        <v>7.1000000000000004E-3</v>
      </c>
      <c r="F69" s="24">
        <f>E69*F67</f>
        <v>0.48280000000000001</v>
      </c>
      <c r="G69" s="409"/>
      <c r="H69" s="409"/>
      <c r="I69" s="409"/>
      <c r="J69" s="409"/>
      <c r="K69" s="67"/>
      <c r="L69" s="409"/>
      <c r="M69" s="25"/>
    </row>
    <row r="70" spans="1:13" ht="22.5" x14ac:dyDescent="0.25">
      <c r="A70" s="1119"/>
      <c r="B70" s="45" t="s">
        <v>477</v>
      </c>
      <c r="C70" s="160" t="s">
        <v>173</v>
      </c>
      <c r="D70" s="158" t="s">
        <v>88</v>
      </c>
      <c r="E70" s="168">
        <v>1</v>
      </c>
      <c r="F70" s="24">
        <f>F67*E70</f>
        <v>68</v>
      </c>
      <c r="G70" s="409"/>
      <c r="H70" s="40"/>
      <c r="I70" s="409"/>
      <c r="J70" s="409"/>
      <c r="K70" s="409"/>
      <c r="L70" s="409"/>
      <c r="M70" s="25"/>
    </row>
    <row r="71" spans="1:13" ht="22.5" x14ac:dyDescent="0.25">
      <c r="A71" s="1119"/>
      <c r="B71" s="364" t="s">
        <v>478</v>
      </c>
      <c r="C71" s="165" t="s">
        <v>171</v>
      </c>
      <c r="D71" s="166" t="s">
        <v>62</v>
      </c>
      <c r="E71" s="166">
        <v>3.9E-2</v>
      </c>
      <c r="F71" s="24">
        <f>E71*F67</f>
        <v>2.6520000000000001</v>
      </c>
      <c r="G71" s="24"/>
      <c r="H71" s="40"/>
      <c r="I71" s="40"/>
      <c r="J71" s="40"/>
      <c r="K71" s="40"/>
      <c r="L71" s="40"/>
      <c r="M71" s="41"/>
    </row>
    <row r="72" spans="1:13" ht="22.5" x14ac:dyDescent="0.25">
      <c r="A72" s="1119"/>
      <c r="B72" s="679" t="s">
        <v>495</v>
      </c>
      <c r="C72" s="165" t="s">
        <v>172</v>
      </c>
      <c r="D72" s="166" t="s">
        <v>62</v>
      </c>
      <c r="E72" s="166">
        <v>5.9999999999999995E-4</v>
      </c>
      <c r="F72" s="24">
        <f>E72*F67</f>
        <v>4.0799999999999996E-2</v>
      </c>
      <c r="G72" s="24"/>
      <c r="H72" s="40"/>
      <c r="I72" s="40"/>
      <c r="J72" s="40"/>
      <c r="K72" s="40"/>
      <c r="L72" s="40"/>
      <c r="M72" s="41"/>
    </row>
    <row r="73" spans="1:13" ht="15.75" thickBot="1" x14ac:dyDescent="0.3">
      <c r="A73" s="1119"/>
      <c r="B73" s="64"/>
      <c r="C73" s="173" t="s">
        <v>119</v>
      </c>
      <c r="D73" s="174" t="s">
        <v>78</v>
      </c>
      <c r="E73" s="174">
        <v>9.6000000000000002E-2</v>
      </c>
      <c r="F73" s="67">
        <f>E73*F67</f>
        <v>6.5280000000000005</v>
      </c>
      <c r="G73" s="572"/>
      <c r="H73" s="572"/>
      <c r="I73" s="572"/>
      <c r="J73" s="572"/>
      <c r="K73" s="572"/>
      <c r="L73" s="572"/>
      <c r="M73" s="112"/>
    </row>
    <row r="74" spans="1:13" ht="45" x14ac:dyDescent="0.25">
      <c r="A74" s="1125">
        <v>5</v>
      </c>
      <c r="B74" s="592" t="s">
        <v>192</v>
      </c>
      <c r="C74" s="93" t="s">
        <v>395</v>
      </c>
      <c r="D74" s="93" t="s">
        <v>62</v>
      </c>
      <c r="E74" s="161"/>
      <c r="F74" s="60">
        <f>F80*0.05</f>
        <v>5.1000000000000005</v>
      </c>
      <c r="G74" s="731"/>
      <c r="H74" s="731"/>
      <c r="I74" s="731"/>
      <c r="J74" s="731"/>
      <c r="K74" s="731"/>
      <c r="L74" s="731"/>
      <c r="M74" s="732"/>
    </row>
    <row r="75" spans="1:13" x14ac:dyDescent="0.25">
      <c r="A75" s="1126"/>
      <c r="B75" s="123"/>
      <c r="C75" s="159" t="s">
        <v>63</v>
      </c>
      <c r="D75" s="158" t="s">
        <v>165</v>
      </c>
      <c r="E75" s="158">
        <v>2.12</v>
      </c>
      <c r="F75" s="24">
        <f>F74*E75</f>
        <v>10.812000000000001</v>
      </c>
      <c r="G75" s="409"/>
      <c r="H75" s="409"/>
      <c r="I75" s="40"/>
      <c r="J75" s="40"/>
      <c r="K75" s="409"/>
      <c r="L75" s="409"/>
      <c r="M75" s="41"/>
    </row>
    <row r="76" spans="1:13" x14ac:dyDescent="0.25">
      <c r="A76" s="1126"/>
      <c r="B76" s="123"/>
      <c r="C76" s="160" t="s">
        <v>166</v>
      </c>
      <c r="D76" s="158" t="s">
        <v>78</v>
      </c>
      <c r="E76" s="158">
        <v>0.10100000000000001</v>
      </c>
      <c r="F76" s="24">
        <f>E76*F74</f>
        <v>0.51510000000000011</v>
      </c>
      <c r="G76" s="409"/>
      <c r="H76" s="409"/>
      <c r="I76" s="409"/>
      <c r="J76" s="409"/>
      <c r="K76" s="67"/>
      <c r="L76" s="409"/>
      <c r="M76" s="41"/>
    </row>
    <row r="77" spans="1:13" ht="22.5" x14ac:dyDescent="0.25">
      <c r="A77" s="1126"/>
      <c r="B77" s="45" t="s">
        <v>491</v>
      </c>
      <c r="C77" s="159" t="s">
        <v>191</v>
      </c>
      <c r="D77" s="158" t="s">
        <v>62</v>
      </c>
      <c r="E77" s="158">
        <v>1.1000000000000001</v>
      </c>
      <c r="F77" s="24">
        <f>E77*F74</f>
        <v>5.6100000000000012</v>
      </c>
      <c r="G77" s="409"/>
      <c r="H77" s="409"/>
      <c r="I77" s="409"/>
      <c r="J77" s="409"/>
      <c r="K77" s="409"/>
      <c r="L77" s="409"/>
      <c r="M77" s="41"/>
    </row>
    <row r="78" spans="1:13" x14ac:dyDescent="0.25">
      <c r="A78" s="1126"/>
      <c r="B78" s="45" t="s">
        <v>480</v>
      </c>
      <c r="C78" s="605" t="s">
        <v>631</v>
      </c>
      <c r="D78" s="158" t="s">
        <v>65</v>
      </c>
      <c r="E78" s="158">
        <v>1.5</v>
      </c>
      <c r="F78" s="669">
        <f>F77*E78</f>
        <v>8.4150000000000027</v>
      </c>
      <c r="G78" s="409"/>
      <c r="H78" s="409"/>
      <c r="I78" s="409"/>
      <c r="J78" s="409"/>
      <c r="K78" s="409"/>
      <c r="L78" s="40"/>
      <c r="M78" s="25"/>
    </row>
    <row r="79" spans="1:13" ht="16.5" thickBot="1" x14ac:dyDescent="0.35">
      <c r="A79" s="1203"/>
      <c r="B79" s="856" t="s">
        <v>493</v>
      </c>
      <c r="C79" s="962" t="s">
        <v>194</v>
      </c>
      <c r="D79" s="656" t="s">
        <v>65</v>
      </c>
      <c r="E79" s="963">
        <f>E77*1.52*0.1</f>
        <v>0.16720000000000002</v>
      </c>
      <c r="F79" s="581">
        <f>E79*F74</f>
        <v>0.85272000000000014</v>
      </c>
      <c r="G79" s="581"/>
      <c r="H79" s="581"/>
      <c r="I79" s="581"/>
      <c r="J79" s="581"/>
      <c r="K79" s="581"/>
      <c r="L79" s="581"/>
      <c r="M79" s="50"/>
    </row>
    <row r="80" spans="1:13" ht="45" x14ac:dyDescent="0.25">
      <c r="A80" s="1125">
        <v>6</v>
      </c>
      <c r="B80" s="638" t="s">
        <v>195</v>
      </c>
      <c r="C80" s="93" t="s">
        <v>396</v>
      </c>
      <c r="D80" s="93" t="s">
        <v>76</v>
      </c>
      <c r="E80" s="161"/>
      <c r="F80" s="60">
        <f>102</f>
        <v>102</v>
      </c>
      <c r="G80" s="731"/>
      <c r="H80" s="731"/>
      <c r="I80" s="731"/>
      <c r="J80" s="731"/>
      <c r="K80" s="731"/>
      <c r="L80" s="731"/>
      <c r="M80" s="732"/>
    </row>
    <row r="81" spans="1:13" x14ac:dyDescent="0.25">
      <c r="A81" s="1126"/>
      <c r="B81" s="169"/>
      <c r="C81" s="159" t="s">
        <v>63</v>
      </c>
      <c r="D81" s="158" t="s">
        <v>165</v>
      </c>
      <c r="E81" s="158">
        <v>0.40200000000000002</v>
      </c>
      <c r="F81" s="24">
        <f>F80*E81</f>
        <v>41.004000000000005</v>
      </c>
      <c r="G81" s="409"/>
      <c r="H81" s="409"/>
      <c r="I81" s="40"/>
      <c r="J81" s="40"/>
      <c r="K81" s="409"/>
      <c r="L81" s="409"/>
      <c r="M81" s="41"/>
    </row>
    <row r="82" spans="1:13" x14ac:dyDescent="0.25">
      <c r="A82" s="1126"/>
      <c r="B82" s="169"/>
      <c r="C82" s="159" t="s">
        <v>166</v>
      </c>
      <c r="D82" s="158" t="s">
        <v>78</v>
      </c>
      <c r="E82" s="158">
        <v>0.129</v>
      </c>
      <c r="F82" s="24">
        <f>F80*E82</f>
        <v>13.158000000000001</v>
      </c>
      <c r="G82" s="409"/>
      <c r="H82" s="409"/>
      <c r="I82" s="409"/>
      <c r="J82" s="409"/>
      <c r="K82" s="67"/>
      <c r="L82" s="409"/>
      <c r="M82" s="41"/>
    </row>
    <row r="83" spans="1:13" ht="30.75" thickBot="1" x14ac:dyDescent="0.3">
      <c r="A83" s="1126"/>
      <c r="B83" s="169" t="s">
        <v>147</v>
      </c>
      <c r="C83" s="159" t="s">
        <v>397</v>
      </c>
      <c r="D83" s="158" t="s">
        <v>76</v>
      </c>
      <c r="E83" s="167">
        <v>1</v>
      </c>
      <c r="F83" s="24">
        <f>E83*F80</f>
        <v>102</v>
      </c>
      <c r="G83" s="409"/>
      <c r="H83" s="409"/>
      <c r="I83" s="409"/>
      <c r="J83" s="409"/>
      <c r="K83" s="409"/>
      <c r="L83" s="409"/>
      <c r="M83" s="41"/>
    </row>
    <row r="84" spans="1:13" ht="30" x14ac:dyDescent="0.25">
      <c r="A84" s="1189">
        <v>7</v>
      </c>
      <c r="B84" s="181" t="s">
        <v>360</v>
      </c>
      <c r="C84" s="35" t="s">
        <v>319</v>
      </c>
      <c r="D84" s="674" t="s">
        <v>62</v>
      </c>
      <c r="E84" s="275"/>
      <c r="F84" s="19">
        <f>F90*0.025</f>
        <v>1.2750000000000001</v>
      </c>
      <c r="G84" s="53"/>
      <c r="H84" s="53"/>
      <c r="I84" s="53"/>
      <c r="J84" s="53"/>
      <c r="K84" s="53"/>
      <c r="L84" s="53"/>
      <c r="M84" s="125"/>
    </row>
    <row r="85" spans="1:13" x14ac:dyDescent="0.25">
      <c r="A85" s="1190"/>
      <c r="B85" s="501"/>
      <c r="C85" s="42" t="s">
        <v>67</v>
      </c>
      <c r="D85" s="38" t="s">
        <v>68</v>
      </c>
      <c r="E85" s="39">
        <f>15.5/1000</f>
        <v>1.55E-2</v>
      </c>
      <c r="F85" s="40">
        <f>E85*F84</f>
        <v>1.9762500000000002E-2</v>
      </c>
      <c r="G85" s="24"/>
      <c r="H85" s="24"/>
      <c r="I85" s="24"/>
      <c r="J85" s="24"/>
      <c r="K85" s="24"/>
      <c r="L85" s="24"/>
      <c r="M85" s="25"/>
    </row>
    <row r="86" spans="1:13" x14ac:dyDescent="0.25">
      <c r="A86" s="1190"/>
      <c r="B86" s="501" t="s">
        <v>362</v>
      </c>
      <c r="C86" s="42" t="s">
        <v>361</v>
      </c>
      <c r="D86" s="38" t="s">
        <v>104</v>
      </c>
      <c r="E86" s="39">
        <f>34.7/1000</f>
        <v>3.4700000000000002E-2</v>
      </c>
      <c r="F86" s="40">
        <f>E86*F84</f>
        <v>4.4242500000000004E-2</v>
      </c>
      <c r="G86" s="24"/>
      <c r="H86" s="24"/>
      <c r="I86" s="24"/>
      <c r="J86" s="24"/>
      <c r="K86" s="24"/>
      <c r="L86" s="24"/>
      <c r="M86" s="25"/>
    </row>
    <row r="87" spans="1:13" x14ac:dyDescent="0.25">
      <c r="A87" s="1191"/>
      <c r="B87" s="951" t="s">
        <v>147</v>
      </c>
      <c r="C87" s="356" t="s">
        <v>471</v>
      </c>
      <c r="D87" s="675" t="s">
        <v>62</v>
      </c>
      <c r="E87" s="77">
        <v>1</v>
      </c>
      <c r="F87" s="68">
        <f>E87*F84</f>
        <v>1.2750000000000001</v>
      </c>
      <c r="G87" s="67"/>
      <c r="H87" s="67"/>
      <c r="I87" s="67"/>
      <c r="J87" s="67"/>
      <c r="K87" s="24"/>
      <c r="L87" s="67"/>
      <c r="M87" s="25"/>
    </row>
    <row r="88" spans="1:13" ht="15.75" thickBot="1" x14ac:dyDescent="0.3">
      <c r="A88" s="1192"/>
      <c r="B88" s="685"/>
      <c r="C88" s="191" t="s">
        <v>82</v>
      </c>
      <c r="D88" s="342"/>
      <c r="E88" s="48">
        <v>2.9000000000000001E-2</v>
      </c>
      <c r="F88" s="49">
        <f>E88*F84</f>
        <v>3.6975000000000008E-2</v>
      </c>
      <c r="G88" s="27"/>
      <c r="H88" s="27"/>
      <c r="I88" s="27"/>
      <c r="J88" s="27"/>
      <c r="K88" s="27"/>
      <c r="L88" s="27"/>
      <c r="M88" s="28"/>
    </row>
    <row r="89" spans="1:13" ht="15.75" thickBot="1" x14ac:dyDescent="0.3">
      <c r="A89" s="691">
        <v>8</v>
      </c>
      <c r="B89" s="281"/>
      <c r="C89" s="378" t="s">
        <v>570</v>
      </c>
      <c r="D89" s="282" t="s">
        <v>65</v>
      </c>
      <c r="E89" s="964">
        <v>1.5</v>
      </c>
      <c r="F89" s="267">
        <f>F84*E89</f>
        <v>1.9125000000000001</v>
      </c>
      <c r="G89" s="267"/>
      <c r="H89" s="267"/>
      <c r="I89" s="267"/>
      <c r="J89" s="265"/>
      <c r="K89" s="265"/>
      <c r="L89" s="265"/>
      <c r="M89" s="266"/>
    </row>
    <row r="90" spans="1:13" ht="30" x14ac:dyDescent="0.25">
      <c r="A90" s="1121">
        <v>9</v>
      </c>
      <c r="B90" s="16" t="s">
        <v>320</v>
      </c>
      <c r="C90" s="16" t="s">
        <v>363</v>
      </c>
      <c r="D90" s="16" t="s">
        <v>76</v>
      </c>
      <c r="E90" s="981"/>
      <c r="F90" s="60">
        <f>F80/2</f>
        <v>51</v>
      </c>
      <c r="G90" s="563"/>
      <c r="H90" s="53"/>
      <c r="I90" s="563"/>
      <c r="J90" s="53"/>
      <c r="K90" s="563"/>
      <c r="L90" s="563"/>
      <c r="M90" s="125"/>
    </row>
    <row r="91" spans="1:13" ht="15.75" x14ac:dyDescent="0.3">
      <c r="A91" s="1122"/>
      <c r="B91" s="566"/>
      <c r="C91" s="565" t="s">
        <v>63</v>
      </c>
      <c r="D91" s="566" t="s">
        <v>64</v>
      </c>
      <c r="E91" s="567">
        <f>(18.4+4.39)/100</f>
        <v>0.22789999999999999</v>
      </c>
      <c r="F91" s="568">
        <f>E91*F90</f>
        <v>11.6229</v>
      </c>
      <c r="G91" s="568"/>
      <c r="H91" s="24"/>
      <c r="I91" s="569"/>
      <c r="J91" s="24"/>
      <c r="K91" s="569"/>
      <c r="L91" s="569"/>
      <c r="M91" s="25"/>
    </row>
    <row r="92" spans="1:13" ht="23.25" thickBot="1" x14ac:dyDescent="0.35">
      <c r="A92" s="1142"/>
      <c r="B92" s="687" t="s">
        <v>147</v>
      </c>
      <c r="C92" s="570" t="s">
        <v>321</v>
      </c>
      <c r="D92" s="571" t="s">
        <v>78</v>
      </c>
      <c r="E92" s="488">
        <f>2/100</f>
        <v>0.02</v>
      </c>
      <c r="F92" s="666">
        <f>F90*E92</f>
        <v>1.02</v>
      </c>
      <c r="G92" s="572"/>
      <c r="H92" s="67"/>
      <c r="I92" s="573"/>
      <c r="J92" s="573"/>
      <c r="K92" s="572"/>
      <c r="L92" s="572"/>
      <c r="M92" s="95"/>
    </row>
    <row r="93" spans="1:13" x14ac:dyDescent="0.25">
      <c r="A93" s="1121">
        <v>10</v>
      </c>
      <c r="B93" s="635" t="s">
        <v>679</v>
      </c>
      <c r="C93" s="705" t="s">
        <v>678</v>
      </c>
      <c r="D93" s="16" t="s">
        <v>76</v>
      </c>
      <c r="E93" s="981"/>
      <c r="F93" s="164">
        <f>F80</f>
        <v>102</v>
      </c>
      <c r="G93" s="563"/>
      <c r="H93" s="53"/>
      <c r="I93" s="563"/>
      <c r="J93" s="53"/>
      <c r="K93" s="563"/>
      <c r="L93" s="563"/>
      <c r="M93" s="125"/>
    </row>
    <row r="94" spans="1:13" ht="15.75" x14ac:dyDescent="0.3">
      <c r="A94" s="1122"/>
      <c r="B94" s="564"/>
      <c r="C94" s="565" t="s">
        <v>63</v>
      </c>
      <c r="D94" s="566" t="s">
        <v>64</v>
      </c>
      <c r="E94" s="567">
        <f>35/100</f>
        <v>0.35</v>
      </c>
      <c r="F94" s="706">
        <f>E94*F93</f>
        <v>35.699999999999996</v>
      </c>
      <c r="G94" s="568"/>
      <c r="H94" s="24"/>
      <c r="I94" s="569"/>
      <c r="J94" s="24"/>
      <c r="K94" s="569"/>
      <c r="L94" s="569"/>
      <c r="M94" s="25"/>
    </row>
    <row r="95" spans="1:13" ht="23.25" thickBot="1" x14ac:dyDescent="0.35">
      <c r="A95" s="1142"/>
      <c r="B95" s="64" t="s">
        <v>488</v>
      </c>
      <c r="C95" s="119" t="s">
        <v>183</v>
      </c>
      <c r="D95" s="33" t="s">
        <v>104</v>
      </c>
      <c r="E95" s="488">
        <f>2.5/100</f>
        <v>2.5000000000000001E-2</v>
      </c>
      <c r="F95" s="707">
        <f>F93*E95</f>
        <v>2.5500000000000003</v>
      </c>
      <c r="G95" s="572"/>
      <c r="H95" s="67"/>
      <c r="I95" s="573"/>
      <c r="J95" s="573"/>
      <c r="K95" s="572"/>
      <c r="L95" s="572"/>
      <c r="M95" s="95"/>
    </row>
    <row r="96" spans="1:13" ht="45.75" thickBot="1" x14ac:dyDescent="0.3">
      <c r="A96" s="308"/>
      <c r="B96" s="309"/>
      <c r="C96" s="310" t="s">
        <v>462</v>
      </c>
      <c r="D96" s="310"/>
      <c r="E96" s="960"/>
      <c r="F96" s="640"/>
      <c r="G96" s="310"/>
      <c r="H96" s="310"/>
      <c r="I96" s="310"/>
      <c r="J96" s="310"/>
      <c r="K96" s="310"/>
      <c r="L96" s="310"/>
      <c r="M96" s="311"/>
    </row>
    <row r="97" spans="1:13" x14ac:dyDescent="0.25">
      <c r="A97" s="1119">
        <v>1</v>
      </c>
      <c r="B97" s="591" t="s">
        <v>170</v>
      </c>
      <c r="C97" s="171" t="s">
        <v>164</v>
      </c>
      <c r="D97" s="171" t="s">
        <v>88</v>
      </c>
      <c r="E97" s="172"/>
      <c r="F97" s="213">
        <v>12</v>
      </c>
      <c r="G97" s="726"/>
      <c r="H97" s="726"/>
      <c r="I97" s="726"/>
      <c r="J97" s="726"/>
      <c r="K97" s="726"/>
      <c r="L97" s="726"/>
      <c r="M97" s="727"/>
    </row>
    <row r="98" spans="1:13" x14ac:dyDescent="0.25">
      <c r="A98" s="1119"/>
      <c r="B98" s="177"/>
      <c r="C98" s="159" t="s">
        <v>63</v>
      </c>
      <c r="D98" s="158" t="s">
        <v>165</v>
      </c>
      <c r="E98" s="158">
        <v>1.1100000000000001</v>
      </c>
      <c r="F98" s="24">
        <f>F97*E98</f>
        <v>13.32</v>
      </c>
      <c r="G98" s="409"/>
      <c r="H98" s="409"/>
      <c r="I98" s="409"/>
      <c r="J98" s="409"/>
      <c r="K98" s="409"/>
      <c r="L98" s="409"/>
      <c r="M98" s="25"/>
    </row>
    <row r="99" spans="1:13" x14ac:dyDescent="0.25">
      <c r="A99" s="1119"/>
      <c r="B99" s="177"/>
      <c r="C99" s="159" t="s">
        <v>166</v>
      </c>
      <c r="D99" s="158" t="s">
        <v>78</v>
      </c>
      <c r="E99" s="158">
        <v>7.1000000000000004E-3</v>
      </c>
      <c r="F99" s="24">
        <f>E99*F97</f>
        <v>8.5199999999999998E-2</v>
      </c>
      <c r="G99" s="409"/>
      <c r="H99" s="409"/>
      <c r="I99" s="409"/>
      <c r="J99" s="409"/>
      <c r="K99" s="67"/>
      <c r="L99" s="409"/>
      <c r="M99" s="25"/>
    </row>
    <row r="100" spans="1:13" ht="22.5" x14ac:dyDescent="0.25">
      <c r="A100" s="1119"/>
      <c r="B100" s="45" t="s">
        <v>477</v>
      </c>
      <c r="C100" s="160" t="s">
        <v>173</v>
      </c>
      <c r="D100" s="158" t="s">
        <v>88</v>
      </c>
      <c r="E100" s="168">
        <v>1</v>
      </c>
      <c r="F100" s="24">
        <f>F97*E100</f>
        <v>12</v>
      </c>
      <c r="G100" s="409"/>
      <c r="H100" s="40"/>
      <c r="I100" s="409"/>
      <c r="J100" s="409"/>
      <c r="K100" s="409"/>
      <c r="L100" s="409"/>
      <c r="M100" s="25"/>
    </row>
    <row r="101" spans="1:13" ht="22.5" x14ac:dyDescent="0.25">
      <c r="A101" s="1119"/>
      <c r="B101" s="364" t="s">
        <v>478</v>
      </c>
      <c r="C101" s="165" t="s">
        <v>171</v>
      </c>
      <c r="D101" s="166" t="s">
        <v>62</v>
      </c>
      <c r="E101" s="166">
        <v>3.9E-2</v>
      </c>
      <c r="F101" s="24">
        <f>E101*F97</f>
        <v>0.46799999999999997</v>
      </c>
      <c r="G101" s="24"/>
      <c r="H101" s="40"/>
      <c r="I101" s="40"/>
      <c r="J101" s="40"/>
      <c r="K101" s="40"/>
      <c r="L101" s="40"/>
      <c r="M101" s="41"/>
    </row>
    <row r="102" spans="1:13" ht="22.5" x14ac:dyDescent="0.25">
      <c r="A102" s="1119"/>
      <c r="B102" s="679" t="s">
        <v>495</v>
      </c>
      <c r="C102" s="165" t="s">
        <v>172</v>
      </c>
      <c r="D102" s="166" t="s">
        <v>62</v>
      </c>
      <c r="E102" s="166">
        <v>5.9999999999999995E-4</v>
      </c>
      <c r="F102" s="24">
        <f>E102*F97</f>
        <v>7.1999999999999998E-3</v>
      </c>
      <c r="G102" s="24"/>
      <c r="H102" s="40"/>
      <c r="I102" s="40"/>
      <c r="J102" s="40"/>
      <c r="K102" s="40"/>
      <c r="L102" s="40"/>
      <c r="M102" s="41"/>
    </row>
    <row r="103" spans="1:13" ht="15.75" thickBot="1" x14ac:dyDescent="0.3">
      <c r="A103" s="1120"/>
      <c r="B103" s="115"/>
      <c r="C103" s="163" t="s">
        <v>119</v>
      </c>
      <c r="D103" s="162" t="s">
        <v>78</v>
      </c>
      <c r="E103" s="162">
        <v>9.6000000000000002E-2</v>
      </c>
      <c r="F103" s="27">
        <f>E103*F97</f>
        <v>1.1520000000000001</v>
      </c>
      <c r="G103" s="581"/>
      <c r="H103" s="581"/>
      <c r="I103" s="581"/>
      <c r="J103" s="581"/>
      <c r="K103" s="581"/>
      <c r="L103" s="581"/>
      <c r="M103" s="85"/>
    </row>
    <row r="104" spans="1:13" ht="30" x14ac:dyDescent="0.25">
      <c r="A104" s="1086">
        <v>2</v>
      </c>
      <c r="B104" s="322" t="s">
        <v>189</v>
      </c>
      <c r="C104" s="86" t="s">
        <v>393</v>
      </c>
      <c r="D104" s="19" t="s">
        <v>76</v>
      </c>
      <c r="E104" s="676"/>
      <c r="F104" s="19">
        <v>291</v>
      </c>
      <c r="G104" s="19"/>
      <c r="H104" s="19"/>
      <c r="I104" s="19"/>
      <c r="J104" s="19"/>
      <c r="K104" s="19"/>
      <c r="L104" s="19"/>
      <c r="M104" s="20"/>
    </row>
    <row r="105" spans="1:13" x14ac:dyDescent="0.25">
      <c r="A105" s="1087"/>
      <c r="B105" s="679"/>
      <c r="C105" s="37" t="s">
        <v>67</v>
      </c>
      <c r="D105" s="38" t="s">
        <v>68</v>
      </c>
      <c r="E105" s="39">
        <v>3.86</v>
      </c>
      <c r="F105" s="40">
        <f>F104*E105</f>
        <v>1123.26</v>
      </c>
      <c r="G105" s="75"/>
      <c r="H105" s="40"/>
      <c r="I105" s="40"/>
      <c r="J105" s="40"/>
      <c r="K105" s="40"/>
      <c r="L105" s="40"/>
      <c r="M105" s="41"/>
    </row>
    <row r="106" spans="1:13" ht="22.5" x14ac:dyDescent="0.25">
      <c r="A106" s="1087"/>
      <c r="B106" s="679" t="s">
        <v>494</v>
      </c>
      <c r="C106" s="37" t="s">
        <v>392</v>
      </c>
      <c r="D106" s="38" t="s">
        <v>71</v>
      </c>
      <c r="E106" s="39">
        <v>6</v>
      </c>
      <c r="F106" s="40">
        <f>F104*E106</f>
        <v>1746</v>
      </c>
      <c r="G106" s="40"/>
      <c r="H106" s="40"/>
      <c r="I106" s="40"/>
      <c r="J106" s="40"/>
      <c r="K106" s="40"/>
      <c r="L106" s="40"/>
      <c r="M106" s="41"/>
    </row>
    <row r="107" spans="1:13" ht="22.5" x14ac:dyDescent="0.25">
      <c r="A107" s="1087"/>
      <c r="B107" s="679" t="s">
        <v>573</v>
      </c>
      <c r="C107" s="42" t="s">
        <v>190</v>
      </c>
      <c r="D107" s="38" t="s">
        <v>76</v>
      </c>
      <c r="E107" s="39">
        <v>1</v>
      </c>
      <c r="F107" s="40">
        <f>F104*E107</f>
        <v>291</v>
      </c>
      <c r="G107" s="40"/>
      <c r="H107" s="40"/>
      <c r="I107" s="40"/>
      <c r="J107" s="40"/>
      <c r="K107" s="40"/>
      <c r="L107" s="40"/>
      <c r="M107" s="41"/>
    </row>
    <row r="108" spans="1:13" x14ac:dyDescent="0.25">
      <c r="A108" s="1087"/>
      <c r="B108" s="343"/>
      <c r="C108" s="37" t="s">
        <v>77</v>
      </c>
      <c r="D108" s="38" t="s">
        <v>78</v>
      </c>
      <c r="E108" s="39">
        <v>3.5999999999999997E-2</v>
      </c>
      <c r="F108" s="40">
        <f>F104*E108</f>
        <v>10.475999999999999</v>
      </c>
      <c r="G108" s="75"/>
      <c r="H108" s="40"/>
      <c r="I108" s="40"/>
      <c r="J108" s="40"/>
      <c r="K108" s="67"/>
      <c r="L108" s="40"/>
      <c r="M108" s="41"/>
    </row>
    <row r="109" spans="1:13" ht="15.75" thickBot="1" x14ac:dyDescent="0.3">
      <c r="A109" s="1088"/>
      <c r="B109" s="104"/>
      <c r="C109" s="47" t="s">
        <v>85</v>
      </c>
      <c r="D109" s="342" t="s">
        <v>78</v>
      </c>
      <c r="E109" s="48">
        <v>4.2999999999999997E-2</v>
      </c>
      <c r="F109" s="49">
        <f>F104*E109</f>
        <v>12.512999999999998</v>
      </c>
      <c r="G109" s="49"/>
      <c r="H109" s="49"/>
      <c r="I109" s="49"/>
      <c r="J109" s="49"/>
      <c r="K109" s="49"/>
      <c r="L109" s="49"/>
      <c r="M109" s="50"/>
    </row>
    <row r="110" spans="1:13" ht="45.75" thickBot="1" x14ac:dyDescent="0.3">
      <c r="A110" s="298"/>
      <c r="B110" s="299"/>
      <c r="C110" s="296" t="s">
        <v>463</v>
      </c>
      <c r="D110" s="300"/>
      <c r="E110" s="297"/>
      <c r="F110" s="580"/>
      <c r="G110" s="300"/>
      <c r="H110" s="300"/>
      <c r="I110" s="300"/>
      <c r="J110" s="300"/>
      <c r="K110" s="300"/>
      <c r="L110" s="300"/>
      <c r="M110" s="301"/>
    </row>
    <row r="111" spans="1:13" ht="45" x14ac:dyDescent="0.25">
      <c r="A111" s="1147">
        <v>1</v>
      </c>
      <c r="B111" s="181" t="s">
        <v>109</v>
      </c>
      <c r="C111" s="15" t="s">
        <v>108</v>
      </c>
      <c r="D111" s="16" t="s">
        <v>62</v>
      </c>
      <c r="E111" s="99"/>
      <c r="F111" s="60">
        <f>34*0.3*2.4</f>
        <v>24.479999999999997</v>
      </c>
      <c r="G111" s="53"/>
      <c r="H111" s="53"/>
      <c r="I111" s="53"/>
      <c r="J111" s="53"/>
      <c r="K111" s="53"/>
      <c r="L111" s="53"/>
      <c r="M111" s="54"/>
    </row>
    <row r="112" spans="1:13" x14ac:dyDescent="0.25">
      <c r="A112" s="1109"/>
      <c r="B112" s="688"/>
      <c r="C112" s="57" t="s">
        <v>63</v>
      </c>
      <c r="D112" s="22" t="s">
        <v>64</v>
      </c>
      <c r="E112" s="61">
        <v>3.4000000000000002E-2</v>
      </c>
      <c r="F112" s="24">
        <f>E112*F111</f>
        <v>0.83231999999999995</v>
      </c>
      <c r="G112" s="24"/>
      <c r="H112" s="24"/>
      <c r="I112" s="24"/>
      <c r="J112" s="24"/>
      <c r="K112" s="24"/>
      <c r="L112" s="24"/>
      <c r="M112" s="25"/>
    </row>
    <row r="113" spans="1:13" x14ac:dyDescent="0.25">
      <c r="A113" s="1110"/>
      <c r="B113" s="358"/>
      <c r="C113" s="94" t="s">
        <v>82</v>
      </c>
      <c r="D113" s="33" t="s">
        <v>78</v>
      </c>
      <c r="E113" s="66">
        <v>5.5999999999999999E-3</v>
      </c>
      <c r="F113" s="67">
        <f>E113*F111</f>
        <v>0.13708799999999999</v>
      </c>
      <c r="G113" s="67"/>
      <c r="H113" s="67"/>
      <c r="I113" s="67"/>
      <c r="J113" s="67"/>
      <c r="K113" s="67"/>
      <c r="L113" s="67"/>
      <c r="M113" s="25"/>
    </row>
    <row r="114" spans="1:13" ht="30.75" thickBot="1" x14ac:dyDescent="0.3">
      <c r="A114" s="1148"/>
      <c r="B114" s="355" t="s">
        <v>486</v>
      </c>
      <c r="C114" s="58" t="s">
        <v>103</v>
      </c>
      <c r="D114" s="17" t="s">
        <v>104</v>
      </c>
      <c r="E114" s="70">
        <v>8.0299999999999996E-2</v>
      </c>
      <c r="F114" s="27">
        <f>E114*F111</f>
        <v>1.9657439999999997</v>
      </c>
      <c r="G114" s="27"/>
      <c r="H114" s="27"/>
      <c r="I114" s="27"/>
      <c r="J114" s="27"/>
      <c r="K114" s="27"/>
      <c r="L114" s="27"/>
      <c r="M114" s="28"/>
    </row>
    <row r="115" spans="1:13" ht="30" x14ac:dyDescent="0.25">
      <c r="A115" s="1111">
        <v>2</v>
      </c>
      <c r="B115" s="1201" t="s">
        <v>105</v>
      </c>
      <c r="C115" s="15" t="s">
        <v>106</v>
      </c>
      <c r="D115" s="16" t="s">
        <v>62</v>
      </c>
      <c r="E115" s="721"/>
      <c r="F115" s="582">
        <f>(F111)*0.1</f>
        <v>2.448</v>
      </c>
      <c r="G115" s="53"/>
      <c r="H115" s="53"/>
      <c r="I115" s="53"/>
      <c r="J115" s="53"/>
      <c r="K115" s="53"/>
      <c r="L115" s="53"/>
      <c r="M115" s="54"/>
    </row>
    <row r="116" spans="1:13" ht="15.75" x14ac:dyDescent="0.3">
      <c r="A116" s="1112"/>
      <c r="B116" s="1202"/>
      <c r="C116" s="306" t="s">
        <v>107</v>
      </c>
      <c r="D116" s="307" t="s">
        <v>64</v>
      </c>
      <c r="E116" s="304">
        <v>2.06</v>
      </c>
      <c r="F116" s="583">
        <f>F115*E116</f>
        <v>5.0428800000000003</v>
      </c>
      <c r="G116" s="24"/>
      <c r="H116" s="24"/>
      <c r="I116" s="24"/>
      <c r="J116" s="24"/>
      <c r="K116" s="24"/>
      <c r="L116" s="24"/>
      <c r="M116" s="25"/>
    </row>
    <row r="117" spans="1:13" ht="15.75" thickBot="1" x14ac:dyDescent="0.3">
      <c r="A117" s="1152"/>
      <c r="B117" s="355" t="s">
        <v>480</v>
      </c>
      <c r="C117" s="590" t="s">
        <v>156</v>
      </c>
      <c r="D117" s="17" t="s">
        <v>65</v>
      </c>
      <c r="E117" s="70">
        <v>1.8</v>
      </c>
      <c r="F117" s="127">
        <f>E117*(F115+F111)</f>
        <v>48.470399999999998</v>
      </c>
      <c r="G117" s="27"/>
      <c r="H117" s="27"/>
      <c r="I117" s="27"/>
      <c r="J117" s="27"/>
      <c r="K117" s="27"/>
      <c r="L117" s="27"/>
      <c r="M117" s="28"/>
    </row>
    <row r="118" spans="1:13" ht="45" x14ac:dyDescent="0.25">
      <c r="A118" s="1116">
        <v>3</v>
      </c>
      <c r="B118" s="643" t="s">
        <v>168</v>
      </c>
      <c r="C118" s="16" t="s">
        <v>372</v>
      </c>
      <c r="D118" s="16" t="s">
        <v>158</v>
      </c>
      <c r="E118" s="161"/>
      <c r="F118" s="60">
        <f>2.4*34*0.2</f>
        <v>16.32</v>
      </c>
      <c r="G118" s="223"/>
      <c r="H118" s="223"/>
      <c r="I118" s="223"/>
      <c r="J118" s="223"/>
      <c r="K118" s="223"/>
      <c r="L118" s="223"/>
      <c r="M118" s="722"/>
    </row>
    <row r="119" spans="1:13" x14ac:dyDescent="0.25">
      <c r="A119" s="1117"/>
      <c r="B119" s="723"/>
      <c r="C119" s="121" t="s">
        <v>159</v>
      </c>
      <c r="D119" s="22" t="s">
        <v>64</v>
      </c>
      <c r="E119" s="158">
        <v>0.15</v>
      </c>
      <c r="F119" s="24">
        <f>E119*F118</f>
        <v>2.448</v>
      </c>
      <c r="G119" s="409"/>
      <c r="H119" s="409"/>
      <c r="I119" s="409"/>
      <c r="J119" s="409"/>
      <c r="K119" s="409"/>
      <c r="L119" s="409"/>
      <c r="M119" s="25"/>
    </row>
    <row r="120" spans="1:13" ht="22.5" x14ac:dyDescent="0.25">
      <c r="A120" s="1117"/>
      <c r="B120" s="45" t="s">
        <v>476</v>
      </c>
      <c r="C120" s="153" t="s">
        <v>155</v>
      </c>
      <c r="D120" s="117" t="s">
        <v>97</v>
      </c>
      <c r="E120" s="154">
        <v>2.1600000000000001E-2</v>
      </c>
      <c r="F120" s="409">
        <f>E120*F118</f>
        <v>0.35251200000000005</v>
      </c>
      <c r="G120" s="40"/>
      <c r="H120" s="40"/>
      <c r="I120" s="40"/>
      <c r="J120" s="40"/>
      <c r="K120" s="40"/>
      <c r="L120" s="40"/>
      <c r="M120" s="25"/>
    </row>
    <row r="121" spans="1:13" ht="22.5" x14ac:dyDescent="0.25">
      <c r="A121" s="1117"/>
      <c r="B121" s="45" t="s">
        <v>167</v>
      </c>
      <c r="C121" s="121" t="s">
        <v>160</v>
      </c>
      <c r="D121" s="22" t="s">
        <v>104</v>
      </c>
      <c r="E121" s="158">
        <v>2.7300000000000001E-2</v>
      </c>
      <c r="F121" s="24">
        <f>E121*F118</f>
        <v>0.44553600000000004</v>
      </c>
      <c r="G121" s="409"/>
      <c r="H121" s="409"/>
      <c r="I121" s="409"/>
      <c r="J121" s="409"/>
      <c r="K121" s="409"/>
      <c r="L121" s="40"/>
      <c r="M121" s="25"/>
    </row>
    <row r="122" spans="1:13" ht="22.5" x14ac:dyDescent="0.25">
      <c r="A122" s="1117"/>
      <c r="B122" s="45" t="s">
        <v>488</v>
      </c>
      <c r="C122" s="31" t="s">
        <v>161</v>
      </c>
      <c r="D122" s="22" t="s">
        <v>104</v>
      </c>
      <c r="E122" s="158">
        <v>9.7000000000000003E-3</v>
      </c>
      <c r="F122" s="24">
        <f>E122*F118</f>
        <v>0.158304</v>
      </c>
      <c r="G122" s="409"/>
      <c r="H122" s="409"/>
      <c r="I122" s="409"/>
      <c r="J122" s="409"/>
      <c r="K122" s="409"/>
      <c r="L122" s="40"/>
      <c r="M122" s="25"/>
    </row>
    <row r="123" spans="1:13" ht="22.5" x14ac:dyDescent="0.25">
      <c r="A123" s="1117"/>
      <c r="B123" s="679" t="s">
        <v>489</v>
      </c>
      <c r="C123" s="79" t="s">
        <v>94</v>
      </c>
      <c r="D123" s="80" t="s">
        <v>62</v>
      </c>
      <c r="E123" s="81">
        <v>1.22</v>
      </c>
      <c r="F123" s="83">
        <f>E123*F118</f>
        <v>19.910399999999999</v>
      </c>
      <c r="G123" s="83"/>
      <c r="H123" s="83"/>
      <c r="I123" s="83"/>
      <c r="J123" s="83"/>
      <c r="K123" s="83"/>
      <c r="L123" s="83"/>
      <c r="M123" s="84"/>
    </row>
    <row r="124" spans="1:13" ht="15.75" thickBot="1" x14ac:dyDescent="0.3">
      <c r="A124" s="1118"/>
      <c r="B124" s="507" t="s">
        <v>480</v>
      </c>
      <c r="C124" s="724" t="s">
        <v>664</v>
      </c>
      <c r="D124" s="17" t="s">
        <v>65</v>
      </c>
      <c r="E124" s="162">
        <v>1.55</v>
      </c>
      <c r="F124" s="127">
        <f>E124*F123</f>
        <v>30.86112</v>
      </c>
      <c r="G124" s="581"/>
      <c r="H124" s="581"/>
      <c r="I124" s="581"/>
      <c r="J124" s="581"/>
      <c r="K124" s="581"/>
      <c r="L124" s="581"/>
      <c r="M124" s="725"/>
    </row>
    <row r="125" spans="1:13" x14ac:dyDescent="0.25">
      <c r="A125" s="1119">
        <v>4</v>
      </c>
      <c r="B125" s="591" t="s">
        <v>170</v>
      </c>
      <c r="C125" s="171" t="s">
        <v>164</v>
      </c>
      <c r="D125" s="171" t="s">
        <v>88</v>
      </c>
      <c r="E125" s="172"/>
      <c r="F125" s="213">
        <v>28</v>
      </c>
      <c r="G125" s="726"/>
      <c r="H125" s="726"/>
      <c r="I125" s="726"/>
      <c r="J125" s="726"/>
      <c r="K125" s="726"/>
      <c r="L125" s="726"/>
      <c r="M125" s="727"/>
    </row>
    <row r="126" spans="1:13" x14ac:dyDescent="0.25">
      <c r="A126" s="1119"/>
      <c r="B126" s="177"/>
      <c r="C126" s="159" t="s">
        <v>63</v>
      </c>
      <c r="D126" s="158" t="s">
        <v>165</v>
      </c>
      <c r="E126" s="158">
        <v>1.1100000000000001</v>
      </c>
      <c r="F126" s="24">
        <f>F125*E126</f>
        <v>31.080000000000002</v>
      </c>
      <c r="G126" s="409"/>
      <c r="H126" s="409"/>
      <c r="I126" s="409"/>
      <c r="J126" s="409"/>
      <c r="K126" s="409"/>
      <c r="L126" s="409"/>
      <c r="M126" s="25"/>
    </row>
    <row r="127" spans="1:13" x14ac:dyDescent="0.25">
      <c r="A127" s="1119"/>
      <c r="B127" s="177"/>
      <c r="C127" s="159" t="s">
        <v>166</v>
      </c>
      <c r="D127" s="158" t="s">
        <v>78</v>
      </c>
      <c r="E127" s="158">
        <v>7.1000000000000004E-3</v>
      </c>
      <c r="F127" s="24">
        <f>E127*F125</f>
        <v>0.1988</v>
      </c>
      <c r="G127" s="409"/>
      <c r="H127" s="409"/>
      <c r="I127" s="409"/>
      <c r="J127" s="409"/>
      <c r="K127" s="67"/>
      <c r="L127" s="409"/>
      <c r="M127" s="25"/>
    </row>
    <row r="128" spans="1:13" ht="22.5" x14ac:dyDescent="0.25">
      <c r="A128" s="1119"/>
      <c r="B128" s="45" t="s">
        <v>477</v>
      </c>
      <c r="C128" s="160" t="s">
        <v>173</v>
      </c>
      <c r="D128" s="158" t="s">
        <v>88</v>
      </c>
      <c r="E128" s="168">
        <v>1</v>
      </c>
      <c r="F128" s="24">
        <f>F125*E128</f>
        <v>28</v>
      </c>
      <c r="G128" s="409"/>
      <c r="H128" s="40"/>
      <c r="I128" s="409"/>
      <c r="J128" s="409"/>
      <c r="K128" s="409"/>
      <c r="L128" s="409"/>
      <c r="M128" s="25"/>
    </row>
    <row r="129" spans="1:13" ht="22.5" x14ac:dyDescent="0.25">
      <c r="A129" s="1119"/>
      <c r="B129" s="364" t="s">
        <v>478</v>
      </c>
      <c r="C129" s="165" t="s">
        <v>171</v>
      </c>
      <c r="D129" s="166" t="s">
        <v>62</v>
      </c>
      <c r="E129" s="166">
        <v>3.9E-2</v>
      </c>
      <c r="F129" s="24">
        <f>E129*F125</f>
        <v>1.0920000000000001</v>
      </c>
      <c r="G129" s="24"/>
      <c r="H129" s="40"/>
      <c r="I129" s="40"/>
      <c r="J129" s="40"/>
      <c r="K129" s="40"/>
      <c r="L129" s="40"/>
      <c r="M129" s="41"/>
    </row>
    <row r="130" spans="1:13" ht="22.5" x14ac:dyDescent="0.25">
      <c r="A130" s="1119"/>
      <c r="B130" s="679" t="s">
        <v>495</v>
      </c>
      <c r="C130" s="165" t="s">
        <v>172</v>
      </c>
      <c r="D130" s="166" t="s">
        <v>62</v>
      </c>
      <c r="E130" s="166">
        <v>5.9999999999999995E-4</v>
      </c>
      <c r="F130" s="24">
        <f>E130*F125</f>
        <v>1.6799999999999999E-2</v>
      </c>
      <c r="G130" s="24"/>
      <c r="H130" s="40"/>
      <c r="I130" s="40"/>
      <c r="J130" s="40"/>
      <c r="K130" s="40"/>
      <c r="L130" s="40"/>
      <c r="M130" s="41"/>
    </row>
    <row r="131" spans="1:13" ht="15.75" thickBot="1" x14ac:dyDescent="0.3">
      <c r="A131" s="1120"/>
      <c r="B131" s="115"/>
      <c r="C131" s="163" t="s">
        <v>119</v>
      </c>
      <c r="D131" s="162" t="s">
        <v>78</v>
      </c>
      <c r="E131" s="162">
        <v>9.6000000000000002E-2</v>
      </c>
      <c r="F131" s="27">
        <f>E131*F125</f>
        <v>2.6880000000000002</v>
      </c>
      <c r="G131" s="581"/>
      <c r="H131" s="581"/>
      <c r="I131" s="581"/>
      <c r="J131" s="581"/>
      <c r="K131" s="581"/>
      <c r="L131" s="581"/>
      <c r="M131" s="85"/>
    </row>
    <row r="132" spans="1:13" ht="30" x14ac:dyDescent="0.25">
      <c r="A132" s="1124">
        <v>5</v>
      </c>
      <c r="B132" s="181" t="s">
        <v>182</v>
      </c>
      <c r="C132" s="15" t="s">
        <v>724</v>
      </c>
      <c r="D132" s="16" t="s">
        <v>76</v>
      </c>
      <c r="E132" s="736"/>
      <c r="F132" s="223">
        <f>34*1.5</f>
        <v>51</v>
      </c>
      <c r="G132" s="223"/>
      <c r="H132" s="223"/>
      <c r="I132" s="223"/>
      <c r="J132" s="223"/>
      <c r="K132" s="223"/>
      <c r="L132" s="223"/>
      <c r="M132" s="722"/>
    </row>
    <row r="133" spans="1:13" x14ac:dyDescent="0.25">
      <c r="A133" s="1119"/>
      <c r="B133" s="123"/>
      <c r="C133" s="21" t="s">
        <v>745</v>
      </c>
      <c r="D133" s="116" t="s">
        <v>64</v>
      </c>
      <c r="E133" s="737">
        <f>(405-10*4.64)/1000</f>
        <v>0.35860000000000003</v>
      </c>
      <c r="F133" s="409">
        <f>F132*E133</f>
        <v>18.288600000000002</v>
      </c>
      <c r="G133" s="409"/>
      <c r="H133" s="409"/>
      <c r="I133" s="409"/>
      <c r="J133" s="409"/>
      <c r="K133" s="409"/>
      <c r="L133" s="409"/>
      <c r="M133" s="25"/>
    </row>
    <row r="134" spans="1:13" ht="22.5" x14ac:dyDescent="0.25">
      <c r="A134" s="1119"/>
      <c r="B134" s="45" t="s">
        <v>488</v>
      </c>
      <c r="C134" s="121" t="s">
        <v>183</v>
      </c>
      <c r="D134" s="22" t="s">
        <v>104</v>
      </c>
      <c r="E134" s="155">
        <v>2.2599999999999999E-2</v>
      </c>
      <c r="F134" s="409">
        <f>F132*E134</f>
        <v>1.1525999999999998</v>
      </c>
      <c r="G134" s="409"/>
      <c r="H134" s="409"/>
      <c r="I134" s="409"/>
      <c r="J134" s="409"/>
      <c r="K134" s="409"/>
      <c r="L134" s="409"/>
      <c r="M134" s="25"/>
    </row>
    <row r="135" spans="1:13" x14ac:dyDescent="0.25">
      <c r="A135" s="1119"/>
      <c r="B135" s="123"/>
      <c r="C135" s="121" t="s">
        <v>166</v>
      </c>
      <c r="D135" s="116" t="s">
        <v>78</v>
      </c>
      <c r="E135" s="155">
        <f>(13.5-0.1*10)/1000</f>
        <v>1.2500000000000001E-2</v>
      </c>
      <c r="F135" s="409">
        <f>E135*F132</f>
        <v>0.63750000000000007</v>
      </c>
      <c r="G135" s="409"/>
      <c r="H135" s="409"/>
      <c r="I135" s="409"/>
      <c r="J135" s="409"/>
      <c r="K135" s="67"/>
      <c r="L135" s="409"/>
      <c r="M135" s="25"/>
    </row>
    <row r="136" spans="1:13" ht="22.5" x14ac:dyDescent="0.25">
      <c r="A136" s="1119"/>
      <c r="B136" s="679" t="s">
        <v>478</v>
      </c>
      <c r="C136" s="21" t="s">
        <v>185</v>
      </c>
      <c r="D136" s="22" t="s">
        <v>739</v>
      </c>
      <c r="E136" s="961">
        <f>0.1*1.015</f>
        <v>0.10149999999999999</v>
      </c>
      <c r="F136" s="409">
        <f>F132*E136</f>
        <v>5.1764999999999999</v>
      </c>
      <c r="G136" s="409"/>
      <c r="H136" s="40"/>
      <c r="I136" s="409"/>
      <c r="J136" s="409"/>
      <c r="K136" s="409"/>
      <c r="L136" s="409"/>
      <c r="M136" s="25"/>
    </row>
    <row r="137" spans="1:13" x14ac:dyDescent="0.25">
      <c r="A137" s="1119"/>
      <c r="B137" s="975" t="s">
        <v>681</v>
      </c>
      <c r="C137" s="21" t="s">
        <v>186</v>
      </c>
      <c r="D137" s="22" t="s">
        <v>88</v>
      </c>
      <c r="E137" s="295" t="s">
        <v>72</v>
      </c>
      <c r="F137" s="584">
        <v>220</v>
      </c>
      <c r="G137" s="409"/>
      <c r="H137" s="40"/>
      <c r="I137" s="409"/>
      <c r="J137" s="409"/>
      <c r="K137" s="409"/>
      <c r="L137" s="409"/>
      <c r="M137" s="25"/>
    </row>
    <row r="138" spans="1:13" x14ac:dyDescent="0.25">
      <c r="A138" s="1119"/>
      <c r="B138" s="123"/>
      <c r="C138" s="21" t="s">
        <v>187</v>
      </c>
      <c r="D138" s="22" t="s">
        <v>71</v>
      </c>
      <c r="E138" s="295" t="s">
        <v>72</v>
      </c>
      <c r="F138" s="584">
        <f>F132*0.05</f>
        <v>2.5500000000000003</v>
      </c>
      <c r="G138" s="409"/>
      <c r="H138" s="40"/>
      <c r="I138" s="409"/>
      <c r="J138" s="409"/>
      <c r="K138" s="409"/>
      <c r="L138" s="409"/>
      <c r="M138" s="25"/>
    </row>
    <row r="139" spans="1:13" ht="22.5" x14ac:dyDescent="0.25">
      <c r="A139" s="1119"/>
      <c r="B139" s="679" t="s">
        <v>492</v>
      </c>
      <c r="C139" s="21" t="s">
        <v>184</v>
      </c>
      <c r="D139" s="22" t="s">
        <v>76</v>
      </c>
      <c r="E139" s="175">
        <f>(11.7-0.59*10)/100</f>
        <v>5.7999999999999996E-2</v>
      </c>
      <c r="F139" s="409">
        <f>F132*E139</f>
        <v>2.9579999999999997</v>
      </c>
      <c r="G139" s="409"/>
      <c r="H139" s="40"/>
      <c r="I139" s="409"/>
      <c r="J139" s="409"/>
      <c r="K139" s="409"/>
      <c r="L139" s="409"/>
      <c r="M139" s="25"/>
    </row>
    <row r="140" spans="1:13" x14ac:dyDescent="0.25">
      <c r="A140" s="1119"/>
      <c r="B140" s="123"/>
      <c r="C140" s="57" t="s">
        <v>179</v>
      </c>
      <c r="D140" s="133" t="s">
        <v>62</v>
      </c>
      <c r="E140" s="168">
        <v>0.17799999999999999</v>
      </c>
      <c r="F140" s="409">
        <f>F132*E140</f>
        <v>9.0779999999999994</v>
      </c>
      <c r="G140" s="409"/>
      <c r="H140" s="40"/>
      <c r="I140" s="409"/>
      <c r="J140" s="409"/>
      <c r="K140" s="409"/>
      <c r="L140" s="409"/>
      <c r="M140" s="25"/>
    </row>
    <row r="141" spans="1:13" ht="15.75" thickBot="1" x14ac:dyDescent="0.3">
      <c r="A141" s="1120"/>
      <c r="B141" s="179"/>
      <c r="C141" s="58" t="s">
        <v>85</v>
      </c>
      <c r="D141" s="176" t="s">
        <v>78</v>
      </c>
      <c r="E141" s="739">
        <f>(6.4-0.19*10)/100</f>
        <v>4.4999999999999998E-2</v>
      </c>
      <c r="F141" s="581">
        <f>F132*E141</f>
        <v>2.2949999999999999</v>
      </c>
      <c r="G141" s="581"/>
      <c r="H141" s="49"/>
      <c r="I141" s="581"/>
      <c r="J141" s="581"/>
      <c r="K141" s="581"/>
      <c r="L141" s="581"/>
      <c r="M141" s="28"/>
    </row>
    <row r="142" spans="1:13" ht="45" x14ac:dyDescent="0.25">
      <c r="A142" s="1086">
        <v>6</v>
      </c>
      <c r="B142" s="672" t="s">
        <v>189</v>
      </c>
      <c r="C142" s="86" t="s">
        <v>188</v>
      </c>
      <c r="D142" s="19" t="s">
        <v>76</v>
      </c>
      <c r="E142" s="676"/>
      <c r="F142" s="19">
        <f>F132</f>
        <v>51</v>
      </c>
      <c r="G142" s="19"/>
      <c r="H142" s="19"/>
      <c r="I142" s="19"/>
      <c r="J142" s="19"/>
      <c r="K142" s="19"/>
      <c r="L142" s="19"/>
      <c r="M142" s="20"/>
    </row>
    <row r="143" spans="1:13" x14ac:dyDescent="0.25">
      <c r="A143" s="1087"/>
      <c r="B143" s="679"/>
      <c r="C143" s="37" t="s">
        <v>67</v>
      </c>
      <c r="D143" s="38" t="s">
        <v>68</v>
      </c>
      <c r="E143" s="39">
        <v>3.86</v>
      </c>
      <c r="F143" s="40">
        <f>F142*E143</f>
        <v>196.85999999999999</v>
      </c>
      <c r="G143" s="75"/>
      <c r="H143" s="40"/>
      <c r="I143" s="40"/>
      <c r="J143" s="40"/>
      <c r="K143" s="40"/>
      <c r="L143" s="40"/>
      <c r="M143" s="41"/>
    </row>
    <row r="144" spans="1:13" ht="22.5" x14ac:dyDescent="0.25">
      <c r="A144" s="1087"/>
      <c r="B144" s="679" t="s">
        <v>494</v>
      </c>
      <c r="C144" s="37" t="s">
        <v>112</v>
      </c>
      <c r="D144" s="38" t="s">
        <v>71</v>
      </c>
      <c r="E144" s="39">
        <v>18</v>
      </c>
      <c r="F144" s="40">
        <f>F142*E144</f>
        <v>918</v>
      </c>
      <c r="G144" s="40"/>
      <c r="H144" s="40"/>
      <c r="I144" s="40"/>
      <c r="J144" s="40"/>
      <c r="K144" s="40"/>
      <c r="L144" s="40"/>
      <c r="M144" s="41"/>
    </row>
    <row r="145" spans="1:13" ht="22.5" x14ac:dyDescent="0.25">
      <c r="A145" s="1087"/>
      <c r="B145" s="679" t="s">
        <v>573</v>
      </c>
      <c r="C145" s="42" t="s">
        <v>190</v>
      </c>
      <c r="D145" s="38" t="s">
        <v>76</v>
      </c>
      <c r="E145" s="39">
        <v>1</v>
      </c>
      <c r="F145" s="40">
        <f>F142*E145</f>
        <v>51</v>
      </c>
      <c r="G145" s="40"/>
      <c r="H145" s="40"/>
      <c r="I145" s="40"/>
      <c r="J145" s="40"/>
      <c r="K145" s="40"/>
      <c r="L145" s="40"/>
      <c r="M145" s="41"/>
    </row>
    <row r="146" spans="1:13" x14ac:dyDescent="0.25">
      <c r="A146" s="1087"/>
      <c r="B146" s="343"/>
      <c r="C146" s="37" t="s">
        <v>77</v>
      </c>
      <c r="D146" s="38" t="s">
        <v>78</v>
      </c>
      <c r="E146" s="39">
        <v>3.5999999999999997E-2</v>
      </c>
      <c r="F146" s="40">
        <f>F142*E146</f>
        <v>1.8359999999999999</v>
      </c>
      <c r="G146" s="75"/>
      <c r="H146" s="40"/>
      <c r="I146" s="40"/>
      <c r="J146" s="40"/>
      <c r="K146" s="67"/>
      <c r="L146" s="40"/>
      <c r="M146" s="41"/>
    </row>
    <row r="147" spans="1:13" ht="15.75" thickBot="1" x14ac:dyDescent="0.3">
      <c r="A147" s="1087"/>
      <c r="B147" s="233"/>
      <c r="C147" s="76" t="s">
        <v>85</v>
      </c>
      <c r="D147" s="675" t="s">
        <v>78</v>
      </c>
      <c r="E147" s="77">
        <v>4.2999999999999997E-2</v>
      </c>
      <c r="F147" s="68">
        <f>F142*E147</f>
        <v>2.1929999999999996</v>
      </c>
      <c r="G147" s="68"/>
      <c r="H147" s="68"/>
      <c r="I147" s="68"/>
      <c r="J147" s="68"/>
      <c r="K147" s="68"/>
      <c r="L147" s="68"/>
      <c r="M147" s="678"/>
    </row>
    <row r="148" spans="1:13" ht="45" x14ac:dyDescent="0.25">
      <c r="A148" s="1136">
        <v>7</v>
      </c>
      <c r="B148" s="607" t="s">
        <v>192</v>
      </c>
      <c r="C148" s="93" t="s">
        <v>196</v>
      </c>
      <c r="D148" s="93" t="s">
        <v>62</v>
      </c>
      <c r="E148" s="161"/>
      <c r="F148" s="60">
        <f>34*0.9*0.05</f>
        <v>1.5300000000000002</v>
      </c>
      <c r="G148" s="731"/>
      <c r="H148" s="731"/>
      <c r="I148" s="731"/>
      <c r="J148" s="731"/>
      <c r="K148" s="731"/>
      <c r="L148" s="731"/>
      <c r="M148" s="732"/>
    </row>
    <row r="149" spans="1:13" x14ac:dyDescent="0.25">
      <c r="A149" s="1137"/>
      <c r="B149" s="123"/>
      <c r="C149" s="159" t="s">
        <v>63</v>
      </c>
      <c r="D149" s="158" t="s">
        <v>165</v>
      </c>
      <c r="E149" s="158">
        <v>2.12</v>
      </c>
      <c r="F149" s="24">
        <f>F148*E149</f>
        <v>3.2436000000000007</v>
      </c>
      <c r="G149" s="409"/>
      <c r="H149" s="409"/>
      <c r="I149" s="40"/>
      <c r="J149" s="40"/>
      <c r="K149" s="409"/>
      <c r="L149" s="409"/>
      <c r="M149" s="41"/>
    </row>
    <row r="150" spans="1:13" x14ac:dyDescent="0.25">
      <c r="A150" s="1137"/>
      <c r="B150" s="123"/>
      <c r="C150" s="160" t="s">
        <v>166</v>
      </c>
      <c r="D150" s="158" t="s">
        <v>78</v>
      </c>
      <c r="E150" s="158">
        <v>0.10100000000000001</v>
      </c>
      <c r="F150" s="24">
        <f>E150*F148</f>
        <v>0.15453000000000003</v>
      </c>
      <c r="G150" s="409"/>
      <c r="H150" s="409"/>
      <c r="I150" s="409"/>
      <c r="J150" s="409"/>
      <c r="K150" s="24"/>
      <c r="L150" s="409"/>
      <c r="M150" s="41"/>
    </row>
    <row r="151" spans="1:13" ht="22.5" x14ac:dyDescent="0.25">
      <c r="A151" s="1137"/>
      <c r="B151" s="45" t="s">
        <v>491</v>
      </c>
      <c r="C151" s="159" t="s">
        <v>191</v>
      </c>
      <c r="D151" s="158" t="s">
        <v>62</v>
      </c>
      <c r="E151" s="158">
        <v>1.1000000000000001</v>
      </c>
      <c r="F151" s="24">
        <f>E151*F148</f>
        <v>1.6830000000000005</v>
      </c>
      <c r="G151" s="409"/>
      <c r="H151" s="409"/>
      <c r="I151" s="409"/>
      <c r="J151" s="409"/>
      <c r="K151" s="409"/>
      <c r="L151" s="409"/>
      <c r="M151" s="41"/>
    </row>
    <row r="152" spans="1:13" x14ac:dyDescent="0.25">
      <c r="A152" s="1137"/>
      <c r="B152" s="45" t="s">
        <v>480</v>
      </c>
      <c r="C152" s="605" t="s">
        <v>631</v>
      </c>
      <c r="D152" s="158" t="s">
        <v>65</v>
      </c>
      <c r="E152" s="158">
        <v>1.5</v>
      </c>
      <c r="F152" s="669">
        <f>E152*F151</f>
        <v>2.5245000000000006</v>
      </c>
      <c r="G152" s="409"/>
      <c r="H152" s="409"/>
      <c r="I152" s="409"/>
      <c r="J152" s="409"/>
      <c r="K152" s="409"/>
      <c r="L152" s="40"/>
      <c r="M152" s="25"/>
    </row>
    <row r="153" spans="1:13" ht="16.5" thickBot="1" x14ac:dyDescent="0.35">
      <c r="A153" s="1155"/>
      <c r="B153" s="740" t="s">
        <v>493</v>
      </c>
      <c r="C153" s="741" t="s">
        <v>194</v>
      </c>
      <c r="D153" s="571" t="s">
        <v>65</v>
      </c>
      <c r="E153" s="742">
        <f>E151*1.5*0.1</f>
        <v>0.16500000000000004</v>
      </c>
      <c r="F153" s="572">
        <f>E153*F148</f>
        <v>0.25245000000000012</v>
      </c>
      <c r="G153" s="572"/>
      <c r="H153" s="572"/>
      <c r="I153" s="572"/>
      <c r="J153" s="572"/>
      <c r="K153" s="572"/>
      <c r="L153" s="572"/>
      <c r="M153" s="678"/>
    </row>
    <row r="154" spans="1:13" ht="45" x14ac:dyDescent="0.25">
      <c r="A154" s="1136">
        <v>8</v>
      </c>
      <c r="B154" s="636" t="s">
        <v>195</v>
      </c>
      <c r="C154" s="93" t="s">
        <v>473</v>
      </c>
      <c r="D154" s="93" t="s">
        <v>76</v>
      </c>
      <c r="E154" s="161"/>
      <c r="F154" s="60">
        <f>34*0.9</f>
        <v>30.6</v>
      </c>
      <c r="G154" s="731"/>
      <c r="H154" s="731"/>
      <c r="I154" s="731"/>
      <c r="J154" s="731"/>
      <c r="K154" s="731"/>
      <c r="L154" s="731"/>
      <c r="M154" s="732"/>
    </row>
    <row r="155" spans="1:13" x14ac:dyDescent="0.25">
      <c r="A155" s="1137"/>
      <c r="B155" s="169"/>
      <c r="C155" s="159" t="s">
        <v>63</v>
      </c>
      <c r="D155" s="158" t="s">
        <v>165</v>
      </c>
      <c r="E155" s="158">
        <v>0.40200000000000002</v>
      </c>
      <c r="F155" s="24">
        <f>F154*E155</f>
        <v>12.301200000000001</v>
      </c>
      <c r="G155" s="409"/>
      <c r="H155" s="409"/>
      <c r="I155" s="40"/>
      <c r="J155" s="40"/>
      <c r="K155" s="409"/>
      <c r="L155" s="409"/>
      <c r="M155" s="41"/>
    </row>
    <row r="156" spans="1:13" x14ac:dyDescent="0.25">
      <c r="A156" s="1137"/>
      <c r="B156" s="169"/>
      <c r="C156" s="159" t="s">
        <v>166</v>
      </c>
      <c r="D156" s="158" t="s">
        <v>78</v>
      </c>
      <c r="E156" s="158">
        <v>0.129</v>
      </c>
      <c r="F156" s="24">
        <f>F154*E156</f>
        <v>3.9474000000000005</v>
      </c>
      <c r="G156" s="409"/>
      <c r="H156" s="409"/>
      <c r="I156" s="409"/>
      <c r="J156" s="409"/>
      <c r="K156" s="24"/>
      <c r="L156" s="409"/>
      <c r="M156" s="41"/>
    </row>
    <row r="157" spans="1:13" ht="30" x14ac:dyDescent="0.25">
      <c r="A157" s="1137"/>
      <c r="B157" s="169" t="s">
        <v>479</v>
      </c>
      <c r="C157" s="159" t="s">
        <v>474</v>
      </c>
      <c r="D157" s="158" t="s">
        <v>76</v>
      </c>
      <c r="E157" s="167">
        <v>1</v>
      </c>
      <c r="F157" s="24">
        <f>E157*F154</f>
        <v>30.6</v>
      </c>
      <c r="G157" s="409"/>
      <c r="H157" s="409"/>
      <c r="I157" s="409"/>
      <c r="J157" s="409"/>
      <c r="K157" s="409"/>
      <c r="L157" s="409"/>
      <c r="M157" s="41"/>
    </row>
    <row r="158" spans="1:13" ht="22.5" x14ac:dyDescent="0.25">
      <c r="A158" s="1137"/>
      <c r="B158" s="169" t="s">
        <v>491</v>
      </c>
      <c r="C158" s="159" t="s">
        <v>191</v>
      </c>
      <c r="D158" s="158" t="s">
        <v>62</v>
      </c>
      <c r="E158" s="158">
        <v>5.0000000000000001E-4</v>
      </c>
      <c r="F158" s="24">
        <f>E158*F154</f>
        <v>1.5300000000000001E-2</v>
      </c>
      <c r="G158" s="409"/>
      <c r="H158" s="409"/>
      <c r="I158" s="409"/>
      <c r="J158" s="409"/>
      <c r="K158" s="409"/>
      <c r="L158" s="409"/>
      <c r="M158" s="41"/>
    </row>
    <row r="159" spans="1:13" ht="15.75" thickBot="1" x14ac:dyDescent="0.3">
      <c r="A159" s="1138"/>
      <c r="B159" s="115" t="s">
        <v>480</v>
      </c>
      <c r="C159" s="586" t="s">
        <v>631</v>
      </c>
      <c r="D159" s="162" t="s">
        <v>65</v>
      </c>
      <c r="E159" s="162">
        <v>1.5</v>
      </c>
      <c r="F159" s="127">
        <f>E159*F158</f>
        <v>2.2950000000000002E-2</v>
      </c>
      <c r="G159" s="581"/>
      <c r="H159" s="581"/>
      <c r="I159" s="581"/>
      <c r="J159" s="581"/>
      <c r="K159" s="581"/>
      <c r="L159" s="49"/>
      <c r="M159" s="28"/>
    </row>
    <row r="160" spans="1:13" ht="15.75" thickBot="1" x14ac:dyDescent="0.3">
      <c r="A160" s="551"/>
      <c r="B160" s="552"/>
      <c r="C160" s="593" t="s">
        <v>113</v>
      </c>
      <c r="D160" s="553"/>
      <c r="E160" s="105"/>
      <c r="F160" s="554"/>
      <c r="G160" s="554"/>
      <c r="H160" s="554"/>
      <c r="I160" s="554"/>
      <c r="J160" s="554"/>
      <c r="K160" s="554"/>
      <c r="L160" s="554"/>
      <c r="M160" s="554"/>
    </row>
    <row r="161" spans="1:13" x14ac:dyDescent="0.25">
      <c r="A161" s="321"/>
      <c r="B161" s="322"/>
      <c r="C161" s="983" t="s">
        <v>672</v>
      </c>
      <c r="D161" s="35"/>
      <c r="E161" s="275"/>
      <c r="F161" s="19"/>
      <c r="G161" s="19"/>
      <c r="H161" s="19"/>
      <c r="I161" s="19"/>
      <c r="J161" s="19"/>
      <c r="K161" s="19"/>
      <c r="L161" s="19"/>
      <c r="M161" s="20"/>
    </row>
    <row r="162" spans="1:13" ht="45" x14ac:dyDescent="0.25">
      <c r="A162" s="135"/>
      <c r="B162" s="343"/>
      <c r="C162" s="121" t="s">
        <v>197</v>
      </c>
      <c r="D162" s="362" t="s">
        <v>757</v>
      </c>
      <c r="E162" s="39"/>
      <c r="F162" s="40"/>
      <c r="G162" s="40"/>
      <c r="H162" s="40"/>
      <c r="I162" s="75"/>
      <c r="J162" s="75"/>
      <c r="K162" s="75"/>
      <c r="L162" s="75"/>
      <c r="M162" s="41"/>
    </row>
    <row r="163" spans="1:13" x14ac:dyDescent="0.25">
      <c r="A163" s="135"/>
      <c r="B163" s="343"/>
      <c r="C163" s="594" t="s">
        <v>24</v>
      </c>
      <c r="D163" s="362"/>
      <c r="E163" s="39"/>
      <c r="F163" s="40"/>
      <c r="G163" s="40"/>
      <c r="H163" s="75"/>
      <c r="I163" s="75"/>
      <c r="J163" s="75"/>
      <c r="K163" s="75"/>
      <c r="L163" s="75"/>
      <c r="M163" s="597"/>
    </row>
    <row r="164" spans="1:13" x14ac:dyDescent="0.25">
      <c r="A164" s="135"/>
      <c r="B164" s="123"/>
      <c r="C164" s="21" t="s">
        <v>117</v>
      </c>
      <c r="D164" s="362" t="s">
        <v>757</v>
      </c>
      <c r="E164" s="61"/>
      <c r="F164" s="75"/>
      <c r="G164" s="75"/>
      <c r="H164" s="75"/>
      <c r="I164" s="40"/>
      <c r="J164" s="40"/>
      <c r="K164" s="40"/>
      <c r="L164" s="24"/>
      <c r="M164" s="25"/>
    </row>
    <row r="165" spans="1:13" x14ac:dyDescent="0.25">
      <c r="A165" s="135"/>
      <c r="B165" s="123"/>
      <c r="C165" s="595" t="s">
        <v>24</v>
      </c>
      <c r="D165" s="362"/>
      <c r="E165" s="61"/>
      <c r="F165" s="75"/>
      <c r="G165" s="75"/>
      <c r="H165" s="75"/>
      <c r="I165" s="40"/>
      <c r="J165" s="40"/>
      <c r="K165" s="40"/>
      <c r="L165" s="40"/>
      <c r="M165" s="118"/>
    </row>
    <row r="166" spans="1:13" x14ac:dyDescent="0.25">
      <c r="A166" s="135"/>
      <c r="B166" s="123"/>
      <c r="C166" s="21" t="s">
        <v>118</v>
      </c>
      <c r="D166" s="362" t="s">
        <v>757</v>
      </c>
      <c r="E166" s="61"/>
      <c r="F166" s="75"/>
      <c r="G166" s="75"/>
      <c r="H166" s="75"/>
      <c r="I166" s="40"/>
      <c r="J166" s="40"/>
      <c r="K166" s="40"/>
      <c r="L166" s="24"/>
      <c r="M166" s="25"/>
    </row>
    <row r="167" spans="1:13" s="765" customFormat="1" ht="15.75" thickBot="1" x14ac:dyDescent="0.3">
      <c r="A167" s="382"/>
      <c r="B167" s="126"/>
      <c r="C167" s="579" t="s">
        <v>24</v>
      </c>
      <c r="D167" s="383"/>
      <c r="E167" s="70"/>
      <c r="F167" s="193"/>
      <c r="G167" s="193"/>
      <c r="H167" s="193"/>
      <c r="I167" s="193"/>
      <c r="J167" s="193"/>
      <c r="K167" s="193"/>
      <c r="L167" s="127"/>
      <c r="M167" s="128"/>
    </row>
    <row r="168" spans="1:13" x14ac:dyDescent="0.25">
      <c r="A168" s="1027"/>
      <c r="B168" s="767"/>
      <c r="C168" s="728"/>
      <c r="D168" s="728"/>
      <c r="E168" s="728"/>
      <c r="F168" s="768"/>
      <c r="G168" s="769"/>
      <c r="H168" s="769"/>
      <c r="I168" s="769"/>
      <c r="J168" s="769"/>
      <c r="K168" s="769"/>
      <c r="L168" s="769"/>
      <c r="M168" s="769"/>
    </row>
    <row r="171" spans="1:13" x14ac:dyDescent="0.25">
      <c r="C171" s="771"/>
    </row>
  </sheetData>
  <protectedRanges>
    <protectedRange sqref="D160:G167" name="Range2"/>
    <protectedRange sqref="G9:M167" name="Range1"/>
  </protectedRanges>
  <autoFilter ref="A8:M167"/>
  <mergeCells count="42">
    <mergeCell ref="I5:J5"/>
    <mergeCell ref="K5:L5"/>
    <mergeCell ref="M5:M6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A104:A109"/>
    <mergeCell ref="A45:A50"/>
    <mergeCell ref="A39:A44"/>
    <mergeCell ref="A9:A12"/>
    <mergeCell ref="A13:A15"/>
    <mergeCell ref="A16:A22"/>
    <mergeCell ref="A23:A29"/>
    <mergeCell ref="A30:A38"/>
    <mergeCell ref="A111:A114"/>
    <mergeCell ref="A115:A117"/>
    <mergeCell ref="A132:A141"/>
    <mergeCell ref="A93:A95"/>
    <mergeCell ref="B13:B14"/>
    <mergeCell ref="B115:B116"/>
    <mergeCell ref="A53:A56"/>
    <mergeCell ref="B57:B58"/>
    <mergeCell ref="A60:A66"/>
    <mergeCell ref="A67:A73"/>
    <mergeCell ref="A57:A59"/>
    <mergeCell ref="A74:A79"/>
    <mergeCell ref="A80:A83"/>
    <mergeCell ref="A84:A88"/>
    <mergeCell ref="A90:A92"/>
    <mergeCell ref="A97:A103"/>
    <mergeCell ref="A154:A159"/>
    <mergeCell ref="A142:A147"/>
    <mergeCell ref="A118:A124"/>
    <mergeCell ref="A148:A153"/>
    <mergeCell ref="A125:A131"/>
  </mergeCells>
  <conditionalFormatting sqref="B10:F14 B20 B32 B64 B122 B134 F34:F38">
    <cfRule type="cellIs" dxfId="90" priority="61" stopIfTrue="1" operator="equal">
      <formula>8223.307275</formula>
    </cfRule>
  </conditionalFormatting>
  <conditionalFormatting sqref="B18:F18 B62 B120">
    <cfRule type="cellIs" dxfId="89" priority="60" stopIfTrue="1" operator="equal">
      <formula>8223.307275</formula>
    </cfRule>
  </conditionalFormatting>
  <conditionalFormatting sqref="E30:F30 E32:F33 F31">
    <cfRule type="cellIs" dxfId="88" priority="56" stopIfTrue="1" operator="equal">
      <formula>8223.307275</formula>
    </cfRule>
  </conditionalFormatting>
  <conditionalFormatting sqref="C62:F62">
    <cfRule type="cellIs" dxfId="87" priority="48" stopIfTrue="1" operator="equal">
      <formula>8223.307275</formula>
    </cfRule>
  </conditionalFormatting>
  <conditionalFormatting sqref="B54:F58">
    <cfRule type="cellIs" dxfId="86" priority="49" stopIfTrue="1" operator="equal">
      <formula>8223.307275</formula>
    </cfRule>
  </conditionalFormatting>
  <conditionalFormatting sqref="B112:F116 B121">
    <cfRule type="cellIs" dxfId="85" priority="39" stopIfTrue="1" operator="equal">
      <formula>8223.307275</formula>
    </cfRule>
  </conditionalFormatting>
  <conditionalFormatting sqref="C32:F33 D30:F30 C31:D31 F31 C34:D38 F34:F38">
    <cfRule type="cellIs" dxfId="84" priority="57" stopIfTrue="1" operator="equal">
      <formula>0</formula>
    </cfRule>
  </conditionalFormatting>
  <conditionalFormatting sqref="C120:F120">
    <cfRule type="cellIs" dxfId="83" priority="37" stopIfTrue="1" operator="equal">
      <formula>8223.307275</formula>
    </cfRule>
  </conditionalFormatting>
  <conditionalFormatting sqref="E132:F132 E134:F134 F133 F135:F141">
    <cfRule type="cellIs" dxfId="82" priority="35" stopIfTrue="1" operator="equal">
      <formula>8223.307275</formula>
    </cfRule>
  </conditionalFormatting>
  <conditionalFormatting sqref="C132:F132 C134:F134 C133:D133 F133 C135:D141 F135:F141">
    <cfRule type="cellIs" dxfId="81" priority="36" stopIfTrue="1" operator="equal">
      <formula>0</formula>
    </cfRule>
  </conditionalFormatting>
  <conditionalFormatting sqref="B19">
    <cfRule type="cellIs" dxfId="80" priority="24" stopIfTrue="1" operator="equal">
      <formula>8223.307275</formula>
    </cfRule>
  </conditionalFormatting>
  <conditionalFormatting sqref="B63">
    <cfRule type="cellIs" dxfId="79" priority="23" stopIfTrue="1" operator="equal">
      <formula>8223.307275</formula>
    </cfRule>
  </conditionalFormatting>
  <conditionalFormatting sqref="C30">
    <cfRule type="cellIs" dxfId="78" priority="22" stopIfTrue="1" operator="equal">
      <formula>0</formula>
    </cfRule>
  </conditionalFormatting>
  <conditionalFormatting sqref="E31">
    <cfRule type="cellIs" dxfId="77" priority="20" stopIfTrue="1" operator="equal">
      <formula>8223.307275</formula>
    </cfRule>
  </conditionalFormatting>
  <conditionalFormatting sqref="E31">
    <cfRule type="cellIs" dxfId="76" priority="21" stopIfTrue="1" operator="equal">
      <formula>0</formula>
    </cfRule>
  </conditionalFormatting>
  <conditionalFormatting sqref="E37">
    <cfRule type="cellIs" dxfId="75" priority="16" stopIfTrue="1" operator="equal">
      <formula>8223.307275</formula>
    </cfRule>
  </conditionalFormatting>
  <conditionalFormatting sqref="E37">
    <cfRule type="cellIs" dxfId="74" priority="17" stopIfTrue="1" operator="equal">
      <formula>0</formula>
    </cfRule>
  </conditionalFormatting>
  <conditionalFormatting sqref="E38">
    <cfRule type="cellIs" dxfId="73" priority="14" stopIfTrue="1" operator="equal">
      <formula>8223.307275</formula>
    </cfRule>
  </conditionalFormatting>
  <conditionalFormatting sqref="E38">
    <cfRule type="cellIs" dxfId="72" priority="15" stopIfTrue="1" operator="equal">
      <formula>0</formula>
    </cfRule>
  </conditionalFormatting>
  <conditionalFormatting sqref="B45">
    <cfRule type="cellIs" dxfId="71" priority="13" stopIfTrue="1" operator="equal">
      <formula>8223.307275</formula>
    </cfRule>
  </conditionalFormatting>
  <conditionalFormatting sqref="E135">
    <cfRule type="cellIs" dxfId="70" priority="7" stopIfTrue="1" operator="equal">
      <formula>8223.307275</formula>
    </cfRule>
  </conditionalFormatting>
  <conditionalFormatting sqref="B95">
    <cfRule type="cellIs" dxfId="69" priority="12" stopIfTrue="1" operator="equal">
      <formula>8223.307275</formula>
    </cfRule>
  </conditionalFormatting>
  <conditionalFormatting sqref="C95:D95">
    <cfRule type="cellIs" dxfId="68" priority="11" stopIfTrue="1" operator="equal">
      <formula>0</formula>
    </cfRule>
  </conditionalFormatting>
  <conditionalFormatting sqref="E133">
    <cfRule type="cellIs" dxfId="67" priority="9" stopIfTrue="1" operator="equal">
      <formula>8223.307275</formula>
    </cfRule>
  </conditionalFormatting>
  <conditionalFormatting sqref="E133">
    <cfRule type="cellIs" dxfId="66" priority="10" stopIfTrue="1" operator="equal">
      <formula>0</formula>
    </cfRule>
  </conditionalFormatting>
  <conditionalFormatting sqref="E141">
    <cfRule type="cellIs" dxfId="65" priority="1" stopIfTrue="1" operator="equal">
      <formula>8223.307275</formula>
    </cfRule>
  </conditionalFormatting>
  <conditionalFormatting sqref="E135">
    <cfRule type="cellIs" dxfId="64" priority="8" stopIfTrue="1" operator="equal">
      <formula>0</formula>
    </cfRule>
  </conditionalFormatting>
  <conditionalFormatting sqref="E140">
    <cfRule type="cellIs" dxfId="63" priority="5" stopIfTrue="1" operator="equal">
      <formula>8223.307275</formula>
    </cfRule>
  </conditionalFormatting>
  <conditionalFormatting sqref="E140">
    <cfRule type="cellIs" dxfId="62" priority="6" stopIfTrue="1" operator="equal">
      <formula>0</formula>
    </cfRule>
  </conditionalFormatting>
  <conditionalFormatting sqref="E139">
    <cfRule type="cellIs" dxfId="61" priority="3" stopIfTrue="1" operator="equal">
      <formula>8223.307275</formula>
    </cfRule>
  </conditionalFormatting>
  <conditionalFormatting sqref="E139">
    <cfRule type="cellIs" dxfId="60" priority="4" stopIfTrue="1" operator="equal">
      <formula>0</formula>
    </cfRule>
  </conditionalFormatting>
  <conditionalFormatting sqref="E141">
    <cfRule type="cellIs" dxfId="59" priority="2" stopIfTrue="1" operator="equal">
      <formula>0</formula>
    </cfRule>
  </conditionalFormatting>
  <pageMargins left="1.0629921259842521" right="0" top="0.39370078740157483" bottom="0.23622047244094491" header="0.15748031496062992" footer="0.15748031496062992"/>
  <pageSetup paperSize="9" scale="90" orientation="landscape" horizontalDpi="4294967295" verticalDpi="4294967295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6"/>
  <sheetViews>
    <sheetView view="pageBreakPreview" topLeftCell="A25" zoomScaleNormal="120" zoomScaleSheetLayoutView="100" workbookViewId="0">
      <selection activeCell="D47" sqref="D47:H53"/>
    </sheetView>
  </sheetViews>
  <sheetFormatPr defaultRowHeight="15" x14ac:dyDescent="0.25"/>
  <cols>
    <col min="1" max="1" width="4" style="766" customWidth="1"/>
    <col min="2" max="2" width="8.7109375" style="767" customWidth="1"/>
    <col min="3" max="3" width="49.85546875" style="728" customWidth="1"/>
    <col min="4" max="4" width="9.140625" style="728"/>
    <col min="5" max="5" width="7.42578125" style="728" bestFit="1" customWidth="1"/>
    <col min="6" max="6" width="10" style="768" bestFit="1" customWidth="1"/>
    <col min="7" max="7" width="6.5703125" style="769" bestFit="1" customWidth="1"/>
    <col min="8" max="8" width="11.140625" style="769" customWidth="1"/>
    <col min="9" max="9" width="6.5703125" style="769" bestFit="1" customWidth="1"/>
    <col min="10" max="10" width="11.5703125" style="769" customWidth="1"/>
    <col min="11" max="12" width="7.5703125" style="769" bestFit="1" customWidth="1"/>
    <col min="13" max="13" width="12.5703125" style="769" bestFit="1" customWidth="1"/>
    <col min="14" max="16384" width="9.140625" style="728"/>
  </cols>
  <sheetData>
    <row r="1" spans="1:13" ht="15" customHeight="1" x14ac:dyDescent="0.25">
      <c r="B1" s="1073" t="s">
        <v>643</v>
      </c>
      <c r="C1" s="1073"/>
      <c r="D1" s="1073"/>
      <c r="E1" s="1073"/>
      <c r="F1" s="1073"/>
      <c r="G1" s="1073"/>
      <c r="H1" s="1073"/>
      <c r="I1" s="1073"/>
      <c r="J1" s="1073"/>
      <c r="K1" s="1073"/>
      <c r="L1" s="1073"/>
    </row>
    <row r="2" spans="1:13" x14ac:dyDescent="0.25">
      <c r="B2" s="1090" t="s">
        <v>386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x14ac:dyDescent="0.25">
      <c r="A3" s="12"/>
      <c r="B3" s="1091" t="s">
        <v>400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6.5" customHeight="1" thickBot="1" x14ac:dyDescent="0.35">
      <c r="A4" s="1092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.7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3">
      <c r="A6" s="1095"/>
      <c r="B6" s="1097"/>
      <c r="C6" s="1099"/>
      <c r="D6" s="1099"/>
      <c r="E6" s="77" t="s">
        <v>399</v>
      </c>
      <c r="F6" s="68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773" customFormat="1" ht="15.75" thickBot="1" x14ac:dyDescent="0.3">
      <c r="A7" s="1071"/>
      <c r="B7" s="188" t="s">
        <v>60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89">
        <v>9</v>
      </c>
      <c r="J7" s="189">
        <v>10</v>
      </c>
      <c r="K7" s="189">
        <v>11</v>
      </c>
      <c r="L7" s="189">
        <v>12</v>
      </c>
      <c r="M7" s="190">
        <v>13</v>
      </c>
    </row>
    <row r="8" spans="1:13" ht="30" x14ac:dyDescent="0.25">
      <c r="A8" s="1139">
        <v>1</v>
      </c>
      <c r="B8" s="322" t="s">
        <v>99</v>
      </c>
      <c r="C8" s="86" t="s">
        <v>574</v>
      </c>
      <c r="D8" s="19" t="s">
        <v>76</v>
      </c>
      <c r="E8" s="36"/>
      <c r="F8" s="19">
        <v>24</v>
      </c>
      <c r="G8" s="19"/>
      <c r="H8" s="19"/>
      <c r="I8" s="19"/>
      <c r="J8" s="19"/>
      <c r="K8" s="19"/>
      <c r="L8" s="19"/>
      <c r="M8" s="20"/>
    </row>
    <row r="9" spans="1:13" x14ac:dyDescent="0.25">
      <c r="A9" s="1140"/>
      <c r="B9" s="679"/>
      <c r="C9" s="37" t="s">
        <v>67</v>
      </c>
      <c r="D9" s="38" t="s">
        <v>68</v>
      </c>
      <c r="E9" s="39">
        <v>0.25</v>
      </c>
      <c r="F9" s="40">
        <f>E9*F8</f>
        <v>6</v>
      </c>
      <c r="G9" s="40"/>
      <c r="H9" s="40"/>
      <c r="I9" s="40"/>
      <c r="J9" s="40"/>
      <c r="K9" s="40"/>
      <c r="L9" s="40"/>
      <c r="M9" s="41"/>
    </row>
    <row r="10" spans="1:13" ht="22.5" x14ac:dyDescent="0.25">
      <c r="A10" s="1140"/>
      <c r="B10" s="679" t="s">
        <v>495</v>
      </c>
      <c r="C10" s="37" t="s">
        <v>101</v>
      </c>
      <c r="D10" s="38" t="s">
        <v>62</v>
      </c>
      <c r="E10" s="39">
        <v>8.0000000000000002E-3</v>
      </c>
      <c r="F10" s="40">
        <f>E10*F8</f>
        <v>0.192</v>
      </c>
      <c r="G10" s="55"/>
      <c r="H10" s="40"/>
      <c r="I10" s="40"/>
      <c r="J10" s="40"/>
      <c r="K10" s="40"/>
      <c r="L10" s="40"/>
      <c r="M10" s="41"/>
    </row>
    <row r="11" spans="1:13" ht="30" x14ac:dyDescent="0.25">
      <c r="A11" s="1140"/>
      <c r="B11" s="679" t="s">
        <v>577</v>
      </c>
      <c r="C11" s="42" t="s">
        <v>102</v>
      </c>
      <c r="D11" s="38" t="s">
        <v>71</v>
      </c>
      <c r="E11" s="39">
        <v>0.63</v>
      </c>
      <c r="F11" s="40">
        <f>E11*F8</f>
        <v>15.120000000000001</v>
      </c>
      <c r="G11" s="40"/>
      <c r="H11" s="40"/>
      <c r="I11" s="40"/>
      <c r="J11" s="40"/>
      <c r="K11" s="40"/>
      <c r="L11" s="40"/>
      <c r="M11" s="41"/>
    </row>
    <row r="12" spans="1:13" x14ac:dyDescent="0.25">
      <c r="A12" s="1140"/>
      <c r="B12" s="679"/>
      <c r="C12" s="37" t="s">
        <v>77</v>
      </c>
      <c r="D12" s="38" t="s">
        <v>78</v>
      </c>
      <c r="E12" s="39">
        <v>0.08</v>
      </c>
      <c r="F12" s="40">
        <f>E12*F8</f>
        <v>1.92</v>
      </c>
      <c r="G12" s="75"/>
      <c r="H12" s="40"/>
      <c r="I12" s="40"/>
      <c r="J12" s="40"/>
      <c r="K12" s="40"/>
      <c r="L12" s="40"/>
      <c r="M12" s="41"/>
    </row>
    <row r="13" spans="1:13" ht="15.75" thickBot="1" x14ac:dyDescent="0.3">
      <c r="A13" s="1141"/>
      <c r="B13" s="355"/>
      <c r="C13" s="47" t="s">
        <v>85</v>
      </c>
      <c r="D13" s="342" t="s">
        <v>78</v>
      </c>
      <c r="E13" s="48">
        <v>4.1999999999999997E-3</v>
      </c>
      <c r="F13" s="49">
        <f>E13*F8</f>
        <v>0.1008</v>
      </c>
      <c r="G13" s="49"/>
      <c r="H13" s="49"/>
      <c r="I13" s="49"/>
      <c r="J13" s="49"/>
      <c r="K13" s="49"/>
      <c r="L13" s="49"/>
      <c r="M13" s="50"/>
    </row>
    <row r="14" spans="1:13" ht="30" x14ac:dyDescent="0.25">
      <c r="A14" s="1153">
        <v>2</v>
      </c>
      <c r="B14" s="681" t="s">
        <v>81</v>
      </c>
      <c r="C14" s="16" t="s">
        <v>575</v>
      </c>
      <c r="D14" s="51" t="s">
        <v>62</v>
      </c>
      <c r="E14" s="99"/>
      <c r="F14" s="60">
        <v>4.32</v>
      </c>
      <c r="G14" s="53"/>
      <c r="H14" s="53"/>
      <c r="I14" s="53"/>
      <c r="J14" s="53"/>
      <c r="K14" s="53"/>
      <c r="L14" s="53"/>
      <c r="M14" s="54"/>
    </row>
    <row r="15" spans="1:13" x14ac:dyDescent="0.25">
      <c r="A15" s="1154"/>
      <c r="B15" s="688"/>
      <c r="C15" s="31" t="s">
        <v>63</v>
      </c>
      <c r="D15" s="22" t="s">
        <v>64</v>
      </c>
      <c r="E15" s="61">
        <v>4.2300000000000004</v>
      </c>
      <c r="F15" s="24">
        <f>F14*E15</f>
        <v>18.273600000000002</v>
      </c>
      <c r="G15" s="24"/>
      <c r="H15" s="24"/>
      <c r="I15" s="40"/>
      <c r="J15" s="24"/>
      <c r="K15" s="24"/>
      <c r="L15" s="24"/>
      <c r="M15" s="25"/>
    </row>
    <row r="16" spans="1:13" x14ac:dyDescent="0.25">
      <c r="A16" s="1154"/>
      <c r="B16" s="688"/>
      <c r="C16" s="31" t="s">
        <v>82</v>
      </c>
      <c r="D16" s="22" t="s">
        <v>78</v>
      </c>
      <c r="E16" s="61">
        <v>0.78</v>
      </c>
      <c r="F16" s="24">
        <f>F14*E16</f>
        <v>3.3696000000000002</v>
      </c>
      <c r="G16" s="24"/>
      <c r="H16" s="24"/>
      <c r="I16" s="24"/>
      <c r="J16" s="24"/>
      <c r="K16" s="24"/>
      <c r="L16" s="24"/>
      <c r="M16" s="25"/>
    </row>
    <row r="17" spans="1:13" ht="22.5" x14ac:dyDescent="0.25">
      <c r="A17" s="1154"/>
      <c r="B17" s="679" t="s">
        <v>578</v>
      </c>
      <c r="C17" s="31" t="s">
        <v>83</v>
      </c>
      <c r="D17" s="22" t="s">
        <v>62</v>
      </c>
      <c r="E17" s="61">
        <v>0.23</v>
      </c>
      <c r="F17" s="24">
        <f>F14*E17</f>
        <v>0.99360000000000015</v>
      </c>
      <c r="G17" s="55"/>
      <c r="H17" s="24"/>
      <c r="I17" s="24"/>
      <c r="J17" s="24"/>
      <c r="K17" s="24"/>
      <c r="L17" s="24"/>
      <c r="M17" s="25"/>
    </row>
    <row r="18" spans="1:13" x14ac:dyDescent="0.25">
      <c r="A18" s="1154"/>
      <c r="B18" s="688" t="s">
        <v>576</v>
      </c>
      <c r="C18" s="31" t="s">
        <v>401</v>
      </c>
      <c r="D18" s="22" t="s">
        <v>84</v>
      </c>
      <c r="E18" s="24">
        <v>384</v>
      </c>
      <c r="F18" s="24">
        <f>E18*F14</f>
        <v>1658.88</v>
      </c>
      <c r="G18" s="24"/>
      <c r="H18" s="24"/>
      <c r="I18" s="24"/>
      <c r="J18" s="24"/>
      <c r="K18" s="24"/>
      <c r="L18" s="24"/>
      <c r="M18" s="25"/>
    </row>
    <row r="19" spans="1:13" ht="15.75" thickBot="1" x14ac:dyDescent="0.3">
      <c r="A19" s="1157"/>
      <c r="B19" s="685"/>
      <c r="C19" s="56" t="s">
        <v>85</v>
      </c>
      <c r="D19" s="17" t="s">
        <v>78</v>
      </c>
      <c r="E19" s="70">
        <v>0.17</v>
      </c>
      <c r="F19" s="27">
        <f>F14*E19</f>
        <v>0.73440000000000005</v>
      </c>
      <c r="G19" s="27"/>
      <c r="H19" s="27"/>
      <c r="I19" s="27"/>
      <c r="J19" s="27"/>
      <c r="K19" s="27"/>
      <c r="L19" s="27"/>
      <c r="M19" s="28"/>
    </row>
    <row r="20" spans="1:13" ht="30" x14ac:dyDescent="0.25">
      <c r="A20" s="1139">
        <v>3</v>
      </c>
      <c r="B20" s="181" t="s">
        <v>684</v>
      </c>
      <c r="C20" s="204" t="s">
        <v>402</v>
      </c>
      <c r="D20" s="152" t="s">
        <v>76</v>
      </c>
      <c r="E20" s="164"/>
      <c r="F20" s="60">
        <v>14</v>
      </c>
      <c r="G20" s="731"/>
      <c r="H20" s="731"/>
      <c r="I20" s="731"/>
      <c r="J20" s="731"/>
      <c r="K20" s="731"/>
      <c r="L20" s="676"/>
      <c r="M20" s="125"/>
    </row>
    <row r="21" spans="1:13" ht="15.75" x14ac:dyDescent="0.3">
      <c r="A21" s="1140"/>
      <c r="B21" s="134"/>
      <c r="C21" s="198" t="s">
        <v>114</v>
      </c>
      <c r="D21" s="122" t="s">
        <v>68</v>
      </c>
      <c r="E21" s="167">
        <v>8.9</v>
      </c>
      <c r="F21" s="409">
        <f>E21*F20</f>
        <v>124.60000000000001</v>
      </c>
      <c r="G21" s="409"/>
      <c r="H21" s="409"/>
      <c r="I21" s="40"/>
      <c r="J21" s="409"/>
      <c r="K21" s="409"/>
      <c r="L21" s="409"/>
      <c r="M21" s="32"/>
    </row>
    <row r="22" spans="1:13" ht="15.75" x14ac:dyDescent="0.3">
      <c r="A22" s="1140"/>
      <c r="B22" s="134"/>
      <c r="C22" s="198" t="s">
        <v>166</v>
      </c>
      <c r="D22" s="122" t="s">
        <v>78</v>
      </c>
      <c r="E22" s="167">
        <v>0.13</v>
      </c>
      <c r="F22" s="409">
        <f>E22*F20</f>
        <v>1.82</v>
      </c>
      <c r="G22" s="409"/>
      <c r="H22" s="409"/>
      <c r="I22" s="23"/>
      <c r="J22" s="23"/>
      <c r="K22" s="23"/>
      <c r="L22" s="23"/>
      <c r="M22" s="32"/>
    </row>
    <row r="23" spans="1:13" ht="22.5" x14ac:dyDescent="0.25">
      <c r="A23" s="1140"/>
      <c r="B23" s="679" t="s">
        <v>513</v>
      </c>
      <c r="C23" s="367" t="s">
        <v>685</v>
      </c>
      <c r="D23" s="200" t="s">
        <v>62</v>
      </c>
      <c r="E23" s="155">
        <v>3.5999999999999997E-2</v>
      </c>
      <c r="F23" s="409">
        <f>E23*F20</f>
        <v>0.504</v>
      </c>
      <c r="G23" s="40"/>
      <c r="H23" s="40"/>
      <c r="I23" s="40"/>
      <c r="J23" s="40"/>
      <c r="K23" s="40"/>
      <c r="L23" s="40"/>
      <c r="M23" s="41"/>
    </row>
    <row r="24" spans="1:13" x14ac:dyDescent="0.25">
      <c r="A24" s="1140"/>
      <c r="B24" s="201" t="s">
        <v>482</v>
      </c>
      <c r="C24" s="197" t="s">
        <v>429</v>
      </c>
      <c r="D24" s="200" t="s">
        <v>76</v>
      </c>
      <c r="E24" s="155">
        <v>0.97</v>
      </c>
      <c r="F24" s="409">
        <f>E24*F20</f>
        <v>13.58</v>
      </c>
      <c r="G24" s="40"/>
      <c r="H24" s="40"/>
      <c r="I24" s="40"/>
      <c r="J24" s="40"/>
      <c r="K24" s="40"/>
      <c r="L24" s="40"/>
      <c r="M24" s="41"/>
    </row>
    <row r="25" spans="1:13" s="778" customFormat="1" ht="15.75" thickBot="1" x14ac:dyDescent="0.3">
      <c r="A25" s="1141"/>
      <c r="B25" s="206"/>
      <c r="C25" s="207" t="s">
        <v>119</v>
      </c>
      <c r="D25" s="203" t="s">
        <v>78</v>
      </c>
      <c r="E25" s="180">
        <v>0.1</v>
      </c>
      <c r="F25" s="581">
        <f>E25*F20</f>
        <v>1.4000000000000001</v>
      </c>
      <c r="G25" s="49"/>
      <c r="H25" s="49"/>
      <c r="I25" s="49"/>
      <c r="J25" s="49"/>
      <c r="K25" s="49"/>
      <c r="L25" s="49"/>
      <c r="M25" s="50"/>
    </row>
    <row r="26" spans="1:13" ht="30" x14ac:dyDescent="0.25">
      <c r="A26" s="1124">
        <v>4</v>
      </c>
      <c r="B26" s="181" t="s">
        <v>684</v>
      </c>
      <c r="C26" s="204" t="s">
        <v>380</v>
      </c>
      <c r="D26" s="152" t="s">
        <v>76</v>
      </c>
      <c r="E26" s="205"/>
      <c r="F26" s="60">
        <v>3.38</v>
      </c>
      <c r="G26" s="731"/>
      <c r="H26" s="676"/>
      <c r="I26" s="731"/>
      <c r="J26" s="731"/>
      <c r="K26" s="731"/>
      <c r="L26" s="731"/>
      <c r="M26" s="125"/>
    </row>
    <row r="27" spans="1:13" ht="15.75" x14ac:dyDescent="0.3">
      <c r="A27" s="1119"/>
      <c r="B27" s="134"/>
      <c r="C27" s="198" t="s">
        <v>114</v>
      </c>
      <c r="D27" s="122" t="s">
        <v>68</v>
      </c>
      <c r="E27" s="167">
        <v>8.9</v>
      </c>
      <c r="F27" s="409">
        <f>E27*F26</f>
        <v>30.082000000000001</v>
      </c>
      <c r="G27" s="409"/>
      <c r="H27" s="409"/>
      <c r="I27" s="40"/>
      <c r="J27" s="409"/>
      <c r="K27" s="409"/>
      <c r="L27" s="409"/>
      <c r="M27" s="32"/>
    </row>
    <row r="28" spans="1:13" ht="15.75" x14ac:dyDescent="0.3">
      <c r="A28" s="1119"/>
      <c r="B28" s="134"/>
      <c r="C28" s="198" t="s">
        <v>166</v>
      </c>
      <c r="D28" s="122" t="s">
        <v>78</v>
      </c>
      <c r="E28" s="167">
        <v>0.13</v>
      </c>
      <c r="F28" s="409">
        <f>E28*F26</f>
        <v>0.43940000000000001</v>
      </c>
      <c r="G28" s="409"/>
      <c r="H28" s="409"/>
      <c r="I28" s="23"/>
      <c r="J28" s="23"/>
      <c r="K28" s="23"/>
      <c r="L28" s="23"/>
      <c r="M28" s="32"/>
    </row>
    <row r="29" spans="1:13" ht="22.5" x14ac:dyDescent="0.25">
      <c r="A29" s="1119"/>
      <c r="B29" s="679" t="s">
        <v>513</v>
      </c>
      <c r="C29" s="367" t="s">
        <v>719</v>
      </c>
      <c r="D29" s="200" t="s">
        <v>62</v>
      </c>
      <c r="E29" s="155">
        <v>3.5999999999999997E-2</v>
      </c>
      <c r="F29" s="409">
        <f>E29*F26</f>
        <v>0.12167999999999998</v>
      </c>
      <c r="G29" s="40"/>
      <c r="H29" s="40"/>
      <c r="I29" s="40"/>
      <c r="J29" s="40"/>
      <c r="K29" s="40"/>
      <c r="L29" s="40"/>
      <c r="M29" s="41"/>
    </row>
    <row r="30" spans="1:13" ht="30" x14ac:dyDescent="0.25">
      <c r="A30" s="1119"/>
      <c r="B30" s="366" t="s">
        <v>500</v>
      </c>
      <c r="C30" s="367" t="s">
        <v>501</v>
      </c>
      <c r="D30" s="200" t="s">
        <v>76</v>
      </c>
      <c r="E30" s="155">
        <v>0.97</v>
      </c>
      <c r="F30" s="409">
        <f>E30*F26</f>
        <v>3.2786</v>
      </c>
      <c r="G30" s="40"/>
      <c r="H30" s="40"/>
      <c r="I30" s="40"/>
      <c r="J30" s="40"/>
      <c r="K30" s="40"/>
      <c r="L30" s="40"/>
      <c r="M30" s="41"/>
    </row>
    <row r="31" spans="1:13" ht="15.75" thickBot="1" x14ac:dyDescent="0.3">
      <c r="A31" s="1119"/>
      <c r="B31" s="206"/>
      <c r="C31" s="207" t="s">
        <v>119</v>
      </c>
      <c r="D31" s="203" t="s">
        <v>78</v>
      </c>
      <c r="E31" s="180">
        <v>0.1</v>
      </c>
      <c r="F31" s="572">
        <f>E31*F26</f>
        <v>0.33800000000000002</v>
      </c>
      <c r="G31" s="68"/>
      <c r="H31" s="68"/>
      <c r="I31" s="68"/>
      <c r="J31" s="68"/>
      <c r="K31" s="68"/>
      <c r="L31" s="68"/>
      <c r="M31" s="678"/>
    </row>
    <row r="32" spans="1:13" x14ac:dyDescent="0.25">
      <c r="A32" s="1139">
        <v>5</v>
      </c>
      <c r="B32" s="59"/>
      <c r="C32" s="15" t="s">
        <v>403</v>
      </c>
      <c r="D32" s="16" t="s">
        <v>87</v>
      </c>
      <c r="E32" s="965"/>
      <c r="F32" s="60">
        <v>2</v>
      </c>
      <c r="G32" s="60"/>
      <c r="H32" s="60"/>
      <c r="I32" s="60"/>
      <c r="J32" s="60"/>
      <c r="K32" s="60"/>
      <c r="L32" s="60"/>
      <c r="M32" s="722"/>
    </row>
    <row r="33" spans="1:13" x14ac:dyDescent="0.25">
      <c r="A33" s="1140"/>
      <c r="B33" s="45"/>
      <c r="C33" s="121" t="s">
        <v>219</v>
      </c>
      <c r="D33" s="22" t="s">
        <v>64</v>
      </c>
      <c r="E33" s="273">
        <v>0.2</v>
      </c>
      <c r="F33" s="24">
        <f>E33*F32</f>
        <v>0.4</v>
      </c>
      <c r="G33" s="24"/>
      <c r="H33" s="24"/>
      <c r="I33" s="24"/>
      <c r="J33" s="24"/>
      <c r="K33" s="24"/>
      <c r="L33" s="24"/>
      <c r="M33" s="25"/>
    </row>
    <row r="34" spans="1:13" ht="15.75" thickBot="1" x14ac:dyDescent="0.3">
      <c r="A34" s="1141"/>
      <c r="B34" s="115"/>
      <c r="C34" s="120" t="s">
        <v>404</v>
      </c>
      <c r="D34" s="17" t="s">
        <v>87</v>
      </c>
      <c r="E34" s="966">
        <v>1</v>
      </c>
      <c r="F34" s="27">
        <f>E34*F32</f>
        <v>2</v>
      </c>
      <c r="G34" s="27"/>
      <c r="H34" s="27"/>
      <c r="I34" s="27"/>
      <c r="J34" s="27"/>
      <c r="K34" s="27"/>
      <c r="L34" s="27"/>
      <c r="M34" s="28"/>
    </row>
    <row r="35" spans="1:13" x14ac:dyDescent="0.25">
      <c r="A35" s="1139">
        <v>6</v>
      </c>
      <c r="B35" s="59"/>
      <c r="C35" s="15" t="s">
        <v>405</v>
      </c>
      <c r="D35" s="16" t="s">
        <v>87</v>
      </c>
      <c r="E35" s="965"/>
      <c r="F35" s="60">
        <v>1</v>
      </c>
      <c r="G35" s="60"/>
      <c r="H35" s="60"/>
      <c r="I35" s="60"/>
      <c r="J35" s="60"/>
      <c r="K35" s="60"/>
      <c r="L35" s="60"/>
      <c r="M35" s="722"/>
    </row>
    <row r="36" spans="1:13" x14ac:dyDescent="0.25">
      <c r="A36" s="1140"/>
      <c r="B36" s="45"/>
      <c r="C36" s="121" t="s">
        <v>219</v>
      </c>
      <c r="D36" s="22" t="s">
        <v>64</v>
      </c>
      <c r="E36" s="273">
        <v>0.2</v>
      </c>
      <c r="F36" s="24">
        <f>E36*F35</f>
        <v>0.2</v>
      </c>
      <c r="G36" s="24"/>
      <c r="H36" s="24"/>
      <c r="I36" s="24"/>
      <c r="J36" s="24"/>
      <c r="K36" s="24"/>
      <c r="L36" s="24"/>
      <c r="M36" s="25"/>
    </row>
    <row r="37" spans="1:13" ht="15.75" thickBot="1" x14ac:dyDescent="0.3">
      <c r="A37" s="1141"/>
      <c r="B37" s="115"/>
      <c r="C37" s="120" t="s">
        <v>406</v>
      </c>
      <c r="D37" s="17" t="s">
        <v>87</v>
      </c>
      <c r="E37" s="966">
        <v>1</v>
      </c>
      <c r="F37" s="27">
        <f>E37*F35</f>
        <v>1</v>
      </c>
      <c r="G37" s="27"/>
      <c r="H37" s="27"/>
      <c r="I37" s="27"/>
      <c r="J37" s="27"/>
      <c r="K37" s="27"/>
      <c r="L37" s="27"/>
      <c r="M37" s="28"/>
    </row>
    <row r="38" spans="1:13" x14ac:dyDescent="0.25">
      <c r="A38" s="1139">
        <v>7</v>
      </c>
      <c r="B38" s="59"/>
      <c r="C38" s="15" t="s">
        <v>407</v>
      </c>
      <c r="D38" s="16" t="s">
        <v>87</v>
      </c>
      <c r="E38" s="965"/>
      <c r="F38" s="60">
        <v>2</v>
      </c>
      <c r="G38" s="60"/>
      <c r="H38" s="60"/>
      <c r="I38" s="60"/>
      <c r="J38" s="60"/>
      <c r="K38" s="60"/>
      <c r="L38" s="60"/>
      <c r="M38" s="722"/>
    </row>
    <row r="39" spans="1:13" x14ac:dyDescent="0.25">
      <c r="A39" s="1140"/>
      <c r="B39" s="45"/>
      <c r="C39" s="121" t="s">
        <v>219</v>
      </c>
      <c r="D39" s="22" t="s">
        <v>64</v>
      </c>
      <c r="E39" s="273">
        <v>0.2</v>
      </c>
      <c r="F39" s="24">
        <f>E39*F38</f>
        <v>0.4</v>
      </c>
      <c r="G39" s="24"/>
      <c r="H39" s="24"/>
      <c r="I39" s="24"/>
      <c r="J39" s="24"/>
      <c r="K39" s="24"/>
      <c r="L39" s="24"/>
      <c r="M39" s="25"/>
    </row>
    <row r="40" spans="1:13" ht="15.75" thickBot="1" x14ac:dyDescent="0.3">
      <c r="A40" s="1141"/>
      <c r="B40" s="115"/>
      <c r="C40" s="120" t="s">
        <v>408</v>
      </c>
      <c r="D40" s="17" t="s">
        <v>87</v>
      </c>
      <c r="E40" s="966">
        <v>1</v>
      </c>
      <c r="F40" s="27">
        <f>E40*F38</f>
        <v>2</v>
      </c>
      <c r="G40" s="27"/>
      <c r="H40" s="27"/>
      <c r="I40" s="27"/>
      <c r="J40" s="27"/>
      <c r="K40" s="27"/>
      <c r="L40" s="27"/>
      <c r="M40" s="28"/>
    </row>
    <row r="41" spans="1:13" x14ac:dyDescent="0.25">
      <c r="A41" s="1139">
        <v>8</v>
      </c>
      <c r="B41" s="59"/>
      <c r="C41" s="15" t="s">
        <v>409</v>
      </c>
      <c r="D41" s="16" t="s">
        <v>87</v>
      </c>
      <c r="E41" s="965"/>
      <c r="F41" s="60">
        <v>2</v>
      </c>
      <c r="G41" s="60"/>
      <c r="H41" s="60"/>
      <c r="I41" s="60"/>
      <c r="J41" s="60"/>
      <c r="K41" s="60"/>
      <c r="L41" s="60"/>
      <c r="M41" s="722"/>
    </row>
    <row r="42" spans="1:13" x14ac:dyDescent="0.25">
      <c r="A42" s="1140"/>
      <c r="B42" s="45"/>
      <c r="C42" s="121" t="s">
        <v>219</v>
      </c>
      <c r="D42" s="22" t="s">
        <v>64</v>
      </c>
      <c r="E42" s="273">
        <v>0.2</v>
      </c>
      <c r="F42" s="24">
        <f>E42*F41</f>
        <v>0.4</v>
      </c>
      <c r="G42" s="24"/>
      <c r="H42" s="24"/>
      <c r="I42" s="24"/>
      <c r="J42" s="24"/>
      <c r="K42" s="24"/>
      <c r="L42" s="24"/>
      <c r="M42" s="25"/>
    </row>
    <row r="43" spans="1:13" ht="15.75" thickBot="1" x14ac:dyDescent="0.3">
      <c r="A43" s="1141"/>
      <c r="B43" s="115"/>
      <c r="C43" s="120" t="s">
        <v>408</v>
      </c>
      <c r="D43" s="17" t="s">
        <v>87</v>
      </c>
      <c r="E43" s="966">
        <v>1</v>
      </c>
      <c r="F43" s="27">
        <f>E43*F41</f>
        <v>2</v>
      </c>
      <c r="G43" s="27"/>
      <c r="H43" s="27"/>
      <c r="I43" s="27"/>
      <c r="J43" s="27"/>
      <c r="K43" s="27"/>
      <c r="L43" s="27"/>
      <c r="M43" s="28"/>
    </row>
    <row r="44" spans="1:13" ht="30" x14ac:dyDescent="0.25">
      <c r="A44" s="1139">
        <v>9</v>
      </c>
      <c r="B44" s="59"/>
      <c r="C44" s="15" t="s">
        <v>410</v>
      </c>
      <c r="D44" s="16" t="s">
        <v>87</v>
      </c>
      <c r="E44" s="965"/>
      <c r="F44" s="60">
        <v>1</v>
      </c>
      <c r="G44" s="60"/>
      <c r="H44" s="60"/>
      <c r="I44" s="60"/>
      <c r="J44" s="60"/>
      <c r="K44" s="60"/>
      <c r="L44" s="60"/>
      <c r="M44" s="722"/>
    </row>
    <row r="45" spans="1:13" x14ac:dyDescent="0.25">
      <c r="A45" s="1140"/>
      <c r="B45" s="45"/>
      <c r="C45" s="121" t="s">
        <v>219</v>
      </c>
      <c r="D45" s="22" t="s">
        <v>64</v>
      </c>
      <c r="E45" s="273">
        <v>0.2</v>
      </c>
      <c r="F45" s="24">
        <f>E45*F44</f>
        <v>0.2</v>
      </c>
      <c r="G45" s="24"/>
      <c r="H45" s="24"/>
      <c r="I45" s="24"/>
      <c r="J45" s="24"/>
      <c r="K45" s="24"/>
      <c r="L45" s="24"/>
      <c r="M45" s="25"/>
    </row>
    <row r="46" spans="1:13" ht="15.75" thickBot="1" x14ac:dyDescent="0.3">
      <c r="A46" s="1141"/>
      <c r="B46" s="115"/>
      <c r="C46" s="120" t="s">
        <v>408</v>
      </c>
      <c r="D46" s="17" t="s">
        <v>87</v>
      </c>
      <c r="E46" s="966">
        <v>1</v>
      </c>
      <c r="F46" s="27">
        <f>E46*F44</f>
        <v>1</v>
      </c>
      <c r="G46" s="27"/>
      <c r="H46" s="27"/>
      <c r="I46" s="27"/>
      <c r="J46" s="27"/>
      <c r="K46" s="27"/>
      <c r="L46" s="27"/>
      <c r="M46" s="28"/>
    </row>
    <row r="47" spans="1:13" x14ac:dyDescent="0.25">
      <c r="A47" s="698"/>
      <c r="B47" s="90"/>
      <c r="C47" s="576" t="s">
        <v>113</v>
      </c>
      <c r="D47" s="91"/>
      <c r="E47" s="96"/>
      <c r="F47" s="102"/>
      <c r="G47" s="102"/>
      <c r="H47" s="320"/>
      <c r="I47" s="320"/>
      <c r="J47" s="320"/>
      <c r="K47" s="320"/>
      <c r="L47" s="320"/>
      <c r="M47" s="522"/>
    </row>
    <row r="48" spans="1:13" ht="30" x14ac:dyDescent="0.25">
      <c r="A48" s="696"/>
      <c r="B48" s="343"/>
      <c r="C48" s="121" t="s">
        <v>218</v>
      </c>
      <c r="D48" s="362" t="s">
        <v>757</v>
      </c>
      <c r="E48" s="39"/>
      <c r="F48" s="40"/>
      <c r="G48" s="40"/>
      <c r="H48" s="40"/>
      <c r="I48" s="75"/>
      <c r="J48" s="75"/>
      <c r="K48" s="75"/>
      <c r="L48" s="75"/>
      <c r="M48" s="41"/>
    </row>
    <row r="49" spans="1:13" x14ac:dyDescent="0.25">
      <c r="A49" s="696"/>
      <c r="B49" s="343"/>
      <c r="C49" s="594" t="s">
        <v>24</v>
      </c>
      <c r="D49" s="362"/>
      <c r="E49" s="39"/>
      <c r="F49" s="40"/>
      <c r="G49" s="40"/>
      <c r="H49" s="75"/>
      <c r="I49" s="75"/>
      <c r="J49" s="75"/>
      <c r="K49" s="75"/>
      <c r="L49" s="75"/>
      <c r="M49" s="597"/>
    </row>
    <row r="50" spans="1:13" x14ac:dyDescent="0.25">
      <c r="A50" s="696"/>
      <c r="B50" s="123"/>
      <c r="C50" s="21" t="s">
        <v>117</v>
      </c>
      <c r="D50" s="362" t="s">
        <v>757</v>
      </c>
      <c r="E50" s="61"/>
      <c r="F50" s="75"/>
      <c r="G50" s="75"/>
      <c r="H50" s="75"/>
      <c r="I50" s="40"/>
      <c r="J50" s="40"/>
      <c r="K50" s="40"/>
      <c r="L50" s="24"/>
      <c r="M50" s="25"/>
    </row>
    <row r="51" spans="1:13" x14ac:dyDescent="0.25">
      <c r="A51" s="696"/>
      <c r="B51" s="123"/>
      <c r="C51" s="595" t="s">
        <v>24</v>
      </c>
      <c r="D51" s="362"/>
      <c r="E51" s="61"/>
      <c r="F51" s="75"/>
      <c r="G51" s="75"/>
      <c r="H51" s="75"/>
      <c r="I51" s="40"/>
      <c r="J51" s="40"/>
      <c r="K51" s="40"/>
      <c r="L51" s="40"/>
      <c r="M51" s="118"/>
    </row>
    <row r="52" spans="1:13" x14ac:dyDescent="0.25">
      <c r="A52" s="696"/>
      <c r="B52" s="123"/>
      <c r="C52" s="21" t="s">
        <v>118</v>
      </c>
      <c r="D52" s="362" t="s">
        <v>757</v>
      </c>
      <c r="E52" s="61"/>
      <c r="F52" s="75"/>
      <c r="G52" s="75"/>
      <c r="H52" s="75"/>
      <c r="I52" s="40"/>
      <c r="J52" s="40"/>
      <c r="K52" s="40"/>
      <c r="L52" s="24"/>
      <c r="M52" s="25"/>
    </row>
    <row r="53" spans="1:13" ht="15.75" thickBot="1" x14ac:dyDescent="0.3">
      <c r="A53" s="697"/>
      <c r="B53" s="277"/>
      <c r="C53" s="579" t="s">
        <v>24</v>
      </c>
      <c r="D53" s="414"/>
      <c r="E53" s="70"/>
      <c r="F53" s="49"/>
      <c r="G53" s="49"/>
      <c r="H53" s="49"/>
      <c r="I53" s="49"/>
      <c r="J53" s="49"/>
      <c r="K53" s="49"/>
      <c r="L53" s="27"/>
      <c r="M53" s="128"/>
    </row>
    <row r="56" spans="1:13" x14ac:dyDescent="0.25">
      <c r="C56" s="811"/>
    </row>
  </sheetData>
  <sheetProtection password="CF7A" sheet="1" objects="1" scenarios="1"/>
  <protectedRanges>
    <protectedRange sqref="D47:H53" name="Range2"/>
    <protectedRange sqref="G8:M53" name="Range1"/>
  </protectedRanges>
  <mergeCells count="22"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K5:L5"/>
    <mergeCell ref="M5:M6"/>
    <mergeCell ref="I5:J5"/>
    <mergeCell ref="A8:A13"/>
    <mergeCell ref="A14:A19"/>
    <mergeCell ref="A38:A40"/>
    <mergeCell ref="A41:A43"/>
    <mergeCell ref="A44:A46"/>
    <mergeCell ref="A20:A25"/>
    <mergeCell ref="A26:A31"/>
    <mergeCell ref="A32:A34"/>
    <mergeCell ref="A35:A37"/>
  </mergeCells>
  <conditionalFormatting sqref="F21:F22 B32:F34 C26:F26 C20:F20 F24:F25 F30:F31">
    <cfRule type="cellIs" dxfId="58" priority="34" stopIfTrue="1" operator="equal">
      <formula>8223.307275</formula>
    </cfRule>
  </conditionalFormatting>
  <conditionalFormatting sqref="F27:F29">
    <cfRule type="cellIs" dxfId="57" priority="27" stopIfTrue="1" operator="equal">
      <formula>8223.307275</formula>
    </cfRule>
  </conditionalFormatting>
  <conditionalFormatting sqref="F23">
    <cfRule type="cellIs" dxfId="56" priority="28" stopIfTrue="1" operator="equal">
      <formula>8223.307275</formula>
    </cfRule>
  </conditionalFormatting>
  <conditionalFormatting sqref="B35:F37">
    <cfRule type="cellIs" dxfId="55" priority="23" stopIfTrue="1" operator="equal">
      <formula>8223.307275</formula>
    </cfRule>
  </conditionalFormatting>
  <conditionalFormatting sqref="B38:F40">
    <cfRule type="cellIs" dxfId="54" priority="22" stopIfTrue="1" operator="equal">
      <formula>8223.307275</formula>
    </cfRule>
  </conditionalFormatting>
  <conditionalFormatting sqref="B41:F43">
    <cfRule type="cellIs" dxfId="53" priority="21" stopIfTrue="1" operator="equal">
      <formula>8223.307275</formula>
    </cfRule>
  </conditionalFormatting>
  <conditionalFormatting sqref="B44:F46">
    <cfRule type="cellIs" dxfId="52" priority="20" stopIfTrue="1" operator="equal">
      <formula>8223.307275</formula>
    </cfRule>
  </conditionalFormatting>
  <conditionalFormatting sqref="D23">
    <cfRule type="cellIs" dxfId="51" priority="13" stopIfTrue="1" operator="equal">
      <formula>8223.307275</formula>
    </cfRule>
  </conditionalFormatting>
  <conditionalFormatting sqref="C24">
    <cfRule type="cellIs" dxfId="50" priority="12" stopIfTrue="1" operator="equal">
      <formula>8223.307275</formula>
    </cfRule>
  </conditionalFormatting>
  <conditionalFormatting sqref="B20">
    <cfRule type="cellIs" dxfId="49" priority="17" stopIfTrue="1" operator="equal">
      <formula>8223.307275</formula>
    </cfRule>
  </conditionalFormatting>
  <conditionalFormatting sqref="B21:B22 B25">
    <cfRule type="cellIs" dxfId="48" priority="16" stopIfTrue="1" operator="equal">
      <formula>8223.307275</formula>
    </cfRule>
  </conditionalFormatting>
  <conditionalFormatting sqref="B24">
    <cfRule type="cellIs" dxfId="47" priority="15" stopIfTrue="1" operator="equal">
      <formula>8223.307275</formula>
    </cfRule>
  </conditionalFormatting>
  <conditionalFormatting sqref="C23">
    <cfRule type="cellIs" dxfId="46" priority="9" stopIfTrue="1" operator="equal">
      <formula>8223.307275</formula>
    </cfRule>
  </conditionalFormatting>
  <conditionalFormatting sqref="D24 C21:D22 C25:D25">
    <cfRule type="cellIs" dxfId="45" priority="14" stopIfTrue="1" operator="equal">
      <formula>8223.307275</formula>
    </cfRule>
  </conditionalFormatting>
  <conditionalFormatting sqref="E21:E22">
    <cfRule type="cellIs" dxfId="44" priority="11" stopIfTrue="1" operator="equal">
      <formula>8223.307275</formula>
    </cfRule>
  </conditionalFormatting>
  <conditionalFormatting sqref="E23">
    <cfRule type="cellIs" dxfId="43" priority="10" stopIfTrue="1" operator="equal">
      <formula>8223.307275</formula>
    </cfRule>
  </conditionalFormatting>
  <conditionalFormatting sqref="E24:E25">
    <cfRule type="cellIs" dxfId="42" priority="8" stopIfTrue="1" operator="equal">
      <formula>8223.307275</formula>
    </cfRule>
  </conditionalFormatting>
  <conditionalFormatting sqref="B26">
    <cfRule type="cellIs" dxfId="41" priority="7" stopIfTrue="1" operator="equal">
      <formula>8223.307275</formula>
    </cfRule>
  </conditionalFormatting>
  <conditionalFormatting sqref="B27:B28">
    <cfRule type="cellIs" dxfId="40" priority="5" stopIfTrue="1" operator="equal">
      <formula>8223.307275</formula>
    </cfRule>
  </conditionalFormatting>
  <conditionalFormatting sqref="B31">
    <cfRule type="cellIs" dxfId="39" priority="6" stopIfTrue="1" operator="equal">
      <formula>8223.307275</formula>
    </cfRule>
  </conditionalFormatting>
  <conditionalFormatting sqref="B30">
    <cfRule type="cellIs" dxfId="38" priority="4" stopIfTrue="1" operator="equal">
      <formula>8223.307275</formula>
    </cfRule>
  </conditionalFormatting>
  <conditionalFormatting sqref="C27:E28">
    <cfRule type="cellIs" dxfId="37" priority="2" stopIfTrue="1" operator="equal">
      <formula>8223.307275</formula>
    </cfRule>
  </conditionalFormatting>
  <conditionalFormatting sqref="C30:E31">
    <cfRule type="cellIs" dxfId="36" priority="3" stopIfTrue="1" operator="equal">
      <formula>8223.307275</formula>
    </cfRule>
  </conditionalFormatting>
  <conditionalFormatting sqref="C29:E29">
    <cfRule type="cellIs" dxfId="35" priority="1" stopIfTrue="1" operator="equal">
      <formula>8223.307275</formula>
    </cfRule>
  </conditionalFormatting>
  <pageMargins left="0.77" right="0" top="0.5" bottom="0.22" header="0.17" footer="0.17"/>
  <pageSetup paperSize="9" scale="90" orientation="landscape" horizontalDpi="4294967295" verticalDpi="4294967295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36"/>
  <sheetViews>
    <sheetView view="pageBreakPreview" topLeftCell="A91" zoomScaleNormal="110" zoomScaleSheetLayoutView="100" workbookViewId="0">
      <selection activeCell="C126" sqref="C126"/>
    </sheetView>
  </sheetViews>
  <sheetFormatPr defaultRowHeight="15" x14ac:dyDescent="0.25"/>
  <cols>
    <col min="1" max="1" width="4.85546875" style="708" customWidth="1"/>
    <col min="2" max="2" width="8.85546875" style="770" customWidth="1"/>
    <col min="3" max="3" width="46.85546875" style="710" customWidth="1"/>
    <col min="4" max="4" width="7.85546875" style="710" bestFit="1" customWidth="1"/>
    <col min="5" max="5" width="9.140625" style="710" bestFit="1" customWidth="1"/>
    <col min="6" max="6" width="9.42578125" style="772" bestFit="1" customWidth="1"/>
    <col min="7" max="7" width="7.85546875" style="709" bestFit="1" customWidth="1"/>
    <col min="8" max="8" width="10.7109375" style="709" bestFit="1" customWidth="1"/>
    <col min="9" max="9" width="6.5703125" style="709" bestFit="1" customWidth="1"/>
    <col min="10" max="10" width="9.42578125" style="709" bestFit="1" customWidth="1"/>
    <col min="11" max="12" width="7.5703125" style="709" bestFit="1" customWidth="1"/>
    <col min="13" max="13" width="12.5703125" style="709" bestFit="1" customWidth="1"/>
    <col min="14" max="16384" width="9.140625" style="710"/>
  </cols>
  <sheetData>
    <row r="1" spans="1:13" x14ac:dyDescent="0.25">
      <c r="B1" s="1089" t="s">
        <v>643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3" x14ac:dyDescent="0.25">
      <c r="B2" s="1090" t="s">
        <v>640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x14ac:dyDescent="0.25">
      <c r="A3" s="12"/>
      <c r="B3" s="1091" t="s">
        <v>411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6.5" thickBot="1" x14ac:dyDescent="0.35">
      <c r="A4" s="1092" t="s">
        <v>472</v>
      </c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.7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3">
      <c r="A6" s="1095"/>
      <c r="B6" s="1097"/>
      <c r="C6" s="1099"/>
      <c r="D6" s="1099"/>
      <c r="E6" s="77" t="s">
        <v>399</v>
      </c>
      <c r="F6" s="68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711" customFormat="1" ht="15.75" thickBot="1" x14ac:dyDescent="0.3">
      <c r="A7" s="1071"/>
      <c r="B7" s="188" t="s">
        <v>60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89">
        <v>9</v>
      </c>
      <c r="J7" s="189">
        <v>10</v>
      </c>
      <c r="K7" s="189">
        <v>11</v>
      </c>
      <c r="L7" s="189">
        <v>12</v>
      </c>
      <c r="M7" s="190">
        <v>13</v>
      </c>
    </row>
    <row r="8" spans="1:13" s="711" customFormat="1" ht="30.75" thickBot="1" x14ac:dyDescent="0.3">
      <c r="A8" s="1072"/>
      <c r="B8" s="323"/>
      <c r="C8" s="296" t="s">
        <v>467</v>
      </c>
      <c r="D8" s="297"/>
      <c r="E8" s="297"/>
      <c r="F8" s="644"/>
      <c r="G8" s="297"/>
      <c r="H8" s="297"/>
      <c r="I8" s="297"/>
      <c r="J8" s="297"/>
      <c r="K8" s="297"/>
      <c r="L8" s="297"/>
      <c r="M8" s="324"/>
    </row>
    <row r="9" spans="1:13" ht="45" x14ac:dyDescent="0.25">
      <c r="A9" s="1149">
        <v>1</v>
      </c>
      <c r="B9" s="181" t="s">
        <v>109</v>
      </c>
      <c r="C9" s="15" t="s">
        <v>108</v>
      </c>
      <c r="D9" s="16" t="s">
        <v>62</v>
      </c>
      <c r="E9" s="97"/>
      <c r="F9" s="60">
        <f>(4.45+2)*0.3*9</f>
        <v>17.414999999999999</v>
      </c>
      <c r="G9" s="53"/>
      <c r="H9" s="53"/>
      <c r="I9" s="53"/>
      <c r="J9" s="53"/>
      <c r="K9" s="53"/>
      <c r="L9" s="53"/>
      <c r="M9" s="54"/>
    </row>
    <row r="10" spans="1:13" x14ac:dyDescent="0.25">
      <c r="A10" s="1150"/>
      <c r="B10" s="688"/>
      <c r="C10" s="57" t="s">
        <v>63</v>
      </c>
      <c r="D10" s="22" t="s">
        <v>64</v>
      </c>
      <c r="E10" s="61">
        <v>3.4000000000000002E-2</v>
      </c>
      <c r="F10" s="24">
        <f>E10*F9</f>
        <v>0.59211000000000003</v>
      </c>
      <c r="G10" s="24"/>
      <c r="H10" s="24"/>
      <c r="I10" s="24"/>
      <c r="J10" s="24"/>
      <c r="K10" s="24"/>
      <c r="L10" s="24"/>
      <c r="M10" s="25"/>
    </row>
    <row r="11" spans="1:13" x14ac:dyDescent="0.25">
      <c r="A11" s="1150"/>
      <c r="B11" s="358"/>
      <c r="C11" s="94" t="s">
        <v>82</v>
      </c>
      <c r="D11" s="33" t="s">
        <v>78</v>
      </c>
      <c r="E11" s="66">
        <v>5.5999999999999999E-3</v>
      </c>
      <c r="F11" s="67">
        <f>E11*F9</f>
        <v>9.7524E-2</v>
      </c>
      <c r="G11" s="67"/>
      <c r="H11" s="67"/>
      <c r="I11" s="67"/>
      <c r="J11" s="67"/>
      <c r="K11" s="67"/>
      <c r="L11" s="67"/>
      <c r="M11" s="25"/>
    </row>
    <row r="12" spans="1:13" ht="30.75" thickBot="1" x14ac:dyDescent="0.3">
      <c r="A12" s="1151"/>
      <c r="B12" s="355" t="s">
        <v>486</v>
      </c>
      <c r="C12" s="120" t="s">
        <v>103</v>
      </c>
      <c r="D12" s="17" t="s">
        <v>104</v>
      </c>
      <c r="E12" s="70">
        <v>8.0299999999999996E-2</v>
      </c>
      <c r="F12" s="27">
        <f>E12*F9</f>
        <v>1.3984245</v>
      </c>
      <c r="G12" s="27"/>
      <c r="H12" s="27"/>
      <c r="I12" s="27"/>
      <c r="J12" s="27"/>
      <c r="K12" s="27"/>
      <c r="L12" s="27"/>
      <c r="M12" s="28"/>
    </row>
    <row r="13" spans="1:13" ht="30" x14ac:dyDescent="0.25">
      <c r="A13" s="1111">
        <v>2</v>
      </c>
      <c r="B13" s="1114" t="s">
        <v>105</v>
      </c>
      <c r="C13" s="15" t="s">
        <v>106</v>
      </c>
      <c r="D13" s="16" t="s">
        <v>62</v>
      </c>
      <c r="E13" s="303"/>
      <c r="F13" s="582">
        <f>F9*0.1</f>
        <v>1.7415</v>
      </c>
      <c r="G13" s="53"/>
      <c r="H13" s="53"/>
      <c r="I13" s="53"/>
      <c r="J13" s="53"/>
      <c r="K13" s="53"/>
      <c r="L13" s="53"/>
      <c r="M13" s="54"/>
    </row>
    <row r="14" spans="1:13" ht="16.5" thickBot="1" x14ac:dyDescent="0.35">
      <c r="A14" s="1112"/>
      <c r="B14" s="1115"/>
      <c r="C14" s="306" t="s">
        <v>107</v>
      </c>
      <c r="D14" s="307" t="s">
        <v>64</v>
      </c>
      <c r="E14" s="304">
        <v>2.06</v>
      </c>
      <c r="F14" s="583">
        <f>F13*E14</f>
        <v>3.5874900000000003</v>
      </c>
      <c r="G14" s="24"/>
      <c r="H14" s="24"/>
      <c r="I14" s="24"/>
      <c r="J14" s="24"/>
      <c r="K14" s="24"/>
      <c r="L14" s="24"/>
      <c r="M14" s="25"/>
    </row>
    <row r="15" spans="1:13" x14ac:dyDescent="0.25">
      <c r="A15" s="1153">
        <v>3</v>
      </c>
      <c r="B15" s="643" t="s">
        <v>93</v>
      </c>
      <c r="C15" s="71" t="s">
        <v>378</v>
      </c>
      <c r="D15" s="51" t="s">
        <v>62</v>
      </c>
      <c r="E15" s="99"/>
      <c r="F15" s="60">
        <f>F9/3*2</f>
        <v>11.61</v>
      </c>
      <c r="G15" s="52"/>
      <c r="H15" s="52"/>
      <c r="I15" s="52"/>
      <c r="J15" s="52"/>
      <c r="K15" s="52"/>
      <c r="L15" s="52"/>
      <c r="M15" s="20"/>
    </row>
    <row r="16" spans="1:13" x14ac:dyDescent="0.25">
      <c r="A16" s="1154"/>
      <c r="B16" s="679"/>
      <c r="C16" s="79" t="s">
        <v>63</v>
      </c>
      <c r="D16" s="80" t="s">
        <v>64</v>
      </c>
      <c r="E16" s="812">
        <v>0.86</v>
      </c>
      <c r="F16" s="83">
        <f>E16*F15</f>
        <v>9.9845999999999986</v>
      </c>
      <c r="G16" s="83"/>
      <c r="H16" s="83"/>
      <c r="I16" s="83"/>
      <c r="J16" s="83"/>
      <c r="K16" s="83"/>
      <c r="L16" s="83"/>
      <c r="M16" s="84"/>
    </row>
    <row r="17" spans="1:13" x14ac:dyDescent="0.25">
      <c r="A17" s="1154"/>
      <c r="B17" s="679"/>
      <c r="C17" s="79" t="s">
        <v>82</v>
      </c>
      <c r="D17" s="80" t="s">
        <v>78</v>
      </c>
      <c r="E17" s="812">
        <v>0.37</v>
      </c>
      <c r="F17" s="83">
        <f>E17*F15</f>
        <v>4.2957000000000001</v>
      </c>
      <c r="G17" s="83"/>
      <c r="H17" s="83"/>
      <c r="I17" s="83"/>
      <c r="J17" s="83"/>
      <c r="K17" s="24"/>
      <c r="L17" s="83"/>
      <c r="M17" s="84"/>
    </row>
    <row r="18" spans="1:13" ht="23.25" thickBot="1" x14ac:dyDescent="0.3">
      <c r="A18" s="1154"/>
      <c r="B18" s="673" t="s">
        <v>489</v>
      </c>
      <c r="C18" s="108" t="s">
        <v>94</v>
      </c>
      <c r="D18" s="109" t="s">
        <v>62</v>
      </c>
      <c r="E18" s="813">
        <v>1.1499999999999999</v>
      </c>
      <c r="F18" s="110">
        <f>E18*F15</f>
        <v>13.351499999999998</v>
      </c>
      <c r="G18" s="110"/>
      <c r="H18" s="110"/>
      <c r="I18" s="111"/>
      <c r="J18" s="111"/>
      <c r="K18" s="111"/>
      <c r="L18" s="110"/>
      <c r="M18" s="112"/>
    </row>
    <row r="19" spans="1:13" ht="30" x14ac:dyDescent="0.25">
      <c r="A19" s="1124">
        <v>4</v>
      </c>
      <c r="B19" s="181" t="s">
        <v>182</v>
      </c>
      <c r="C19" s="15" t="s">
        <v>724</v>
      </c>
      <c r="D19" s="16" t="s">
        <v>76</v>
      </c>
      <c r="E19" s="152"/>
      <c r="F19" s="223">
        <f>4.45*9</f>
        <v>40.050000000000004</v>
      </c>
      <c r="G19" s="223"/>
      <c r="H19" s="223"/>
      <c r="I19" s="223"/>
      <c r="J19" s="223"/>
      <c r="K19" s="223"/>
      <c r="L19" s="223"/>
      <c r="M19" s="722"/>
    </row>
    <row r="20" spans="1:13" x14ac:dyDescent="0.25">
      <c r="A20" s="1119"/>
      <c r="B20" s="123"/>
      <c r="C20" s="21" t="s">
        <v>732</v>
      </c>
      <c r="D20" s="116" t="s">
        <v>64</v>
      </c>
      <c r="E20" s="737">
        <f>(405-10*4.64)/1000</f>
        <v>0.35860000000000003</v>
      </c>
      <c r="F20" s="409">
        <f>F19*E20</f>
        <v>14.361930000000003</v>
      </c>
      <c r="G20" s="409"/>
      <c r="H20" s="409"/>
      <c r="I20" s="409"/>
      <c r="J20" s="409"/>
      <c r="K20" s="409"/>
      <c r="L20" s="409"/>
      <c r="M20" s="25"/>
    </row>
    <row r="21" spans="1:13" ht="22.5" x14ac:dyDescent="0.25">
      <c r="A21" s="1119"/>
      <c r="B21" s="45" t="s">
        <v>488</v>
      </c>
      <c r="C21" s="121" t="s">
        <v>183</v>
      </c>
      <c r="D21" s="22" t="s">
        <v>104</v>
      </c>
      <c r="E21" s="155">
        <v>2.2599999999999999E-2</v>
      </c>
      <c r="F21" s="409">
        <f>F19*E21</f>
        <v>0.90512999999999999</v>
      </c>
      <c r="G21" s="409"/>
      <c r="H21" s="409"/>
      <c r="I21" s="409"/>
      <c r="J21" s="409"/>
      <c r="K21" s="409"/>
      <c r="L21" s="409"/>
      <c r="M21" s="25"/>
    </row>
    <row r="22" spans="1:13" x14ac:dyDescent="0.25">
      <c r="A22" s="1119"/>
      <c r="B22" s="123"/>
      <c r="C22" s="121" t="s">
        <v>166</v>
      </c>
      <c r="D22" s="116" t="s">
        <v>78</v>
      </c>
      <c r="E22" s="155">
        <v>1.3100000000000001E-2</v>
      </c>
      <c r="F22" s="409">
        <f>E22*F19</f>
        <v>0.52465500000000009</v>
      </c>
      <c r="G22" s="409"/>
      <c r="H22" s="409"/>
      <c r="I22" s="409"/>
      <c r="J22" s="409"/>
      <c r="K22" s="67"/>
      <c r="L22" s="409"/>
      <c r="M22" s="25"/>
    </row>
    <row r="23" spans="1:13" ht="22.5" x14ac:dyDescent="0.25">
      <c r="A23" s="1119"/>
      <c r="B23" s="679" t="s">
        <v>478</v>
      </c>
      <c r="C23" s="21" t="s">
        <v>185</v>
      </c>
      <c r="D23" s="22" t="s">
        <v>739</v>
      </c>
      <c r="E23" s="961">
        <f>0.1*1.015</f>
        <v>0.10149999999999999</v>
      </c>
      <c r="F23" s="409">
        <f>F19*E23</f>
        <v>4.0650750000000002</v>
      </c>
      <c r="G23" s="409"/>
      <c r="H23" s="40"/>
      <c r="I23" s="409"/>
      <c r="J23" s="409"/>
      <c r="K23" s="409"/>
      <c r="L23" s="409"/>
      <c r="M23" s="25"/>
    </row>
    <row r="24" spans="1:13" x14ac:dyDescent="0.25">
      <c r="A24" s="1119"/>
      <c r="B24" s="975" t="s">
        <v>681</v>
      </c>
      <c r="C24" s="21" t="s">
        <v>186</v>
      </c>
      <c r="D24" s="22" t="s">
        <v>88</v>
      </c>
      <c r="E24" s="295" t="s">
        <v>72</v>
      </c>
      <c r="F24" s="584">
        <f>10.08*9</f>
        <v>90.72</v>
      </c>
      <c r="G24" s="409"/>
      <c r="H24" s="40"/>
      <c r="I24" s="409"/>
      <c r="J24" s="409"/>
      <c r="K24" s="409"/>
      <c r="L24" s="409"/>
      <c r="M24" s="25"/>
    </row>
    <row r="25" spans="1:13" x14ac:dyDescent="0.25">
      <c r="A25" s="1119"/>
      <c r="B25" s="123" t="s">
        <v>487</v>
      </c>
      <c r="C25" s="21" t="s">
        <v>187</v>
      </c>
      <c r="D25" s="22" t="s">
        <v>71</v>
      </c>
      <c r="E25" s="295" t="s">
        <v>72</v>
      </c>
      <c r="F25" s="584">
        <f>F19*0.05</f>
        <v>2.0025000000000004</v>
      </c>
      <c r="G25" s="409"/>
      <c r="H25" s="40"/>
      <c r="I25" s="409"/>
      <c r="J25" s="409"/>
      <c r="K25" s="409"/>
      <c r="L25" s="409"/>
      <c r="M25" s="25"/>
    </row>
    <row r="26" spans="1:13" ht="22.5" x14ac:dyDescent="0.25">
      <c r="A26" s="1119"/>
      <c r="B26" s="679" t="s">
        <v>492</v>
      </c>
      <c r="C26" s="21" t="s">
        <v>184</v>
      </c>
      <c r="D26" s="22" t="s">
        <v>76</v>
      </c>
      <c r="E26" s="175">
        <f>(11.7-0.59*10)/100</f>
        <v>5.7999999999999996E-2</v>
      </c>
      <c r="F26" s="409">
        <f>F19*E26</f>
        <v>2.3229000000000002</v>
      </c>
      <c r="G26" s="409"/>
      <c r="H26" s="40"/>
      <c r="I26" s="409"/>
      <c r="J26" s="409"/>
      <c r="K26" s="409"/>
      <c r="L26" s="409"/>
      <c r="M26" s="25"/>
    </row>
    <row r="27" spans="1:13" ht="15.75" thickBot="1" x14ac:dyDescent="0.3">
      <c r="A27" s="1120"/>
      <c r="B27" s="179"/>
      <c r="C27" s="58" t="s">
        <v>85</v>
      </c>
      <c r="D27" s="176" t="s">
        <v>78</v>
      </c>
      <c r="E27" s="739">
        <f>(6.4-0.19*10)/100</f>
        <v>4.4999999999999998E-2</v>
      </c>
      <c r="F27" s="581">
        <f>F19*E27</f>
        <v>1.8022500000000001</v>
      </c>
      <c r="G27" s="581"/>
      <c r="H27" s="49"/>
      <c r="I27" s="581"/>
      <c r="J27" s="581"/>
      <c r="K27" s="581"/>
      <c r="L27" s="581"/>
      <c r="M27" s="28"/>
    </row>
    <row r="28" spans="1:13" x14ac:dyDescent="0.25">
      <c r="A28" s="1119">
        <v>5</v>
      </c>
      <c r="B28" s="591" t="s">
        <v>170</v>
      </c>
      <c r="C28" s="171" t="s">
        <v>164</v>
      </c>
      <c r="D28" s="171" t="s">
        <v>88</v>
      </c>
      <c r="E28" s="172"/>
      <c r="F28" s="213">
        <f>4.75*9</f>
        <v>42.75</v>
      </c>
      <c r="G28" s="726"/>
      <c r="H28" s="726"/>
      <c r="I28" s="726"/>
      <c r="J28" s="726"/>
      <c r="K28" s="726"/>
      <c r="L28" s="726"/>
      <c r="M28" s="727"/>
    </row>
    <row r="29" spans="1:13" x14ac:dyDescent="0.25">
      <c r="A29" s="1119"/>
      <c r="B29" s="177"/>
      <c r="C29" s="159" t="s">
        <v>63</v>
      </c>
      <c r="D29" s="158" t="s">
        <v>165</v>
      </c>
      <c r="E29" s="158">
        <v>1.1100000000000001</v>
      </c>
      <c r="F29" s="24">
        <f>F28*E29</f>
        <v>47.452500000000008</v>
      </c>
      <c r="G29" s="409"/>
      <c r="H29" s="409"/>
      <c r="I29" s="409"/>
      <c r="J29" s="409"/>
      <c r="K29" s="409"/>
      <c r="L29" s="409"/>
      <c r="M29" s="25"/>
    </row>
    <row r="30" spans="1:13" x14ac:dyDescent="0.25">
      <c r="A30" s="1119"/>
      <c r="B30" s="177"/>
      <c r="C30" s="159" t="s">
        <v>166</v>
      </c>
      <c r="D30" s="158" t="s">
        <v>78</v>
      </c>
      <c r="E30" s="158">
        <v>7.1000000000000004E-3</v>
      </c>
      <c r="F30" s="24">
        <f>E30*F28</f>
        <v>0.30352500000000004</v>
      </c>
      <c r="G30" s="409"/>
      <c r="H30" s="409"/>
      <c r="I30" s="409"/>
      <c r="J30" s="409"/>
      <c r="K30" s="67"/>
      <c r="L30" s="409"/>
      <c r="M30" s="25"/>
    </row>
    <row r="31" spans="1:13" ht="22.5" x14ac:dyDescent="0.25">
      <c r="A31" s="1119"/>
      <c r="B31" s="45" t="s">
        <v>477</v>
      </c>
      <c r="C31" s="160" t="s">
        <v>173</v>
      </c>
      <c r="D31" s="158" t="s">
        <v>88</v>
      </c>
      <c r="E31" s="168">
        <v>1</v>
      </c>
      <c r="F31" s="24">
        <f>F28*E31</f>
        <v>42.75</v>
      </c>
      <c r="G31" s="409"/>
      <c r="H31" s="40"/>
      <c r="I31" s="409"/>
      <c r="J31" s="409"/>
      <c r="K31" s="409"/>
      <c r="L31" s="409"/>
      <c r="M31" s="25"/>
    </row>
    <row r="32" spans="1:13" ht="22.5" x14ac:dyDescent="0.25">
      <c r="A32" s="1119"/>
      <c r="B32" s="679" t="s">
        <v>478</v>
      </c>
      <c r="C32" s="165" t="s">
        <v>171</v>
      </c>
      <c r="D32" s="166" t="s">
        <v>62</v>
      </c>
      <c r="E32" s="166">
        <v>3.9E-2</v>
      </c>
      <c r="F32" s="24">
        <f>E32*F28</f>
        <v>1.6672499999999999</v>
      </c>
      <c r="G32" s="24"/>
      <c r="H32" s="40"/>
      <c r="I32" s="40"/>
      <c r="J32" s="40"/>
      <c r="K32" s="40"/>
      <c r="L32" s="40"/>
      <c r="M32" s="41"/>
    </row>
    <row r="33" spans="1:13" ht="22.5" x14ac:dyDescent="0.25">
      <c r="A33" s="1119"/>
      <c r="B33" s="679" t="s">
        <v>495</v>
      </c>
      <c r="C33" s="165" t="s">
        <v>172</v>
      </c>
      <c r="D33" s="166" t="s">
        <v>62</v>
      </c>
      <c r="E33" s="166">
        <v>5.9999999999999995E-4</v>
      </c>
      <c r="F33" s="24">
        <f>E33*F28</f>
        <v>2.5649999999999999E-2</v>
      </c>
      <c r="G33" s="24"/>
      <c r="H33" s="40"/>
      <c r="I33" s="40"/>
      <c r="J33" s="40"/>
      <c r="K33" s="40"/>
      <c r="L33" s="40"/>
      <c r="M33" s="41"/>
    </row>
    <row r="34" spans="1:13" ht="15.75" thickBot="1" x14ac:dyDescent="0.3">
      <c r="A34" s="1120"/>
      <c r="B34" s="115"/>
      <c r="C34" s="163" t="s">
        <v>119</v>
      </c>
      <c r="D34" s="162" t="s">
        <v>78</v>
      </c>
      <c r="E34" s="162">
        <v>9.6000000000000002E-2</v>
      </c>
      <c r="F34" s="27">
        <f>E34*F28</f>
        <v>4.1040000000000001</v>
      </c>
      <c r="G34" s="581"/>
      <c r="H34" s="581"/>
      <c r="I34" s="581"/>
      <c r="J34" s="581"/>
      <c r="K34" s="581"/>
      <c r="L34" s="581"/>
      <c r="M34" s="85"/>
    </row>
    <row r="35" spans="1:13" x14ac:dyDescent="0.25">
      <c r="A35" s="1086">
        <v>6</v>
      </c>
      <c r="B35" s="322" t="s">
        <v>335</v>
      </c>
      <c r="C35" s="34" t="s">
        <v>415</v>
      </c>
      <c r="D35" s="35" t="s">
        <v>62</v>
      </c>
      <c r="E35" s="36"/>
      <c r="F35" s="19">
        <f>1.42*9</f>
        <v>12.78</v>
      </c>
      <c r="G35" s="19"/>
      <c r="H35" s="19"/>
      <c r="I35" s="19"/>
      <c r="J35" s="19"/>
      <c r="K35" s="19"/>
      <c r="L35" s="19"/>
      <c r="M35" s="20"/>
    </row>
    <row r="36" spans="1:13" x14ac:dyDescent="0.25">
      <c r="A36" s="1087"/>
      <c r="B36" s="679"/>
      <c r="C36" s="37" t="s">
        <v>67</v>
      </c>
      <c r="D36" s="38" t="s">
        <v>68</v>
      </c>
      <c r="E36" s="44">
        <v>2.9</v>
      </c>
      <c r="F36" s="40">
        <f>E36*F35</f>
        <v>37.061999999999998</v>
      </c>
      <c r="G36" s="40"/>
      <c r="H36" s="40"/>
      <c r="I36" s="40"/>
      <c r="J36" s="40"/>
      <c r="K36" s="40"/>
      <c r="L36" s="40"/>
      <c r="M36" s="41"/>
    </row>
    <row r="37" spans="1:13" ht="22.5" x14ac:dyDescent="0.25">
      <c r="A37" s="1087"/>
      <c r="B37" s="679" t="s">
        <v>478</v>
      </c>
      <c r="C37" s="37" t="s">
        <v>221</v>
      </c>
      <c r="D37" s="38" t="s">
        <v>62</v>
      </c>
      <c r="E37" s="44">
        <v>1.0149999999999999</v>
      </c>
      <c r="F37" s="40">
        <f>E37*F35</f>
        <v>12.971699999999998</v>
      </c>
      <c r="G37" s="40"/>
      <c r="H37" s="40"/>
      <c r="I37" s="40"/>
      <c r="J37" s="40"/>
      <c r="K37" s="40"/>
      <c r="L37" s="40"/>
      <c r="M37" s="41"/>
    </row>
    <row r="38" spans="1:13" x14ac:dyDescent="0.25">
      <c r="A38" s="1087"/>
      <c r="B38" s="364" t="s">
        <v>497</v>
      </c>
      <c r="C38" s="601" t="s">
        <v>73</v>
      </c>
      <c r="D38" s="38" t="s">
        <v>71</v>
      </c>
      <c r="E38" s="43" t="s">
        <v>72</v>
      </c>
      <c r="F38" s="75">
        <v>180</v>
      </c>
      <c r="G38" s="44"/>
      <c r="H38" s="40"/>
      <c r="I38" s="40"/>
      <c r="J38" s="40"/>
      <c r="K38" s="40"/>
      <c r="L38" s="40"/>
      <c r="M38" s="41"/>
    </row>
    <row r="39" spans="1:13" x14ac:dyDescent="0.25">
      <c r="A39" s="1087"/>
      <c r="B39" s="679" t="s">
        <v>514</v>
      </c>
      <c r="C39" s="37" t="s">
        <v>338</v>
      </c>
      <c r="D39" s="38" t="s">
        <v>62</v>
      </c>
      <c r="E39" s="39">
        <v>5.5999999999999999E-3</v>
      </c>
      <c r="F39" s="40">
        <f>E39*F35</f>
        <v>7.1567999999999993E-2</v>
      </c>
      <c r="G39" s="24"/>
      <c r="H39" s="40"/>
      <c r="I39" s="40"/>
      <c r="J39" s="40"/>
      <c r="K39" s="40"/>
      <c r="L39" s="40"/>
      <c r="M39" s="41"/>
    </row>
    <row r="40" spans="1:13" ht="22.5" x14ac:dyDescent="0.25">
      <c r="A40" s="1087"/>
      <c r="B40" s="679" t="s">
        <v>492</v>
      </c>
      <c r="C40" s="42" t="s">
        <v>75</v>
      </c>
      <c r="D40" s="38" t="s">
        <v>76</v>
      </c>
      <c r="E40" s="39">
        <v>0.51100000000000001</v>
      </c>
      <c r="F40" s="40">
        <f>E40*F35</f>
        <v>6.5305799999999996</v>
      </c>
      <c r="G40" s="40"/>
      <c r="H40" s="40"/>
      <c r="I40" s="40"/>
      <c r="J40" s="40"/>
      <c r="K40" s="40"/>
      <c r="L40" s="40"/>
      <c r="M40" s="41"/>
    </row>
    <row r="41" spans="1:13" x14ac:dyDescent="0.25">
      <c r="A41" s="1087"/>
      <c r="B41" s="679"/>
      <c r="C41" s="37" t="s">
        <v>77</v>
      </c>
      <c r="D41" s="38" t="s">
        <v>78</v>
      </c>
      <c r="E41" s="39">
        <v>0.93</v>
      </c>
      <c r="F41" s="40">
        <f>E41*F35</f>
        <v>11.885400000000001</v>
      </c>
      <c r="G41" s="40"/>
      <c r="H41" s="40"/>
      <c r="I41" s="40"/>
      <c r="J41" s="40"/>
      <c r="K41" s="67"/>
      <c r="L41" s="40"/>
      <c r="M41" s="41"/>
    </row>
    <row r="42" spans="1:13" ht="15.75" thickBot="1" x14ac:dyDescent="0.3">
      <c r="A42" s="1088"/>
      <c r="B42" s="355"/>
      <c r="C42" s="47" t="s">
        <v>79</v>
      </c>
      <c r="D42" s="342" t="s">
        <v>78</v>
      </c>
      <c r="E42" s="48">
        <v>0.16</v>
      </c>
      <c r="F42" s="49">
        <f>E42*F35</f>
        <v>2.0448</v>
      </c>
      <c r="G42" s="49"/>
      <c r="H42" s="49"/>
      <c r="I42" s="49"/>
      <c r="J42" s="49"/>
      <c r="K42" s="49"/>
      <c r="L42" s="49"/>
      <c r="M42" s="50"/>
    </row>
    <row r="43" spans="1:13" ht="45" x14ac:dyDescent="0.25">
      <c r="A43" s="1153">
        <v>7</v>
      </c>
      <c r="B43" s="322" t="s">
        <v>376</v>
      </c>
      <c r="C43" s="19" t="s">
        <v>412</v>
      </c>
      <c r="D43" s="19" t="s">
        <v>76</v>
      </c>
      <c r="E43" s="19"/>
      <c r="F43" s="19">
        <f>2.9*9</f>
        <v>26.099999999999998</v>
      </c>
      <c r="G43" s="19"/>
      <c r="H43" s="19"/>
      <c r="I43" s="19"/>
      <c r="J43" s="19"/>
      <c r="K43" s="19"/>
      <c r="L43" s="19"/>
      <c r="M43" s="20"/>
    </row>
    <row r="44" spans="1:13" x14ac:dyDescent="0.25">
      <c r="A44" s="1154"/>
      <c r="B44" s="679"/>
      <c r="C44" s="37" t="s">
        <v>67</v>
      </c>
      <c r="D44" s="38" t="s">
        <v>68</v>
      </c>
      <c r="E44" s="39">
        <v>1.42</v>
      </c>
      <c r="F44" s="40">
        <f>E44*F43</f>
        <v>37.061999999999998</v>
      </c>
      <c r="G44" s="40"/>
      <c r="H44" s="40"/>
      <c r="I44" s="40"/>
      <c r="J44" s="40"/>
      <c r="K44" s="40"/>
      <c r="L44" s="40"/>
      <c r="M44" s="41"/>
    </row>
    <row r="45" spans="1:13" ht="22.5" x14ac:dyDescent="0.25">
      <c r="A45" s="1154"/>
      <c r="B45" s="679" t="s">
        <v>495</v>
      </c>
      <c r="C45" s="37" t="s">
        <v>98</v>
      </c>
      <c r="D45" s="38" t="s">
        <v>62</v>
      </c>
      <c r="E45" s="39">
        <v>3.6499999999999998E-2</v>
      </c>
      <c r="F45" s="40">
        <f>E45*F43</f>
        <v>0.95264999999999989</v>
      </c>
      <c r="G45" s="55"/>
      <c r="H45" s="40"/>
      <c r="I45" s="40"/>
      <c r="J45" s="40"/>
      <c r="K45" s="40"/>
      <c r="L45" s="40"/>
      <c r="M45" s="41"/>
    </row>
    <row r="46" spans="1:13" x14ac:dyDescent="0.25">
      <c r="A46" s="1154"/>
      <c r="B46" s="673"/>
      <c r="C46" s="76" t="s">
        <v>85</v>
      </c>
      <c r="D46" s="675" t="s">
        <v>78</v>
      </c>
      <c r="E46" s="77">
        <v>3.0000000000000001E-3</v>
      </c>
      <c r="F46" s="40">
        <f>E46*F43</f>
        <v>7.8299999999999995E-2</v>
      </c>
      <c r="G46" s="68"/>
      <c r="H46" s="40"/>
      <c r="I46" s="68"/>
      <c r="J46" s="68"/>
      <c r="K46" s="68"/>
      <c r="L46" s="68"/>
      <c r="M46" s="41"/>
    </row>
    <row r="47" spans="1:13" ht="15.75" thickBot="1" x14ac:dyDescent="0.3">
      <c r="A47" s="1157"/>
      <c r="B47" s="355"/>
      <c r="C47" s="291" t="s">
        <v>82</v>
      </c>
      <c r="D47" s="292" t="s">
        <v>78</v>
      </c>
      <c r="E47" s="815">
        <v>6.9000000000000006E-2</v>
      </c>
      <c r="F47" s="49">
        <f>E47*F43</f>
        <v>1.8008999999999999</v>
      </c>
      <c r="G47" s="49"/>
      <c r="H47" s="49"/>
      <c r="I47" s="49"/>
      <c r="J47" s="49"/>
      <c r="K47" s="67"/>
      <c r="L47" s="49"/>
      <c r="M47" s="50"/>
    </row>
    <row r="48" spans="1:13" ht="30" x14ac:dyDescent="0.25">
      <c r="A48" s="1139">
        <v>8</v>
      </c>
      <c r="B48" s="322" t="s">
        <v>99</v>
      </c>
      <c r="C48" s="86" t="s">
        <v>100</v>
      </c>
      <c r="D48" s="19" t="s">
        <v>76</v>
      </c>
      <c r="E48" s="36"/>
      <c r="F48" s="19">
        <f>F43</f>
        <v>26.099999999999998</v>
      </c>
      <c r="G48" s="19"/>
      <c r="H48" s="19"/>
      <c r="I48" s="19"/>
      <c r="J48" s="19"/>
      <c r="K48" s="19"/>
      <c r="L48" s="19"/>
      <c r="M48" s="20"/>
    </row>
    <row r="49" spans="1:13" x14ac:dyDescent="0.25">
      <c r="A49" s="1140"/>
      <c r="B49" s="679"/>
      <c r="C49" s="37" t="s">
        <v>67</v>
      </c>
      <c r="D49" s="38" t="s">
        <v>68</v>
      </c>
      <c r="E49" s="39">
        <v>0.25</v>
      </c>
      <c r="F49" s="40">
        <f>E49*F48</f>
        <v>6.5249999999999995</v>
      </c>
      <c r="G49" s="40"/>
      <c r="H49" s="40"/>
      <c r="I49" s="40"/>
      <c r="J49" s="40"/>
      <c r="K49" s="40"/>
      <c r="L49" s="40"/>
      <c r="M49" s="41"/>
    </row>
    <row r="50" spans="1:13" ht="22.5" x14ac:dyDescent="0.25">
      <c r="A50" s="1140"/>
      <c r="B50" s="679" t="s">
        <v>495</v>
      </c>
      <c r="C50" s="37" t="s">
        <v>101</v>
      </c>
      <c r="D50" s="38" t="s">
        <v>62</v>
      </c>
      <c r="E50" s="39">
        <v>8.0000000000000002E-3</v>
      </c>
      <c r="F50" s="40">
        <f>E50*F48</f>
        <v>0.20879999999999999</v>
      </c>
      <c r="G50" s="55"/>
      <c r="H50" s="40"/>
      <c r="I50" s="40"/>
      <c r="J50" s="40"/>
      <c r="K50" s="40"/>
      <c r="L50" s="40"/>
      <c r="M50" s="41"/>
    </row>
    <row r="51" spans="1:13" ht="30" x14ac:dyDescent="0.25">
      <c r="A51" s="1140"/>
      <c r="B51" s="679" t="s">
        <v>577</v>
      </c>
      <c r="C51" s="42" t="s">
        <v>102</v>
      </c>
      <c r="D51" s="38" t="s">
        <v>71</v>
      </c>
      <c r="E51" s="39">
        <v>0.63</v>
      </c>
      <c r="F51" s="40">
        <f>E51*F48</f>
        <v>16.442999999999998</v>
      </c>
      <c r="G51" s="40"/>
      <c r="H51" s="40"/>
      <c r="I51" s="40"/>
      <c r="J51" s="40"/>
      <c r="K51" s="40"/>
      <c r="L51" s="40"/>
      <c r="M51" s="41"/>
    </row>
    <row r="52" spans="1:13" x14ac:dyDescent="0.25">
      <c r="A52" s="1140"/>
      <c r="B52" s="679"/>
      <c r="C52" s="37" t="s">
        <v>77</v>
      </c>
      <c r="D52" s="38" t="s">
        <v>78</v>
      </c>
      <c r="E52" s="39">
        <v>0.08</v>
      </c>
      <c r="F52" s="40">
        <f>E52*F48</f>
        <v>2.0880000000000001</v>
      </c>
      <c r="G52" s="75"/>
      <c r="H52" s="40"/>
      <c r="I52" s="40"/>
      <c r="J52" s="40"/>
      <c r="K52" s="67"/>
      <c r="L52" s="40"/>
      <c r="M52" s="41"/>
    </row>
    <row r="53" spans="1:13" ht="15.75" thickBot="1" x14ac:dyDescent="0.3">
      <c r="A53" s="1141"/>
      <c r="B53" s="355"/>
      <c r="C53" s="47" t="s">
        <v>85</v>
      </c>
      <c r="D53" s="342" t="s">
        <v>78</v>
      </c>
      <c r="E53" s="48">
        <v>4.1999999999999997E-3</v>
      </c>
      <c r="F53" s="49">
        <f>E53*F48</f>
        <v>0.10961999999999998</v>
      </c>
      <c r="G53" s="49"/>
      <c r="H53" s="49"/>
      <c r="I53" s="49"/>
      <c r="J53" s="49"/>
      <c r="K53" s="49"/>
      <c r="L53" s="49"/>
      <c r="M53" s="50"/>
    </row>
    <row r="54" spans="1:13" ht="30" x14ac:dyDescent="0.25">
      <c r="A54" s="1139">
        <v>9</v>
      </c>
      <c r="B54" s="59" t="s">
        <v>147</v>
      </c>
      <c r="C54" s="15" t="s">
        <v>413</v>
      </c>
      <c r="D54" s="16" t="s">
        <v>87</v>
      </c>
      <c r="E54" s="965"/>
      <c r="F54" s="60">
        <v>9</v>
      </c>
      <c r="G54" s="60"/>
      <c r="H54" s="60"/>
      <c r="I54" s="60"/>
      <c r="J54" s="60"/>
      <c r="K54" s="60"/>
      <c r="L54" s="60"/>
      <c r="M54" s="722"/>
    </row>
    <row r="55" spans="1:13" x14ac:dyDescent="0.25">
      <c r="A55" s="1140"/>
      <c r="B55" s="45"/>
      <c r="C55" s="121" t="s">
        <v>219</v>
      </c>
      <c r="D55" s="22" t="s">
        <v>64</v>
      </c>
      <c r="E55" s="273">
        <v>0.2</v>
      </c>
      <c r="F55" s="24">
        <f>E55*F54</f>
        <v>1.8</v>
      </c>
      <c r="G55" s="24"/>
      <c r="H55" s="24"/>
      <c r="I55" s="24"/>
      <c r="J55" s="24"/>
      <c r="K55" s="24"/>
      <c r="L55" s="24"/>
      <c r="M55" s="25"/>
    </row>
    <row r="56" spans="1:13" x14ac:dyDescent="0.25">
      <c r="A56" s="1140"/>
      <c r="B56" s="64" t="s">
        <v>147</v>
      </c>
      <c r="C56" s="119" t="s">
        <v>414</v>
      </c>
      <c r="D56" s="33" t="s">
        <v>88</v>
      </c>
      <c r="E56" s="326">
        <f>45*0.3</f>
        <v>13.5</v>
      </c>
      <c r="F56" s="67">
        <f>F54*E56</f>
        <v>121.5</v>
      </c>
      <c r="G56" s="67"/>
      <c r="H56" s="24"/>
      <c r="I56" s="67"/>
      <c r="J56" s="67"/>
      <c r="K56" s="67"/>
      <c r="L56" s="67"/>
      <c r="M56" s="25"/>
    </row>
    <row r="57" spans="1:13" ht="15.75" thickBot="1" x14ac:dyDescent="0.3">
      <c r="A57" s="1141"/>
      <c r="B57" s="115" t="s">
        <v>147</v>
      </c>
      <c r="C57" s="120" t="s">
        <v>416</v>
      </c>
      <c r="D57" s="17" t="s">
        <v>87</v>
      </c>
      <c r="E57" s="966">
        <f>45*2</f>
        <v>90</v>
      </c>
      <c r="F57" s="27">
        <f>E57*F54</f>
        <v>810</v>
      </c>
      <c r="G57" s="27"/>
      <c r="H57" s="24"/>
      <c r="I57" s="27"/>
      <c r="J57" s="27"/>
      <c r="K57" s="27"/>
      <c r="L57" s="27"/>
      <c r="M57" s="28"/>
    </row>
    <row r="58" spans="1:13" ht="30" x14ac:dyDescent="0.25">
      <c r="A58" s="1139">
        <v>10</v>
      </c>
      <c r="B58" s="59" t="s">
        <v>147</v>
      </c>
      <c r="C58" s="15" t="s">
        <v>409</v>
      </c>
      <c r="D58" s="16" t="s">
        <v>87</v>
      </c>
      <c r="E58" s="965"/>
      <c r="F58" s="60">
        <v>9</v>
      </c>
      <c r="G58" s="60"/>
      <c r="H58" s="60"/>
      <c r="I58" s="60"/>
      <c r="J58" s="60"/>
      <c r="K58" s="60"/>
      <c r="L58" s="60"/>
      <c r="M58" s="722"/>
    </row>
    <row r="59" spans="1:13" x14ac:dyDescent="0.25">
      <c r="A59" s="1140"/>
      <c r="B59" s="45"/>
      <c r="C59" s="121" t="s">
        <v>219</v>
      </c>
      <c r="D59" s="22" t="s">
        <v>64</v>
      </c>
      <c r="E59" s="273">
        <v>0.2</v>
      </c>
      <c r="F59" s="24">
        <f>E59*F58</f>
        <v>1.8</v>
      </c>
      <c r="G59" s="24"/>
      <c r="H59" s="24"/>
      <c r="I59" s="24"/>
      <c r="J59" s="24"/>
      <c r="K59" s="24"/>
      <c r="L59" s="24"/>
      <c r="M59" s="25"/>
    </row>
    <row r="60" spans="1:13" ht="15.75" thickBot="1" x14ac:dyDescent="0.3">
      <c r="A60" s="1141"/>
      <c r="B60" s="115" t="s">
        <v>147</v>
      </c>
      <c r="C60" s="967" t="s">
        <v>580</v>
      </c>
      <c r="D60" s="17" t="s">
        <v>87</v>
      </c>
      <c r="E60" s="966">
        <v>1</v>
      </c>
      <c r="F60" s="27">
        <f>E60*F58</f>
        <v>9</v>
      </c>
      <c r="G60" s="27"/>
      <c r="H60" s="27"/>
      <c r="I60" s="27"/>
      <c r="J60" s="27"/>
      <c r="K60" s="27"/>
      <c r="L60" s="27"/>
      <c r="M60" s="28"/>
    </row>
    <row r="61" spans="1:13" ht="30.75" thickBot="1" x14ac:dyDescent="0.3">
      <c r="A61" s="1072"/>
      <c r="B61" s="323"/>
      <c r="C61" s="296" t="s">
        <v>468</v>
      </c>
      <c r="D61" s="297"/>
      <c r="E61" s="297"/>
      <c r="F61" s="644"/>
      <c r="G61" s="297"/>
      <c r="H61" s="297"/>
      <c r="I61" s="297"/>
      <c r="J61" s="297"/>
      <c r="K61" s="297"/>
      <c r="L61" s="297"/>
      <c r="M61" s="324"/>
    </row>
    <row r="62" spans="1:13" ht="45" x14ac:dyDescent="0.25">
      <c r="A62" s="1149">
        <v>1</v>
      </c>
      <c r="B62" s="181" t="s">
        <v>109</v>
      </c>
      <c r="C62" s="15" t="s">
        <v>108</v>
      </c>
      <c r="D62" s="16" t="s">
        <v>62</v>
      </c>
      <c r="E62" s="97"/>
      <c r="F62" s="60">
        <f>11*11*0.3</f>
        <v>36.299999999999997</v>
      </c>
      <c r="G62" s="53"/>
      <c r="H62" s="53"/>
      <c r="I62" s="53"/>
      <c r="J62" s="53"/>
      <c r="K62" s="53"/>
      <c r="L62" s="53"/>
      <c r="M62" s="54"/>
    </row>
    <row r="63" spans="1:13" x14ac:dyDescent="0.25">
      <c r="A63" s="1150"/>
      <c r="B63" s="688"/>
      <c r="C63" s="57" t="s">
        <v>63</v>
      </c>
      <c r="D63" s="22" t="s">
        <v>64</v>
      </c>
      <c r="E63" s="61">
        <v>3.4000000000000002E-2</v>
      </c>
      <c r="F63" s="24">
        <f>E63*F62</f>
        <v>1.2342</v>
      </c>
      <c r="G63" s="24"/>
      <c r="H63" s="24"/>
      <c r="I63" s="24"/>
      <c r="J63" s="24"/>
      <c r="K63" s="24"/>
      <c r="L63" s="24"/>
      <c r="M63" s="25"/>
    </row>
    <row r="64" spans="1:13" x14ac:dyDescent="0.25">
      <c r="A64" s="1150"/>
      <c r="B64" s="358"/>
      <c r="C64" s="94" t="s">
        <v>82</v>
      </c>
      <c r="D64" s="33" t="s">
        <v>78</v>
      </c>
      <c r="E64" s="66">
        <v>5.5999999999999999E-3</v>
      </c>
      <c r="F64" s="67">
        <f>E64*F62</f>
        <v>0.20327999999999999</v>
      </c>
      <c r="G64" s="67"/>
      <c r="H64" s="67"/>
      <c r="I64" s="67"/>
      <c r="J64" s="67"/>
      <c r="K64" s="67"/>
      <c r="L64" s="67"/>
      <c r="M64" s="25"/>
    </row>
    <row r="65" spans="1:13" ht="30.75" thickBot="1" x14ac:dyDescent="0.3">
      <c r="A65" s="1151"/>
      <c r="B65" s="355" t="s">
        <v>486</v>
      </c>
      <c r="C65" s="120" t="s">
        <v>103</v>
      </c>
      <c r="D65" s="17" t="s">
        <v>104</v>
      </c>
      <c r="E65" s="70">
        <v>8.0299999999999996E-2</v>
      </c>
      <c r="F65" s="27">
        <f>E65*F62</f>
        <v>2.9148899999999998</v>
      </c>
      <c r="G65" s="27"/>
      <c r="H65" s="27"/>
      <c r="I65" s="27"/>
      <c r="J65" s="27"/>
      <c r="K65" s="27"/>
      <c r="L65" s="27"/>
      <c r="M65" s="28"/>
    </row>
    <row r="66" spans="1:13" ht="30" x14ac:dyDescent="0.25">
      <c r="A66" s="1111">
        <v>2</v>
      </c>
      <c r="B66" s="1114" t="s">
        <v>105</v>
      </c>
      <c r="C66" s="15" t="s">
        <v>106</v>
      </c>
      <c r="D66" s="16" t="s">
        <v>62</v>
      </c>
      <c r="E66" s="303"/>
      <c r="F66" s="582">
        <f>F62*0.1</f>
        <v>3.63</v>
      </c>
      <c r="G66" s="53"/>
      <c r="H66" s="53"/>
      <c r="I66" s="53"/>
      <c r="J66" s="53"/>
      <c r="K66" s="53"/>
      <c r="L66" s="53"/>
      <c r="M66" s="54"/>
    </row>
    <row r="67" spans="1:13" ht="16.5" thickBot="1" x14ac:dyDescent="0.35">
      <c r="A67" s="1112"/>
      <c r="B67" s="1115"/>
      <c r="C67" s="306" t="s">
        <v>107</v>
      </c>
      <c r="D67" s="307" t="s">
        <v>64</v>
      </c>
      <c r="E67" s="304">
        <v>2.06</v>
      </c>
      <c r="F67" s="583">
        <f>F66*E67</f>
        <v>7.4778000000000002</v>
      </c>
      <c r="G67" s="24"/>
      <c r="H67" s="24"/>
      <c r="I67" s="24"/>
      <c r="J67" s="24"/>
      <c r="K67" s="24"/>
      <c r="L67" s="24"/>
      <c r="M67" s="25"/>
    </row>
    <row r="68" spans="1:13" x14ac:dyDescent="0.25">
      <c r="A68" s="1153">
        <v>3</v>
      </c>
      <c r="B68" s="78" t="s">
        <v>93</v>
      </c>
      <c r="C68" s="71" t="s">
        <v>378</v>
      </c>
      <c r="D68" s="51" t="s">
        <v>62</v>
      </c>
      <c r="E68" s="99"/>
      <c r="F68" s="60">
        <f>F62/3*2</f>
        <v>24.2</v>
      </c>
      <c r="G68" s="52"/>
      <c r="H68" s="52"/>
      <c r="I68" s="52"/>
      <c r="J68" s="52"/>
      <c r="K68" s="52"/>
      <c r="L68" s="52"/>
      <c r="M68" s="20"/>
    </row>
    <row r="69" spans="1:13" x14ac:dyDescent="0.25">
      <c r="A69" s="1154"/>
      <c r="B69" s="679"/>
      <c r="C69" s="79" t="s">
        <v>63</v>
      </c>
      <c r="D69" s="80" t="s">
        <v>64</v>
      </c>
      <c r="E69" s="812">
        <v>0.86</v>
      </c>
      <c r="F69" s="83">
        <f>E69*F68</f>
        <v>20.811999999999998</v>
      </c>
      <c r="G69" s="83"/>
      <c r="H69" s="83"/>
      <c r="I69" s="83"/>
      <c r="J69" s="83"/>
      <c r="K69" s="83"/>
      <c r="L69" s="83"/>
      <c r="M69" s="84"/>
    </row>
    <row r="70" spans="1:13" x14ac:dyDescent="0.25">
      <c r="A70" s="1154"/>
      <c r="B70" s="679"/>
      <c r="C70" s="79" t="s">
        <v>82</v>
      </c>
      <c r="D70" s="80" t="s">
        <v>78</v>
      </c>
      <c r="E70" s="812">
        <v>0.37</v>
      </c>
      <c r="F70" s="83">
        <f>E70*F68</f>
        <v>8.9539999999999988</v>
      </c>
      <c r="G70" s="83"/>
      <c r="H70" s="83"/>
      <c r="I70" s="83"/>
      <c r="J70" s="83"/>
      <c r="K70" s="67"/>
      <c r="L70" s="83"/>
      <c r="M70" s="84"/>
    </row>
    <row r="71" spans="1:13" ht="23.25" thickBot="1" x14ac:dyDescent="0.3">
      <c r="A71" s="1154"/>
      <c r="B71" s="673" t="s">
        <v>489</v>
      </c>
      <c r="C71" s="108" t="s">
        <v>94</v>
      </c>
      <c r="D71" s="109" t="s">
        <v>62</v>
      </c>
      <c r="E71" s="813">
        <v>1.1499999999999999</v>
      </c>
      <c r="F71" s="110">
        <f>E71*F68</f>
        <v>27.83</v>
      </c>
      <c r="G71" s="110"/>
      <c r="H71" s="110"/>
      <c r="I71" s="110"/>
      <c r="J71" s="110"/>
      <c r="K71" s="111"/>
      <c r="L71" s="110"/>
      <c r="M71" s="112"/>
    </row>
    <row r="72" spans="1:13" ht="30" x14ac:dyDescent="0.25">
      <c r="A72" s="1124">
        <v>4</v>
      </c>
      <c r="B72" s="181" t="s">
        <v>182</v>
      </c>
      <c r="C72" s="15" t="s">
        <v>724</v>
      </c>
      <c r="D72" s="16" t="s">
        <v>76</v>
      </c>
      <c r="E72" s="152"/>
      <c r="F72" s="223">
        <f>11*11</f>
        <v>121</v>
      </c>
      <c r="G72" s="223"/>
      <c r="H72" s="223"/>
      <c r="I72" s="223"/>
      <c r="J72" s="223"/>
      <c r="K72" s="223"/>
      <c r="L72" s="223"/>
      <c r="M72" s="722"/>
    </row>
    <row r="73" spans="1:13" x14ac:dyDescent="0.25">
      <c r="A73" s="1119"/>
      <c r="B73" s="123"/>
      <c r="C73" s="363" t="s">
        <v>714</v>
      </c>
      <c r="D73" s="116" t="s">
        <v>64</v>
      </c>
      <c r="E73" s="737">
        <f>(405-10*4.64)/1000</f>
        <v>0.35860000000000003</v>
      </c>
      <c r="F73" s="409">
        <f>F72*E73</f>
        <v>43.390600000000006</v>
      </c>
      <c r="G73" s="409"/>
      <c r="H73" s="409"/>
      <c r="I73" s="409"/>
      <c r="J73" s="409"/>
      <c r="K73" s="409"/>
      <c r="L73" s="409"/>
      <c r="M73" s="25"/>
    </row>
    <row r="74" spans="1:13" ht="22.5" x14ac:dyDescent="0.25">
      <c r="A74" s="1119"/>
      <c r="B74" s="45" t="s">
        <v>488</v>
      </c>
      <c r="C74" s="121" t="s">
        <v>183</v>
      </c>
      <c r="D74" s="22" t="s">
        <v>104</v>
      </c>
      <c r="E74" s="155">
        <v>2.2599999999999999E-2</v>
      </c>
      <c r="F74" s="409">
        <f>F72*E74</f>
        <v>2.7345999999999999</v>
      </c>
      <c r="G74" s="409"/>
      <c r="H74" s="409"/>
      <c r="I74" s="409"/>
      <c r="J74" s="409"/>
      <c r="K74" s="409"/>
      <c r="L74" s="409"/>
      <c r="M74" s="25"/>
    </row>
    <row r="75" spans="1:13" x14ac:dyDescent="0.25">
      <c r="A75" s="1119"/>
      <c r="B75" s="123"/>
      <c r="C75" s="121" t="s">
        <v>166</v>
      </c>
      <c r="D75" s="116" t="s">
        <v>78</v>
      </c>
      <c r="E75" s="155">
        <v>1.3100000000000001E-2</v>
      </c>
      <c r="F75" s="409">
        <f>E75*F72</f>
        <v>1.5851000000000002</v>
      </c>
      <c r="G75" s="409"/>
      <c r="H75" s="409"/>
      <c r="I75" s="409"/>
      <c r="J75" s="409"/>
      <c r="K75" s="67"/>
      <c r="L75" s="409"/>
      <c r="M75" s="25"/>
    </row>
    <row r="76" spans="1:13" ht="22.5" x14ac:dyDescent="0.25">
      <c r="A76" s="1119"/>
      <c r="B76" s="679" t="s">
        <v>478</v>
      </c>
      <c r="C76" s="21" t="s">
        <v>185</v>
      </c>
      <c r="D76" s="22" t="s">
        <v>739</v>
      </c>
      <c r="E76" s="961">
        <f>0.1*1.015</f>
        <v>0.10149999999999999</v>
      </c>
      <c r="F76" s="409">
        <f>F72*E76</f>
        <v>12.281499999999999</v>
      </c>
      <c r="G76" s="409"/>
      <c r="H76" s="40"/>
      <c r="I76" s="409"/>
      <c r="J76" s="409"/>
      <c r="K76" s="409"/>
      <c r="L76" s="409"/>
      <c r="M76" s="25"/>
    </row>
    <row r="77" spans="1:13" x14ac:dyDescent="0.25">
      <c r="A77" s="1119"/>
      <c r="B77" s="968" t="s">
        <v>681</v>
      </c>
      <c r="C77" s="21" t="s">
        <v>186</v>
      </c>
      <c r="D77" s="22" t="s">
        <v>88</v>
      </c>
      <c r="E77" s="295" t="s">
        <v>72</v>
      </c>
      <c r="F77" s="584">
        <f>11*116</f>
        <v>1276</v>
      </c>
      <c r="G77" s="409"/>
      <c r="H77" s="40"/>
      <c r="I77" s="409"/>
      <c r="J77" s="409"/>
      <c r="K77" s="409"/>
      <c r="L77" s="409"/>
      <c r="M77" s="25"/>
    </row>
    <row r="78" spans="1:13" x14ac:dyDescent="0.25">
      <c r="A78" s="1119"/>
      <c r="B78" s="123" t="s">
        <v>487</v>
      </c>
      <c r="C78" s="21" t="s">
        <v>187</v>
      </c>
      <c r="D78" s="22" t="s">
        <v>71</v>
      </c>
      <c r="E78" s="295" t="s">
        <v>72</v>
      </c>
      <c r="F78" s="584">
        <f>F72*0.05</f>
        <v>6.0500000000000007</v>
      </c>
      <c r="G78" s="409"/>
      <c r="H78" s="40"/>
      <c r="I78" s="409"/>
      <c r="J78" s="409"/>
      <c r="K78" s="409"/>
      <c r="L78" s="409"/>
      <c r="M78" s="25"/>
    </row>
    <row r="79" spans="1:13" ht="22.5" x14ac:dyDescent="0.25">
      <c r="A79" s="1119"/>
      <c r="B79" s="679" t="s">
        <v>492</v>
      </c>
      <c r="C79" s="21" t="s">
        <v>184</v>
      </c>
      <c r="D79" s="22" t="s">
        <v>76</v>
      </c>
      <c r="E79" s="175">
        <f>(11.7-0.59*10)/100</f>
        <v>5.7999999999999996E-2</v>
      </c>
      <c r="F79" s="409">
        <f>F72*E79</f>
        <v>7.0179999999999998</v>
      </c>
      <c r="G79" s="409"/>
      <c r="H79" s="40"/>
      <c r="I79" s="409"/>
      <c r="J79" s="409"/>
      <c r="K79" s="409"/>
      <c r="L79" s="409"/>
      <c r="M79" s="25"/>
    </row>
    <row r="80" spans="1:13" ht="15.75" thickBot="1" x14ac:dyDescent="0.3">
      <c r="A80" s="1120"/>
      <c r="B80" s="179"/>
      <c r="C80" s="58" t="s">
        <v>85</v>
      </c>
      <c r="D80" s="176" t="s">
        <v>78</v>
      </c>
      <c r="E80" s="739">
        <f>(6.4-0.19*10)/100</f>
        <v>4.4999999999999998E-2</v>
      </c>
      <c r="F80" s="581">
        <f>F72*E80</f>
        <v>5.4449999999999994</v>
      </c>
      <c r="G80" s="581"/>
      <c r="H80" s="49"/>
      <c r="I80" s="581"/>
      <c r="J80" s="581"/>
      <c r="K80" s="581"/>
      <c r="L80" s="581"/>
      <c r="M80" s="28"/>
    </row>
    <row r="81" spans="1:13" x14ac:dyDescent="0.25">
      <c r="A81" s="1119">
        <v>5</v>
      </c>
      <c r="B81" s="591" t="s">
        <v>170</v>
      </c>
      <c r="C81" s="171" t="s">
        <v>164</v>
      </c>
      <c r="D81" s="171" t="s">
        <v>88</v>
      </c>
      <c r="E81" s="172"/>
      <c r="F81" s="213">
        <f>11*9.3</f>
        <v>102.30000000000001</v>
      </c>
      <c r="G81" s="726"/>
      <c r="H81" s="726"/>
      <c r="I81" s="726"/>
      <c r="J81" s="726"/>
      <c r="K81" s="726"/>
      <c r="L81" s="726"/>
      <c r="M81" s="727"/>
    </row>
    <row r="82" spans="1:13" x14ac:dyDescent="0.25">
      <c r="A82" s="1119"/>
      <c r="B82" s="177"/>
      <c r="C82" s="159" t="s">
        <v>63</v>
      </c>
      <c r="D82" s="158" t="s">
        <v>165</v>
      </c>
      <c r="E82" s="158">
        <v>1.1100000000000001</v>
      </c>
      <c r="F82" s="24">
        <f>F81*E82</f>
        <v>113.55300000000003</v>
      </c>
      <c r="G82" s="409"/>
      <c r="H82" s="409"/>
      <c r="I82" s="409"/>
      <c r="J82" s="409"/>
      <c r="K82" s="409"/>
      <c r="L82" s="409"/>
      <c r="M82" s="25"/>
    </row>
    <row r="83" spans="1:13" x14ac:dyDescent="0.25">
      <c r="A83" s="1119"/>
      <c r="B83" s="177"/>
      <c r="C83" s="159" t="s">
        <v>166</v>
      </c>
      <c r="D83" s="158" t="s">
        <v>78</v>
      </c>
      <c r="E83" s="158">
        <v>7.1000000000000004E-3</v>
      </c>
      <c r="F83" s="24">
        <f>E83*F81</f>
        <v>0.72633000000000014</v>
      </c>
      <c r="G83" s="409"/>
      <c r="H83" s="409"/>
      <c r="I83" s="409"/>
      <c r="J83" s="409"/>
      <c r="K83" s="67"/>
      <c r="L83" s="409"/>
      <c r="M83" s="25"/>
    </row>
    <row r="84" spans="1:13" ht="22.5" x14ac:dyDescent="0.25">
      <c r="A84" s="1119"/>
      <c r="B84" s="45" t="s">
        <v>477</v>
      </c>
      <c r="C84" s="160" t="s">
        <v>173</v>
      </c>
      <c r="D84" s="158" t="s">
        <v>88</v>
      </c>
      <c r="E84" s="168">
        <v>1</v>
      </c>
      <c r="F84" s="24">
        <f>F81*E84</f>
        <v>102.30000000000001</v>
      </c>
      <c r="G84" s="409"/>
      <c r="H84" s="40"/>
      <c r="I84" s="409"/>
      <c r="J84" s="409"/>
      <c r="K84" s="409"/>
      <c r="L84" s="409"/>
      <c r="M84" s="25"/>
    </row>
    <row r="85" spans="1:13" ht="22.5" x14ac:dyDescent="0.25">
      <c r="A85" s="1119"/>
      <c r="B85" s="679" t="s">
        <v>478</v>
      </c>
      <c r="C85" s="165" t="s">
        <v>171</v>
      </c>
      <c r="D85" s="166" t="s">
        <v>62</v>
      </c>
      <c r="E85" s="166">
        <v>3.9E-2</v>
      </c>
      <c r="F85" s="24">
        <f>E85*F81</f>
        <v>3.9897000000000005</v>
      </c>
      <c r="G85" s="24"/>
      <c r="H85" s="40"/>
      <c r="I85" s="40"/>
      <c r="J85" s="40"/>
      <c r="K85" s="40"/>
      <c r="L85" s="40"/>
      <c r="M85" s="41"/>
    </row>
    <row r="86" spans="1:13" ht="22.5" x14ac:dyDescent="0.25">
      <c r="A86" s="1119"/>
      <c r="B86" s="679" t="s">
        <v>495</v>
      </c>
      <c r="C86" s="165" t="s">
        <v>172</v>
      </c>
      <c r="D86" s="166" t="s">
        <v>62</v>
      </c>
      <c r="E86" s="166">
        <v>5.9999999999999995E-4</v>
      </c>
      <c r="F86" s="24">
        <f>E86*F81</f>
        <v>6.1380000000000004E-2</v>
      </c>
      <c r="G86" s="24"/>
      <c r="H86" s="40"/>
      <c r="I86" s="40"/>
      <c r="J86" s="40"/>
      <c r="K86" s="40"/>
      <c r="L86" s="40"/>
      <c r="M86" s="41"/>
    </row>
    <row r="87" spans="1:13" ht="15.75" thickBot="1" x14ac:dyDescent="0.3">
      <c r="A87" s="1120"/>
      <c r="B87" s="115"/>
      <c r="C87" s="163" t="s">
        <v>119</v>
      </c>
      <c r="D87" s="162" t="s">
        <v>78</v>
      </c>
      <c r="E87" s="162">
        <v>9.6000000000000002E-2</v>
      </c>
      <c r="F87" s="27">
        <f>E87*F81</f>
        <v>9.820800000000002</v>
      </c>
      <c r="G87" s="581"/>
      <c r="H87" s="581"/>
      <c r="I87" s="581"/>
      <c r="J87" s="581"/>
      <c r="K87" s="581"/>
      <c r="L87" s="581"/>
      <c r="M87" s="85"/>
    </row>
    <row r="88" spans="1:13" ht="30" x14ac:dyDescent="0.25">
      <c r="A88" s="1139">
        <v>6</v>
      </c>
      <c r="B88" s="59"/>
      <c r="C88" s="15" t="s">
        <v>409</v>
      </c>
      <c r="D88" s="16" t="s">
        <v>87</v>
      </c>
      <c r="E88" s="965"/>
      <c r="F88" s="60">
        <v>11</v>
      </c>
      <c r="G88" s="60"/>
      <c r="H88" s="60"/>
      <c r="I88" s="60"/>
      <c r="J88" s="60"/>
      <c r="K88" s="60"/>
      <c r="L88" s="60"/>
      <c r="M88" s="722"/>
    </row>
    <row r="89" spans="1:13" x14ac:dyDescent="0.25">
      <c r="A89" s="1140"/>
      <c r="B89" s="45"/>
      <c r="C89" s="121" t="s">
        <v>219</v>
      </c>
      <c r="D89" s="22" t="s">
        <v>87</v>
      </c>
      <c r="E89" s="273">
        <v>1</v>
      </c>
      <c r="F89" s="24">
        <f>E89*F88</f>
        <v>11</v>
      </c>
      <c r="G89" s="24"/>
      <c r="H89" s="24"/>
      <c r="I89" s="24"/>
      <c r="J89" s="24"/>
      <c r="K89" s="24"/>
      <c r="L89" s="24"/>
      <c r="M89" s="25"/>
    </row>
    <row r="90" spans="1:13" ht="15.75" thickBot="1" x14ac:dyDescent="0.3">
      <c r="A90" s="1141"/>
      <c r="B90" s="115"/>
      <c r="C90" s="120" t="s">
        <v>580</v>
      </c>
      <c r="D90" s="17" t="s">
        <v>87</v>
      </c>
      <c r="E90" s="966">
        <v>1</v>
      </c>
      <c r="F90" s="27">
        <f>E90*F88</f>
        <v>11</v>
      </c>
      <c r="G90" s="27"/>
      <c r="H90" s="27"/>
      <c r="I90" s="27"/>
      <c r="J90" s="27"/>
      <c r="K90" s="27"/>
      <c r="L90" s="27"/>
      <c r="M90" s="28"/>
    </row>
    <row r="91" spans="1:13" ht="30" x14ac:dyDescent="0.25">
      <c r="A91" s="1139">
        <v>7</v>
      </c>
      <c r="B91" s="59"/>
      <c r="C91" s="15" t="s">
        <v>444</v>
      </c>
      <c r="D91" s="16" t="s">
        <v>87</v>
      </c>
      <c r="E91" s="965"/>
      <c r="F91" s="60">
        <v>11</v>
      </c>
      <c r="G91" s="60"/>
      <c r="H91" s="60"/>
      <c r="I91" s="60"/>
      <c r="J91" s="60"/>
      <c r="K91" s="60"/>
      <c r="L91" s="60"/>
      <c r="M91" s="722"/>
    </row>
    <row r="92" spans="1:13" x14ac:dyDescent="0.25">
      <c r="A92" s="1140"/>
      <c r="B92" s="45"/>
      <c r="C92" s="121" t="s">
        <v>219</v>
      </c>
      <c r="D92" s="22" t="s">
        <v>87</v>
      </c>
      <c r="E92" s="273">
        <v>1</v>
      </c>
      <c r="F92" s="24">
        <f>E92*F91</f>
        <v>11</v>
      </c>
      <c r="G92" s="24"/>
      <c r="H92" s="24"/>
      <c r="I92" s="24"/>
      <c r="J92" s="24"/>
      <c r="K92" s="24"/>
      <c r="L92" s="24"/>
      <c r="M92" s="25"/>
    </row>
    <row r="93" spans="1:13" ht="15.75" thickBot="1" x14ac:dyDescent="0.3">
      <c r="A93" s="1141"/>
      <c r="B93" s="115"/>
      <c r="C93" s="120" t="s">
        <v>404</v>
      </c>
      <c r="D93" s="17" t="s">
        <v>87</v>
      </c>
      <c r="E93" s="966">
        <v>1</v>
      </c>
      <c r="F93" s="27">
        <f>E93*F91</f>
        <v>11</v>
      </c>
      <c r="G93" s="969"/>
      <c r="H93" s="27"/>
      <c r="I93" s="27"/>
      <c r="J93" s="27"/>
      <c r="K93" s="27"/>
      <c r="L93" s="27"/>
      <c r="M93" s="28"/>
    </row>
    <row r="94" spans="1:13" ht="30.75" thickBot="1" x14ac:dyDescent="0.3">
      <c r="A94" s="1072"/>
      <c r="B94" s="323"/>
      <c r="C94" s="296" t="s">
        <v>466</v>
      </c>
      <c r="D94" s="297"/>
      <c r="E94" s="297"/>
      <c r="F94" s="644"/>
      <c r="G94" s="297"/>
      <c r="H94" s="297"/>
      <c r="I94" s="297"/>
      <c r="J94" s="297"/>
      <c r="K94" s="297"/>
      <c r="L94" s="297"/>
      <c r="M94" s="324"/>
    </row>
    <row r="95" spans="1:13" x14ac:dyDescent="0.25">
      <c r="A95" s="1086">
        <v>1</v>
      </c>
      <c r="B95" s="322" t="s">
        <v>335</v>
      </c>
      <c r="C95" s="34" t="s">
        <v>417</v>
      </c>
      <c r="D95" s="35" t="s">
        <v>62</v>
      </c>
      <c r="E95" s="36"/>
      <c r="F95" s="19">
        <f>2.77*2</f>
        <v>5.54</v>
      </c>
      <c r="G95" s="19"/>
      <c r="H95" s="19"/>
      <c r="I95" s="19"/>
      <c r="J95" s="19"/>
      <c r="K95" s="19"/>
      <c r="L95" s="19"/>
      <c r="M95" s="20"/>
    </row>
    <row r="96" spans="1:13" x14ac:dyDescent="0.25">
      <c r="A96" s="1087"/>
      <c r="B96" s="679"/>
      <c r="C96" s="37" t="s">
        <v>67</v>
      </c>
      <c r="D96" s="38" t="s">
        <v>68</v>
      </c>
      <c r="E96" s="44">
        <v>2.9</v>
      </c>
      <c r="F96" s="40">
        <f>E96*F95</f>
        <v>16.065999999999999</v>
      </c>
      <c r="G96" s="40"/>
      <c r="H96" s="40"/>
      <c r="I96" s="40"/>
      <c r="J96" s="40"/>
      <c r="K96" s="40"/>
      <c r="L96" s="40"/>
      <c r="M96" s="41"/>
    </row>
    <row r="97" spans="1:13" ht="22.5" x14ac:dyDescent="0.25">
      <c r="A97" s="1087"/>
      <c r="B97" s="679" t="s">
        <v>478</v>
      </c>
      <c r="C97" s="37" t="s">
        <v>221</v>
      </c>
      <c r="D97" s="38" t="s">
        <v>62</v>
      </c>
      <c r="E97" s="44">
        <v>1.0149999999999999</v>
      </c>
      <c r="F97" s="40">
        <f>E97*F95</f>
        <v>5.6230999999999991</v>
      </c>
      <c r="G97" s="40"/>
      <c r="H97" s="40"/>
      <c r="I97" s="40"/>
      <c r="J97" s="40"/>
      <c r="K97" s="40"/>
      <c r="L97" s="40"/>
      <c r="M97" s="41"/>
    </row>
    <row r="98" spans="1:13" x14ac:dyDescent="0.25">
      <c r="A98" s="1087"/>
      <c r="B98" s="679" t="s">
        <v>496</v>
      </c>
      <c r="C98" s="601" t="s">
        <v>371</v>
      </c>
      <c r="D98" s="38" t="s">
        <v>65</v>
      </c>
      <c r="E98" s="43" t="s">
        <v>72</v>
      </c>
      <c r="F98" s="75">
        <f>0.039*0.889*2</f>
        <v>6.9342000000000001E-2</v>
      </c>
      <c r="G98" s="40"/>
      <c r="H98" s="40"/>
      <c r="I98" s="40"/>
      <c r="J98" s="40"/>
      <c r="K98" s="40"/>
      <c r="L98" s="40"/>
      <c r="M98" s="41"/>
    </row>
    <row r="99" spans="1:13" x14ac:dyDescent="0.25">
      <c r="A99" s="1087"/>
      <c r="B99" s="679" t="s">
        <v>497</v>
      </c>
      <c r="C99" s="601" t="s">
        <v>73</v>
      </c>
      <c r="D99" s="38" t="s">
        <v>71</v>
      </c>
      <c r="E99" s="43" t="s">
        <v>72</v>
      </c>
      <c r="F99" s="75">
        <f>68*0.222*2</f>
        <v>30.192</v>
      </c>
      <c r="G99" s="44"/>
      <c r="H99" s="40"/>
      <c r="I99" s="40"/>
      <c r="J99" s="40"/>
      <c r="K99" s="40"/>
      <c r="L99" s="40"/>
      <c r="M99" s="41"/>
    </row>
    <row r="100" spans="1:13" x14ac:dyDescent="0.25">
      <c r="A100" s="1087"/>
      <c r="B100" s="679" t="s">
        <v>514</v>
      </c>
      <c r="C100" s="37" t="s">
        <v>338</v>
      </c>
      <c r="D100" s="38" t="s">
        <v>62</v>
      </c>
      <c r="E100" s="39">
        <v>5.5999999999999999E-3</v>
      </c>
      <c r="F100" s="40">
        <f>E100*F95</f>
        <v>3.1023999999999999E-2</v>
      </c>
      <c r="G100" s="24"/>
      <c r="H100" s="40"/>
      <c r="I100" s="40"/>
      <c r="J100" s="40"/>
      <c r="K100" s="40"/>
      <c r="L100" s="40"/>
      <c r="M100" s="41"/>
    </row>
    <row r="101" spans="1:13" ht="22.5" x14ac:dyDescent="0.25">
      <c r="A101" s="1087"/>
      <c r="B101" s="679" t="s">
        <v>492</v>
      </c>
      <c r="C101" s="37" t="s">
        <v>75</v>
      </c>
      <c r="D101" s="38" t="s">
        <v>76</v>
      </c>
      <c r="E101" s="39">
        <v>0.51100000000000001</v>
      </c>
      <c r="F101" s="40">
        <f>E101*F95</f>
        <v>2.83094</v>
      </c>
      <c r="G101" s="40"/>
      <c r="H101" s="40"/>
      <c r="I101" s="40"/>
      <c r="J101" s="40"/>
      <c r="K101" s="40"/>
      <c r="L101" s="40"/>
      <c r="M101" s="41"/>
    </row>
    <row r="102" spans="1:13" x14ac:dyDescent="0.25">
      <c r="A102" s="1087"/>
      <c r="B102" s="679"/>
      <c r="C102" s="37" t="s">
        <v>77</v>
      </c>
      <c r="D102" s="38" t="s">
        <v>78</v>
      </c>
      <c r="E102" s="39">
        <v>0.93</v>
      </c>
      <c r="F102" s="40">
        <f>E102*F95</f>
        <v>5.1522000000000006</v>
      </c>
      <c r="G102" s="40"/>
      <c r="H102" s="40"/>
      <c r="I102" s="40"/>
      <c r="J102" s="40"/>
      <c r="K102" s="67"/>
      <c r="L102" s="40"/>
      <c r="M102" s="41"/>
    </row>
    <row r="103" spans="1:13" ht="15.75" thickBot="1" x14ac:dyDescent="0.3">
      <c r="A103" s="1088"/>
      <c r="B103" s="355"/>
      <c r="C103" s="47" t="s">
        <v>79</v>
      </c>
      <c r="D103" s="342" t="s">
        <v>78</v>
      </c>
      <c r="E103" s="48">
        <v>0.16</v>
      </c>
      <c r="F103" s="49">
        <f>E103*F95</f>
        <v>0.88640000000000008</v>
      </c>
      <c r="G103" s="49"/>
      <c r="H103" s="49"/>
      <c r="I103" s="49"/>
      <c r="J103" s="49"/>
      <c r="K103" s="49"/>
      <c r="L103" s="49"/>
      <c r="M103" s="50"/>
    </row>
    <row r="104" spans="1:13" ht="45" x14ac:dyDescent="0.25">
      <c r="A104" s="1153">
        <v>2</v>
      </c>
      <c r="B104" s="322" t="s">
        <v>376</v>
      </c>
      <c r="C104" s="19" t="s">
        <v>412</v>
      </c>
      <c r="D104" s="19" t="s">
        <v>76</v>
      </c>
      <c r="E104" s="19"/>
      <c r="F104" s="19">
        <f>2.9*2*2</f>
        <v>11.6</v>
      </c>
      <c r="G104" s="19"/>
      <c r="H104" s="19"/>
      <c r="I104" s="19"/>
      <c r="J104" s="19"/>
      <c r="K104" s="19"/>
      <c r="L104" s="19"/>
      <c r="M104" s="20"/>
    </row>
    <row r="105" spans="1:13" x14ac:dyDescent="0.25">
      <c r="A105" s="1154"/>
      <c r="B105" s="679"/>
      <c r="C105" s="37" t="s">
        <v>67</v>
      </c>
      <c r="D105" s="38" t="s">
        <v>68</v>
      </c>
      <c r="E105" s="39">
        <v>1.42</v>
      </c>
      <c r="F105" s="40">
        <f>E105*F104</f>
        <v>16.471999999999998</v>
      </c>
      <c r="G105" s="40"/>
      <c r="H105" s="40"/>
      <c r="I105" s="40"/>
      <c r="J105" s="40"/>
      <c r="K105" s="40"/>
      <c r="L105" s="40"/>
      <c r="M105" s="41"/>
    </row>
    <row r="106" spans="1:13" ht="22.5" x14ac:dyDescent="0.25">
      <c r="A106" s="1154"/>
      <c r="B106" s="679" t="s">
        <v>495</v>
      </c>
      <c r="C106" s="37" t="s">
        <v>98</v>
      </c>
      <c r="D106" s="38" t="s">
        <v>62</v>
      </c>
      <c r="E106" s="39">
        <v>3.6499999999999998E-2</v>
      </c>
      <c r="F106" s="40">
        <f>E106*F104</f>
        <v>0.42339999999999994</v>
      </c>
      <c r="G106" s="55"/>
      <c r="H106" s="40"/>
      <c r="I106" s="40"/>
      <c r="J106" s="40"/>
      <c r="K106" s="40"/>
      <c r="L106" s="40"/>
      <c r="M106" s="41"/>
    </row>
    <row r="107" spans="1:13" x14ac:dyDescent="0.25">
      <c r="A107" s="1154"/>
      <c r="B107" s="673"/>
      <c r="C107" s="76" t="s">
        <v>85</v>
      </c>
      <c r="D107" s="675" t="s">
        <v>78</v>
      </c>
      <c r="E107" s="77">
        <v>3.0000000000000001E-3</v>
      </c>
      <c r="F107" s="40">
        <f>E107*F104</f>
        <v>3.4799999999999998E-2</v>
      </c>
      <c r="G107" s="68"/>
      <c r="H107" s="40"/>
      <c r="I107" s="68"/>
      <c r="J107" s="68"/>
      <c r="K107" s="68"/>
      <c r="L107" s="68"/>
      <c r="M107" s="41"/>
    </row>
    <row r="108" spans="1:13" ht="15.75" thickBot="1" x14ac:dyDescent="0.3">
      <c r="A108" s="1157"/>
      <c r="B108" s="355"/>
      <c r="C108" s="291" t="s">
        <v>82</v>
      </c>
      <c r="D108" s="292" t="s">
        <v>78</v>
      </c>
      <c r="E108" s="815">
        <v>6.9000000000000006E-2</v>
      </c>
      <c r="F108" s="49">
        <f>E108*F104</f>
        <v>0.8004</v>
      </c>
      <c r="G108" s="49"/>
      <c r="H108" s="49"/>
      <c r="I108" s="49"/>
      <c r="J108" s="49"/>
      <c r="K108" s="67"/>
      <c r="L108" s="49"/>
      <c r="M108" s="50"/>
    </row>
    <row r="109" spans="1:13" ht="30" x14ac:dyDescent="0.25">
      <c r="A109" s="1139">
        <v>3</v>
      </c>
      <c r="B109" s="322" t="s">
        <v>99</v>
      </c>
      <c r="C109" s="86" t="s">
        <v>100</v>
      </c>
      <c r="D109" s="19" t="s">
        <v>76</v>
      </c>
      <c r="E109" s="36"/>
      <c r="F109" s="19">
        <f>F104</f>
        <v>11.6</v>
      </c>
      <c r="G109" s="19"/>
      <c r="H109" s="19"/>
      <c r="I109" s="19"/>
      <c r="J109" s="19"/>
      <c r="K109" s="19"/>
      <c r="L109" s="19"/>
      <c r="M109" s="20"/>
    </row>
    <row r="110" spans="1:13" x14ac:dyDescent="0.25">
      <c r="A110" s="1140"/>
      <c r="B110" s="679"/>
      <c r="C110" s="37" t="s">
        <v>67</v>
      </c>
      <c r="D110" s="38" t="s">
        <v>68</v>
      </c>
      <c r="E110" s="39">
        <v>0.25</v>
      </c>
      <c r="F110" s="40">
        <f>E110*F109</f>
        <v>2.9</v>
      </c>
      <c r="G110" s="40"/>
      <c r="H110" s="40"/>
      <c r="I110" s="40"/>
      <c r="J110" s="40"/>
      <c r="K110" s="40"/>
      <c r="L110" s="40"/>
      <c r="M110" s="41"/>
    </row>
    <row r="111" spans="1:13" ht="22.5" x14ac:dyDescent="0.25">
      <c r="A111" s="1140"/>
      <c r="B111" s="679" t="s">
        <v>495</v>
      </c>
      <c r="C111" s="37" t="s">
        <v>101</v>
      </c>
      <c r="D111" s="38" t="s">
        <v>62</v>
      </c>
      <c r="E111" s="39">
        <v>8.0000000000000002E-3</v>
      </c>
      <c r="F111" s="40">
        <f>E111*F109</f>
        <v>9.2799999999999994E-2</v>
      </c>
      <c r="G111" s="55"/>
      <c r="H111" s="40"/>
      <c r="I111" s="40"/>
      <c r="J111" s="40"/>
      <c r="K111" s="40"/>
      <c r="L111" s="40"/>
      <c r="M111" s="41"/>
    </row>
    <row r="112" spans="1:13" ht="30" x14ac:dyDescent="0.25">
      <c r="A112" s="1140"/>
      <c r="B112" s="679" t="s">
        <v>577</v>
      </c>
      <c r="C112" s="42" t="s">
        <v>102</v>
      </c>
      <c r="D112" s="38" t="s">
        <v>71</v>
      </c>
      <c r="E112" s="39">
        <v>0.63</v>
      </c>
      <c r="F112" s="40">
        <f>E112*F109</f>
        <v>7.3079999999999998</v>
      </c>
      <c r="G112" s="40"/>
      <c r="H112" s="40"/>
      <c r="I112" s="40"/>
      <c r="J112" s="40"/>
      <c r="K112" s="40"/>
      <c r="L112" s="40"/>
      <c r="M112" s="41"/>
    </row>
    <row r="113" spans="1:13" x14ac:dyDescent="0.25">
      <c r="A113" s="1140"/>
      <c r="B113" s="679"/>
      <c r="C113" s="37" t="s">
        <v>77</v>
      </c>
      <c r="D113" s="38" t="s">
        <v>78</v>
      </c>
      <c r="E113" s="39">
        <v>0.08</v>
      </c>
      <c r="F113" s="40">
        <f>E113*F109</f>
        <v>0.92799999999999994</v>
      </c>
      <c r="G113" s="75"/>
      <c r="H113" s="40"/>
      <c r="I113" s="40"/>
      <c r="J113" s="40"/>
      <c r="K113" s="67"/>
      <c r="L113" s="40"/>
      <c r="M113" s="41"/>
    </row>
    <row r="114" spans="1:13" ht="15.75" thickBot="1" x14ac:dyDescent="0.3">
      <c r="A114" s="1140"/>
      <c r="B114" s="673"/>
      <c r="C114" s="76" t="s">
        <v>85</v>
      </c>
      <c r="D114" s="675" t="s">
        <v>78</v>
      </c>
      <c r="E114" s="77">
        <v>4.1999999999999997E-3</v>
      </c>
      <c r="F114" s="68">
        <f>E114*F109</f>
        <v>4.8719999999999992E-2</v>
      </c>
      <c r="G114" s="68"/>
      <c r="H114" s="68"/>
      <c r="I114" s="68"/>
      <c r="J114" s="68"/>
      <c r="K114" s="68"/>
      <c r="L114" s="68"/>
      <c r="M114" s="678"/>
    </row>
    <row r="115" spans="1:13" ht="30" x14ac:dyDescent="0.25">
      <c r="A115" s="1121">
        <v>4</v>
      </c>
      <c r="B115" s="59"/>
      <c r="C115" s="15" t="s">
        <v>418</v>
      </c>
      <c r="D115" s="16" t="s">
        <v>76</v>
      </c>
      <c r="E115" s="965"/>
      <c r="F115" s="60">
        <f>6*0.5*2+6*0.1*2</f>
        <v>7.2</v>
      </c>
      <c r="G115" s="60"/>
      <c r="H115" s="60"/>
      <c r="I115" s="60"/>
      <c r="J115" s="60"/>
      <c r="K115" s="60"/>
      <c r="L115" s="60"/>
      <c r="M115" s="722"/>
    </row>
    <row r="116" spans="1:13" x14ac:dyDescent="0.25">
      <c r="A116" s="1122"/>
      <c r="B116" s="45"/>
      <c r="C116" s="121" t="s">
        <v>219</v>
      </c>
      <c r="D116" s="22" t="s">
        <v>64</v>
      </c>
      <c r="E116" s="273">
        <v>0.2</v>
      </c>
      <c r="F116" s="24">
        <f>E116*F115</f>
        <v>1.4400000000000002</v>
      </c>
      <c r="G116" s="976"/>
      <c r="H116" s="976"/>
      <c r="I116" s="24"/>
      <c r="J116" s="24"/>
      <c r="K116" s="24"/>
      <c r="L116" s="24"/>
      <c r="M116" s="25"/>
    </row>
    <row r="117" spans="1:13" x14ac:dyDescent="0.25">
      <c r="A117" s="1122"/>
      <c r="B117" s="45" t="s">
        <v>147</v>
      </c>
      <c r="C117" s="121" t="s">
        <v>420</v>
      </c>
      <c r="D117" s="22" t="s">
        <v>76</v>
      </c>
      <c r="E117" s="273">
        <v>1</v>
      </c>
      <c r="F117" s="24">
        <f>F115*E117</f>
        <v>7.2</v>
      </c>
      <c r="G117" s="24"/>
      <c r="H117" s="24"/>
      <c r="I117" s="976"/>
      <c r="J117" s="976"/>
      <c r="K117" s="24"/>
      <c r="L117" s="24"/>
      <c r="M117" s="25"/>
    </row>
    <row r="118" spans="1:13" ht="15.75" thickBot="1" x14ac:dyDescent="0.3">
      <c r="A118" s="1123"/>
      <c r="B118" s="115" t="s">
        <v>147</v>
      </c>
      <c r="C118" s="120" t="s">
        <v>416</v>
      </c>
      <c r="D118" s="17" t="s">
        <v>87</v>
      </c>
      <c r="E118" s="966">
        <v>4</v>
      </c>
      <c r="F118" s="27">
        <f>E118*F115</f>
        <v>28.8</v>
      </c>
      <c r="G118" s="27"/>
      <c r="H118" s="27"/>
      <c r="I118" s="977"/>
      <c r="J118" s="977"/>
      <c r="K118" s="27"/>
      <c r="L118" s="27"/>
      <c r="M118" s="28"/>
    </row>
    <row r="119" spans="1:13" ht="30" x14ac:dyDescent="0.25">
      <c r="A119" s="1140">
        <v>5</v>
      </c>
      <c r="B119" s="970"/>
      <c r="C119" s="92" t="s">
        <v>419</v>
      </c>
      <c r="D119" s="29" t="s">
        <v>87</v>
      </c>
      <c r="E119" s="971"/>
      <c r="F119" s="213">
        <v>4</v>
      </c>
      <c r="G119" s="213"/>
      <c r="H119" s="213"/>
      <c r="I119" s="213"/>
      <c r="J119" s="213"/>
      <c r="K119" s="213"/>
      <c r="L119" s="213"/>
      <c r="M119" s="972"/>
    </row>
    <row r="120" spans="1:13" x14ac:dyDescent="0.25">
      <c r="A120" s="1140"/>
      <c r="B120" s="45"/>
      <c r="C120" s="121" t="s">
        <v>219</v>
      </c>
      <c r="D120" s="22" t="s">
        <v>87</v>
      </c>
      <c r="E120" s="273">
        <v>1</v>
      </c>
      <c r="F120" s="24">
        <f>E120*F119</f>
        <v>4</v>
      </c>
      <c r="G120" s="24"/>
      <c r="H120" s="24"/>
      <c r="I120" s="24"/>
      <c r="J120" s="24"/>
      <c r="K120" s="24"/>
      <c r="L120" s="24"/>
      <c r="M120" s="25"/>
    </row>
    <row r="121" spans="1:13" ht="15.75" thickBot="1" x14ac:dyDescent="0.3">
      <c r="A121" s="1140"/>
      <c r="B121" s="64"/>
      <c r="C121" s="973" t="s">
        <v>579</v>
      </c>
      <c r="D121" s="33" t="s">
        <v>87</v>
      </c>
      <c r="E121" s="326">
        <v>1</v>
      </c>
      <c r="F121" s="67">
        <f>E121*F119</f>
        <v>4</v>
      </c>
      <c r="G121" s="67"/>
      <c r="H121" s="67"/>
      <c r="I121" s="67"/>
      <c r="J121" s="67"/>
      <c r="K121" s="67"/>
      <c r="L121" s="67"/>
      <c r="M121" s="95"/>
    </row>
    <row r="122" spans="1:13" x14ac:dyDescent="0.25">
      <c r="A122" s="730"/>
      <c r="B122" s="672"/>
      <c r="C122" s="615" t="s">
        <v>113</v>
      </c>
      <c r="D122" s="674"/>
      <c r="E122" s="275"/>
      <c r="F122" s="676"/>
      <c r="G122" s="676"/>
      <c r="H122" s="19"/>
      <c r="I122" s="19"/>
      <c r="J122" s="19"/>
      <c r="K122" s="19"/>
      <c r="L122" s="19"/>
      <c r="M122" s="20"/>
    </row>
    <row r="123" spans="1:13" x14ac:dyDescent="0.25">
      <c r="A123" s="733"/>
      <c r="B123" s="679"/>
      <c r="C123" s="57" t="s">
        <v>672</v>
      </c>
      <c r="D123" s="38"/>
      <c r="E123" s="39"/>
      <c r="F123" s="40"/>
      <c r="G123" s="40"/>
      <c r="H123" s="40"/>
      <c r="I123" s="40"/>
      <c r="J123" s="40"/>
      <c r="K123" s="40"/>
      <c r="L123" s="40"/>
      <c r="M123" s="41"/>
    </row>
    <row r="124" spans="1:13" ht="30" x14ac:dyDescent="0.25">
      <c r="A124" s="696"/>
      <c r="B124" s="343"/>
      <c r="C124" s="121" t="s">
        <v>218</v>
      </c>
      <c r="D124" s="362" t="s">
        <v>757</v>
      </c>
      <c r="E124" s="39"/>
      <c r="F124" s="40"/>
      <c r="G124" s="40"/>
      <c r="H124" s="40"/>
      <c r="I124" s="75"/>
      <c r="J124" s="75"/>
      <c r="K124" s="75"/>
      <c r="L124" s="75"/>
      <c r="M124" s="41"/>
    </row>
    <row r="125" spans="1:13" x14ac:dyDescent="0.25">
      <c r="A125" s="696"/>
      <c r="B125" s="343"/>
      <c r="C125" s="594" t="s">
        <v>24</v>
      </c>
      <c r="D125" s="362"/>
      <c r="E125" s="39"/>
      <c r="F125" s="40"/>
      <c r="G125" s="40"/>
      <c r="H125" s="75"/>
      <c r="I125" s="75"/>
      <c r="J125" s="75"/>
      <c r="K125" s="75"/>
      <c r="L125" s="75"/>
      <c r="M125" s="597"/>
    </row>
    <row r="126" spans="1:13" x14ac:dyDescent="0.25">
      <c r="A126" s="696"/>
      <c r="B126" s="123"/>
      <c r="C126" s="21" t="s">
        <v>759</v>
      </c>
      <c r="D126" s="362" t="s">
        <v>757</v>
      </c>
      <c r="E126" s="61"/>
      <c r="F126" s="75"/>
      <c r="G126" s="75"/>
      <c r="H126" s="75"/>
      <c r="I126" s="40"/>
      <c r="J126" s="40"/>
      <c r="K126" s="40"/>
      <c r="L126" s="24"/>
      <c r="M126" s="25"/>
    </row>
    <row r="127" spans="1:13" x14ac:dyDescent="0.25">
      <c r="A127" s="696"/>
      <c r="B127" s="123"/>
      <c r="C127" s="595" t="s">
        <v>24</v>
      </c>
      <c r="D127" s="362"/>
      <c r="E127" s="61"/>
      <c r="F127" s="75"/>
      <c r="G127" s="75"/>
      <c r="H127" s="75"/>
      <c r="I127" s="40"/>
      <c r="J127" s="40"/>
      <c r="K127" s="40"/>
      <c r="L127" s="40"/>
      <c r="M127" s="118"/>
    </row>
    <row r="128" spans="1:13" ht="30" x14ac:dyDescent="0.25">
      <c r="A128" s="696"/>
      <c r="B128" s="123"/>
      <c r="C128" s="363" t="s">
        <v>758</v>
      </c>
      <c r="D128" s="362" t="s">
        <v>757</v>
      </c>
      <c r="E128" s="61"/>
      <c r="F128" s="75"/>
      <c r="G128" s="75"/>
      <c r="H128" s="75"/>
      <c r="I128" s="40"/>
      <c r="J128" s="40"/>
      <c r="K128" s="40"/>
      <c r="L128" s="24"/>
      <c r="M128" s="25"/>
    </row>
    <row r="129" spans="1:13" s="765" customFormat="1" x14ac:dyDescent="0.25">
      <c r="A129" s="1025"/>
      <c r="B129" s="381"/>
      <c r="C129" s="595" t="s">
        <v>24</v>
      </c>
      <c r="D129" s="362"/>
      <c r="E129" s="334"/>
      <c r="F129" s="75"/>
      <c r="G129" s="75"/>
      <c r="H129" s="75"/>
      <c r="I129" s="75"/>
      <c r="J129" s="75"/>
      <c r="K129" s="75"/>
      <c r="L129" s="669"/>
      <c r="M129" s="118"/>
    </row>
    <row r="130" spans="1:13" ht="15.75" x14ac:dyDescent="0.3">
      <c r="A130" s="766"/>
      <c r="B130" s="978"/>
      <c r="C130" s="979"/>
      <c r="D130" s="728"/>
      <c r="E130" s="728"/>
      <c r="F130" s="768"/>
      <c r="G130" s="769"/>
      <c r="H130" s="769"/>
      <c r="I130" s="769"/>
      <c r="J130" s="769"/>
      <c r="K130" s="769"/>
      <c r="L130" s="769"/>
      <c r="M130" s="769"/>
    </row>
    <row r="131" spans="1:13" ht="15.75" x14ac:dyDescent="0.3">
      <c r="A131" s="766"/>
      <c r="B131" s="978"/>
      <c r="C131" s="979"/>
      <c r="D131" s="728"/>
      <c r="E131" s="728"/>
      <c r="F131" s="768"/>
      <c r="G131" s="769"/>
      <c r="H131" s="769"/>
      <c r="I131" s="769"/>
      <c r="J131" s="769"/>
      <c r="K131" s="769"/>
      <c r="L131" s="769"/>
      <c r="M131" s="769"/>
    </row>
    <row r="132" spans="1:13" ht="15.75" x14ac:dyDescent="0.3">
      <c r="A132" s="766"/>
      <c r="B132" s="978"/>
      <c r="C132" s="979"/>
      <c r="D132" s="728"/>
      <c r="E132" s="728"/>
      <c r="F132" s="768"/>
      <c r="G132" s="769"/>
      <c r="H132" s="769"/>
      <c r="I132" s="769"/>
      <c r="J132" s="769"/>
      <c r="K132" s="769"/>
      <c r="L132" s="769"/>
      <c r="M132" s="769"/>
    </row>
    <row r="133" spans="1:13" ht="15.75" x14ac:dyDescent="0.3">
      <c r="B133" s="974"/>
      <c r="C133" s="844"/>
    </row>
    <row r="134" spans="1:13" ht="15.75" x14ac:dyDescent="0.3">
      <c r="B134" s="974"/>
      <c r="C134" s="844"/>
    </row>
    <row r="135" spans="1:13" ht="15.75" x14ac:dyDescent="0.3">
      <c r="B135" s="974"/>
      <c r="C135" s="844"/>
    </row>
    <row r="136" spans="1:13" ht="15.75" x14ac:dyDescent="0.3">
      <c r="B136" s="974"/>
      <c r="C136" s="844"/>
    </row>
  </sheetData>
  <sheetProtection password="CF7A" sheet="1" objects="1" scenarios="1"/>
  <protectedRanges>
    <protectedRange sqref="D122:F128" name="Range2"/>
    <protectedRange sqref="G9:M129" name="Range1"/>
  </protectedRanges>
  <autoFilter ref="A8:M129"/>
  <mergeCells count="37"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9:A12"/>
    <mergeCell ref="A13:A14"/>
    <mergeCell ref="B13:B14"/>
    <mergeCell ref="A91:A93"/>
    <mergeCell ref="A88:A90"/>
    <mergeCell ref="A15:A18"/>
    <mergeCell ref="A43:A47"/>
    <mergeCell ref="A48:A53"/>
    <mergeCell ref="B66:B67"/>
    <mergeCell ref="A68:A71"/>
    <mergeCell ref="A72:A80"/>
    <mergeCell ref="A81:A87"/>
    <mergeCell ref="A19:A27"/>
    <mergeCell ref="A28:A34"/>
    <mergeCell ref="A54:A57"/>
    <mergeCell ref="A35:A42"/>
    <mergeCell ref="A115:A118"/>
    <mergeCell ref="A119:A121"/>
    <mergeCell ref="A95:A103"/>
    <mergeCell ref="A58:A60"/>
    <mergeCell ref="A62:A65"/>
    <mergeCell ref="A66:A67"/>
    <mergeCell ref="A104:A108"/>
    <mergeCell ref="A109:A114"/>
  </mergeCells>
  <conditionalFormatting sqref="B91:F91 B36:F37 B39:F40 F76:F80 F23:F27 B93:F93 B92:C92 F92">
    <cfRule type="cellIs" dxfId="34" priority="59" stopIfTrue="1" operator="equal">
      <formula>8223.307275</formula>
    </cfRule>
  </conditionalFormatting>
  <conditionalFormatting sqref="B10:F14">
    <cfRule type="cellIs" dxfId="33" priority="57" stopIfTrue="1" operator="equal">
      <formula>8223.307275</formula>
    </cfRule>
  </conditionalFormatting>
  <conditionalFormatting sqref="B54:F57">
    <cfRule type="cellIs" dxfId="32" priority="44" stopIfTrue="1" operator="equal">
      <formula>8223.307275</formula>
    </cfRule>
  </conditionalFormatting>
  <conditionalFormatting sqref="E19:F19 E21:F22 F20">
    <cfRule type="cellIs" dxfId="31" priority="46" stopIfTrue="1" operator="equal">
      <formula>8223.307275</formula>
    </cfRule>
  </conditionalFormatting>
  <conditionalFormatting sqref="B21">
    <cfRule type="cellIs" dxfId="30" priority="45" stopIfTrue="1" operator="equal">
      <formula>8223.307275</formula>
    </cfRule>
  </conditionalFormatting>
  <conditionalFormatting sqref="C19:F19 C21:F22 C20:D20 F20 C76:D80 F76:F80 C23:D27 F23:F27">
    <cfRule type="cellIs" dxfId="29" priority="47" stopIfTrue="1" operator="equal">
      <formula>0</formula>
    </cfRule>
  </conditionalFormatting>
  <conditionalFormatting sqref="B41:F41">
    <cfRule type="cellIs" dxfId="28" priority="43" stopIfTrue="1" operator="equal">
      <formula>8223.307275</formula>
    </cfRule>
  </conditionalFormatting>
  <conditionalFormatting sqref="B42:F42">
    <cfRule type="cellIs" dxfId="27" priority="42" stopIfTrue="1" operator="equal">
      <formula>8223.307275</formula>
    </cfRule>
  </conditionalFormatting>
  <conditionalFormatting sqref="B35:F35">
    <cfRule type="cellIs" dxfId="26" priority="40" stopIfTrue="1" operator="equal">
      <formula>8223.307275</formula>
    </cfRule>
  </conditionalFormatting>
  <conditionalFormatting sqref="B58:F60">
    <cfRule type="cellIs" dxfId="25" priority="39" stopIfTrue="1" operator="equal">
      <formula>8223.307275</formula>
    </cfRule>
  </conditionalFormatting>
  <conditionalFormatting sqref="B96:F97 B100:F101">
    <cfRule type="cellIs" dxfId="24" priority="28" stopIfTrue="1" operator="equal">
      <formula>8223.307275</formula>
    </cfRule>
  </conditionalFormatting>
  <conditionalFormatting sqref="B63:F67">
    <cfRule type="cellIs" dxfId="23" priority="37" stopIfTrue="1" operator="equal">
      <formula>8223.307275</formula>
    </cfRule>
  </conditionalFormatting>
  <conditionalFormatting sqref="B115:F118">
    <cfRule type="cellIs" dxfId="22" priority="23" stopIfTrue="1" operator="equal">
      <formula>8223.307275</formula>
    </cfRule>
  </conditionalFormatting>
  <conditionalFormatting sqref="E72:F72 E74:F75 F73">
    <cfRule type="cellIs" dxfId="21" priority="35" stopIfTrue="1" operator="equal">
      <formula>8223.307275</formula>
    </cfRule>
  </conditionalFormatting>
  <conditionalFormatting sqref="B74">
    <cfRule type="cellIs" dxfId="20" priority="34" stopIfTrue="1" operator="equal">
      <formula>8223.307275</formula>
    </cfRule>
  </conditionalFormatting>
  <conditionalFormatting sqref="C72:F72 C74:F75 C73:D73 F73">
    <cfRule type="cellIs" dxfId="19" priority="36" stopIfTrue="1" operator="equal">
      <formula>0</formula>
    </cfRule>
  </conditionalFormatting>
  <conditionalFormatting sqref="B102:F102">
    <cfRule type="cellIs" dxfId="18" priority="22" stopIfTrue="1" operator="equal">
      <formula>8223.307275</formula>
    </cfRule>
  </conditionalFormatting>
  <conditionalFormatting sqref="B103:F103">
    <cfRule type="cellIs" dxfId="17" priority="21" stopIfTrue="1" operator="equal">
      <formula>8223.307275</formula>
    </cfRule>
  </conditionalFormatting>
  <conditionalFormatting sqref="B95:F95">
    <cfRule type="cellIs" dxfId="16" priority="20" stopIfTrue="1" operator="equal">
      <formula>8223.307275</formula>
    </cfRule>
  </conditionalFormatting>
  <conditionalFormatting sqref="B88:F90">
    <cfRule type="cellIs" dxfId="15" priority="29" stopIfTrue="1" operator="equal">
      <formula>8223.307275</formula>
    </cfRule>
  </conditionalFormatting>
  <conditionalFormatting sqref="B119:F121">
    <cfRule type="cellIs" dxfId="14" priority="19" stopIfTrue="1" operator="equal">
      <formula>8223.307275</formula>
    </cfRule>
  </conditionalFormatting>
  <conditionalFormatting sqref="E20">
    <cfRule type="cellIs" dxfId="13" priority="17" stopIfTrue="1" operator="equal">
      <formula>8223.307275</formula>
    </cfRule>
  </conditionalFormatting>
  <conditionalFormatting sqref="E20">
    <cfRule type="cellIs" dxfId="12" priority="18" stopIfTrue="1" operator="equal">
      <formula>0</formula>
    </cfRule>
  </conditionalFormatting>
  <conditionalFormatting sqref="E27">
    <cfRule type="cellIs" dxfId="11" priority="11" stopIfTrue="1" operator="equal">
      <formula>8223.307275</formula>
    </cfRule>
  </conditionalFormatting>
  <conditionalFormatting sqref="E80">
    <cfRule type="cellIs" dxfId="10" priority="3" stopIfTrue="1" operator="equal">
      <formula>8223.307275</formula>
    </cfRule>
  </conditionalFormatting>
  <conditionalFormatting sqref="E26">
    <cfRule type="cellIs" dxfId="9" priority="13" stopIfTrue="1" operator="equal">
      <formula>8223.307275</formula>
    </cfRule>
  </conditionalFormatting>
  <conditionalFormatting sqref="E26">
    <cfRule type="cellIs" dxfId="8" priority="14" stopIfTrue="1" operator="equal">
      <formula>0</formula>
    </cfRule>
  </conditionalFormatting>
  <conditionalFormatting sqref="E27">
    <cfRule type="cellIs" dxfId="7" priority="12" stopIfTrue="1" operator="equal">
      <formula>0</formula>
    </cfRule>
  </conditionalFormatting>
  <conditionalFormatting sqref="E73">
    <cfRule type="cellIs" dxfId="6" priority="9" stopIfTrue="1" operator="equal">
      <formula>8223.307275</formula>
    </cfRule>
  </conditionalFormatting>
  <conditionalFormatting sqref="E73">
    <cfRule type="cellIs" dxfId="5" priority="10" stopIfTrue="1" operator="equal">
      <formula>0</formula>
    </cfRule>
  </conditionalFormatting>
  <conditionalFormatting sqref="E79">
    <cfRule type="cellIs" dxfId="4" priority="5" stopIfTrue="1" operator="equal">
      <formula>8223.307275</formula>
    </cfRule>
  </conditionalFormatting>
  <conditionalFormatting sqref="E79">
    <cfRule type="cellIs" dxfId="3" priority="6" stopIfTrue="1" operator="equal">
      <formula>0</formula>
    </cfRule>
  </conditionalFormatting>
  <conditionalFormatting sqref="E80">
    <cfRule type="cellIs" dxfId="2" priority="4" stopIfTrue="1" operator="equal">
      <formula>0</formula>
    </cfRule>
  </conditionalFormatting>
  <conditionalFormatting sqref="E92">
    <cfRule type="cellIs" dxfId="1" priority="2" stopIfTrue="1" operator="equal">
      <formula>8223.307275</formula>
    </cfRule>
  </conditionalFormatting>
  <conditionalFormatting sqref="D92">
    <cfRule type="cellIs" dxfId="0" priority="1" stopIfTrue="1" operator="equal">
      <formula>8223.307275</formula>
    </cfRule>
  </conditionalFormatting>
  <pageMargins left="1.0236220472440944" right="0" top="0.23622047244094491" bottom="0.51181102362204722" header="0.15748031496062992" footer="0.15748031496062992"/>
  <pageSetup paperSize="9" scale="90" orientation="landscape" horizontalDpi="4294967295" verticalDpi="429496729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09"/>
  <sheetViews>
    <sheetView view="pageBreakPreview" topLeftCell="A91" zoomScaleNormal="110" zoomScaleSheetLayoutView="100" workbookViewId="0">
      <selection activeCell="C109" sqref="C109"/>
    </sheetView>
  </sheetViews>
  <sheetFormatPr defaultRowHeight="15" x14ac:dyDescent="0.25"/>
  <cols>
    <col min="1" max="1" width="4.140625" style="708" customWidth="1"/>
    <col min="2" max="2" width="9.140625" style="770" customWidth="1"/>
    <col min="3" max="3" width="49.140625" style="710" customWidth="1"/>
    <col min="4" max="4" width="10.140625" style="710" customWidth="1"/>
    <col min="5" max="5" width="10.28515625" style="710" bestFit="1" customWidth="1"/>
    <col min="6" max="6" width="9.5703125" style="772" bestFit="1" customWidth="1"/>
    <col min="7" max="7" width="7.85546875" style="709" bestFit="1" customWidth="1"/>
    <col min="8" max="8" width="10.140625" style="709" bestFit="1" customWidth="1"/>
    <col min="9" max="9" width="5.28515625" style="709" bestFit="1" customWidth="1"/>
    <col min="10" max="10" width="9" style="709" bestFit="1" customWidth="1"/>
    <col min="11" max="11" width="5.42578125" style="709" bestFit="1" customWidth="1"/>
    <col min="12" max="12" width="9" style="709" bestFit="1" customWidth="1"/>
    <col min="13" max="13" width="12.5703125" style="709" bestFit="1" customWidth="1"/>
    <col min="14" max="16384" width="9.140625" style="710"/>
  </cols>
  <sheetData>
    <row r="1" spans="1:13" x14ac:dyDescent="0.25">
      <c r="B1" s="1089" t="s">
        <v>643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3" x14ac:dyDescent="0.25">
      <c r="B2" s="1090" t="s">
        <v>615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x14ac:dyDescent="0.25">
      <c r="A3" s="12"/>
      <c r="B3" s="1091" t="s">
        <v>581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6.5" thickBot="1" x14ac:dyDescent="0.35">
      <c r="A4" s="1092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.7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3">
      <c r="A6" s="1095"/>
      <c r="B6" s="1097"/>
      <c r="C6" s="1099"/>
      <c r="D6" s="1099"/>
      <c r="E6" s="77" t="s">
        <v>399</v>
      </c>
      <c r="F6" s="68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711" customFormat="1" ht="15.75" thickBot="1" x14ac:dyDescent="0.3">
      <c r="A7" s="541"/>
      <c r="B7" s="184" t="s">
        <v>60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6">
        <v>13</v>
      </c>
    </row>
    <row r="8" spans="1:13" ht="30.75" thickBot="1" x14ac:dyDescent="0.3">
      <c r="A8" s="542"/>
      <c r="B8" s="299"/>
      <c r="C8" s="335" t="s">
        <v>582</v>
      </c>
      <c r="D8" s="300"/>
      <c r="E8" s="300"/>
      <c r="F8" s="580"/>
      <c r="G8" s="300"/>
      <c r="H8" s="300"/>
      <c r="I8" s="300"/>
      <c r="J8" s="300"/>
      <c r="K8" s="300"/>
      <c r="L8" s="300"/>
      <c r="M8" s="301"/>
    </row>
    <row r="9" spans="1:13" ht="30" x14ac:dyDescent="0.25">
      <c r="A9" s="1086">
        <v>1</v>
      </c>
      <c r="B9" s="181" t="s">
        <v>583</v>
      </c>
      <c r="C9" s="486" t="s">
        <v>584</v>
      </c>
      <c r="D9" s="152" t="s">
        <v>62</v>
      </c>
      <c r="E9" s="712"/>
      <c r="F9" s="713">
        <f>291.2*0.08</f>
        <v>23.295999999999999</v>
      </c>
      <c r="G9" s="676"/>
      <c r="H9" s="676"/>
      <c r="I9" s="676"/>
      <c r="J9" s="676"/>
      <c r="K9" s="676"/>
      <c r="L9" s="676"/>
      <c r="M9" s="677"/>
    </row>
    <row r="10" spans="1:13" x14ac:dyDescent="0.25">
      <c r="A10" s="1087"/>
      <c r="B10" s="45"/>
      <c r="C10" s="153" t="s">
        <v>114</v>
      </c>
      <c r="D10" s="117" t="s">
        <v>68</v>
      </c>
      <c r="E10" s="154">
        <v>1.6</v>
      </c>
      <c r="F10" s="409">
        <f>E10*F9</f>
        <v>37.273600000000002</v>
      </c>
      <c r="G10" s="40"/>
      <c r="H10" s="40"/>
      <c r="I10" s="40"/>
      <c r="J10" s="40"/>
      <c r="K10" s="40"/>
      <c r="L10" s="40"/>
      <c r="M10" s="25"/>
    </row>
    <row r="11" spans="1:13" ht="22.5" x14ac:dyDescent="0.25">
      <c r="A11" s="1087"/>
      <c r="B11" s="45" t="s">
        <v>476</v>
      </c>
      <c r="C11" s="153" t="s">
        <v>155</v>
      </c>
      <c r="D11" s="117" t="s">
        <v>97</v>
      </c>
      <c r="E11" s="154">
        <v>1.9099999999999999E-2</v>
      </c>
      <c r="F11" s="409">
        <f>E11*F9</f>
        <v>0.44495359999999995</v>
      </c>
      <c r="G11" s="40"/>
      <c r="H11" s="40"/>
      <c r="I11" s="40"/>
      <c r="J11" s="40"/>
      <c r="K11" s="40"/>
      <c r="L11" s="40"/>
      <c r="M11" s="25"/>
    </row>
    <row r="12" spans="1:13" ht="22.5" x14ac:dyDescent="0.25">
      <c r="A12" s="1087"/>
      <c r="B12" s="688" t="s">
        <v>674</v>
      </c>
      <c r="C12" s="153" t="s">
        <v>585</v>
      </c>
      <c r="D12" s="117" t="s">
        <v>97</v>
      </c>
      <c r="E12" s="154">
        <v>0.77500000000000002</v>
      </c>
      <c r="F12" s="409">
        <f>E12*F9</f>
        <v>18.054400000000001</v>
      </c>
      <c r="G12" s="40"/>
      <c r="H12" s="40"/>
      <c r="I12" s="40"/>
      <c r="J12" s="40"/>
      <c r="K12" s="40"/>
      <c r="L12" s="40"/>
      <c r="M12" s="25"/>
    </row>
    <row r="13" spans="1:13" ht="23.25" thickBot="1" x14ac:dyDescent="0.3">
      <c r="A13" s="1088"/>
      <c r="B13" s="115" t="s">
        <v>675</v>
      </c>
      <c r="C13" s="704" t="s">
        <v>673</v>
      </c>
      <c r="D13" s="156" t="s">
        <v>97</v>
      </c>
      <c r="E13" s="714">
        <f>E12/2</f>
        <v>0.38750000000000001</v>
      </c>
      <c r="F13" s="581">
        <f>E13*F9</f>
        <v>9.0272000000000006</v>
      </c>
      <c r="G13" s="49"/>
      <c r="H13" s="49"/>
      <c r="I13" s="49"/>
      <c r="J13" s="49"/>
      <c r="K13" s="49"/>
      <c r="L13" s="49"/>
      <c r="M13" s="28"/>
    </row>
    <row r="14" spans="1:13" ht="30" x14ac:dyDescent="0.25">
      <c r="A14" s="1087">
        <v>2</v>
      </c>
      <c r="B14" s="622" t="s">
        <v>586</v>
      </c>
      <c r="C14" s="645" t="s">
        <v>587</v>
      </c>
      <c r="D14" s="646" t="s">
        <v>125</v>
      </c>
      <c r="E14" s="715"/>
      <c r="F14" s="716">
        <v>24</v>
      </c>
      <c r="G14" s="103"/>
      <c r="H14" s="103"/>
      <c r="I14" s="103"/>
      <c r="J14" s="103"/>
      <c r="K14" s="103"/>
      <c r="L14" s="103"/>
      <c r="M14" s="114"/>
    </row>
    <row r="15" spans="1:13" ht="15.75" thickBot="1" x14ac:dyDescent="0.3">
      <c r="A15" s="1087"/>
      <c r="B15" s="64"/>
      <c r="C15" s="487" t="s">
        <v>114</v>
      </c>
      <c r="D15" s="488" t="s">
        <v>68</v>
      </c>
      <c r="E15" s="717">
        <v>0.78500000000000003</v>
      </c>
      <c r="F15" s="572">
        <f>E15*F14</f>
        <v>18.84</v>
      </c>
      <c r="G15" s="68"/>
      <c r="H15" s="68"/>
      <c r="I15" s="68"/>
      <c r="J15" s="68"/>
      <c r="K15" s="68"/>
      <c r="L15" s="68"/>
      <c r="M15" s="95"/>
    </row>
    <row r="16" spans="1:13" ht="30" x14ac:dyDescent="0.25">
      <c r="A16" s="1104" t="s">
        <v>23</v>
      </c>
      <c r="B16" s="1096" t="s">
        <v>588</v>
      </c>
      <c r="C16" s="19" t="s">
        <v>589</v>
      </c>
      <c r="D16" s="489" t="s">
        <v>65</v>
      </c>
      <c r="E16" s="718" t="s">
        <v>72</v>
      </c>
      <c r="F16" s="489">
        <f>F14*0.1*0.2*2.8+F9*2.4</f>
        <v>57.254399999999997</v>
      </c>
      <c r="G16" s="489"/>
      <c r="H16" s="490"/>
      <c r="I16" s="490"/>
      <c r="J16" s="490"/>
      <c r="K16" s="490"/>
      <c r="L16" s="490"/>
      <c r="M16" s="491"/>
    </row>
    <row r="17" spans="1:13" x14ac:dyDescent="0.25">
      <c r="A17" s="1105"/>
      <c r="B17" s="1107"/>
      <c r="C17" s="42" t="s">
        <v>67</v>
      </c>
      <c r="D17" s="492" t="s">
        <v>68</v>
      </c>
      <c r="E17" s="719">
        <v>0.53</v>
      </c>
      <c r="F17" s="493">
        <f>E17*F16</f>
        <v>30.344832</v>
      </c>
      <c r="G17" s="493"/>
      <c r="H17" s="493"/>
      <c r="I17" s="40"/>
      <c r="J17" s="493"/>
      <c r="K17" s="493"/>
      <c r="L17" s="493"/>
      <c r="M17" s="494"/>
    </row>
    <row r="18" spans="1:13" ht="30.75" thickBot="1" x14ac:dyDescent="0.3">
      <c r="A18" s="1106"/>
      <c r="B18" s="355" t="s">
        <v>480</v>
      </c>
      <c r="C18" s="193" t="s">
        <v>671</v>
      </c>
      <c r="D18" s="495" t="s">
        <v>65</v>
      </c>
      <c r="E18" s="496"/>
      <c r="F18" s="495">
        <f>F16+F9*1.8</f>
        <v>99.18719999999999</v>
      </c>
      <c r="G18" s="495"/>
      <c r="H18" s="496"/>
      <c r="I18" s="496"/>
      <c r="J18" s="496"/>
      <c r="K18" s="496"/>
      <c r="L18" s="496"/>
      <c r="M18" s="497"/>
    </row>
    <row r="19" spans="1:13" ht="45" x14ac:dyDescent="0.25">
      <c r="A19" s="1108">
        <v>4</v>
      </c>
      <c r="B19" s="622" t="s">
        <v>109</v>
      </c>
      <c r="C19" s="92" t="s">
        <v>108</v>
      </c>
      <c r="D19" s="29" t="s">
        <v>62</v>
      </c>
      <c r="E19" s="720"/>
      <c r="F19" s="213">
        <v>22.777000000000001</v>
      </c>
      <c r="G19" s="150"/>
      <c r="H19" s="150"/>
      <c r="I19" s="150"/>
      <c r="J19" s="150"/>
      <c r="K19" s="150"/>
      <c r="L19" s="150"/>
      <c r="M19" s="211"/>
    </row>
    <row r="20" spans="1:13" x14ac:dyDescent="0.25">
      <c r="A20" s="1109"/>
      <c r="B20" s="688"/>
      <c r="C20" s="57" t="s">
        <v>63</v>
      </c>
      <c r="D20" s="22" t="s">
        <v>64</v>
      </c>
      <c r="E20" s="61">
        <v>3.4000000000000002E-2</v>
      </c>
      <c r="F20" s="24">
        <f>E20*F19</f>
        <v>0.77441800000000005</v>
      </c>
      <c r="G20" s="24"/>
      <c r="H20" s="24"/>
      <c r="I20" s="24"/>
      <c r="J20" s="24"/>
      <c r="K20" s="24"/>
      <c r="L20" s="24"/>
      <c r="M20" s="25"/>
    </row>
    <row r="21" spans="1:13" x14ac:dyDescent="0.25">
      <c r="A21" s="1110"/>
      <c r="B21" s="358"/>
      <c r="C21" s="94" t="s">
        <v>82</v>
      </c>
      <c r="D21" s="33" t="s">
        <v>78</v>
      </c>
      <c r="E21" s="66">
        <v>5.5999999999999999E-3</v>
      </c>
      <c r="F21" s="67">
        <f>E21*F19</f>
        <v>0.1275512</v>
      </c>
      <c r="G21" s="67"/>
      <c r="H21" s="67"/>
      <c r="I21" s="67"/>
      <c r="J21" s="67"/>
      <c r="K21" s="67"/>
      <c r="L21" s="67"/>
      <c r="M21" s="25"/>
    </row>
    <row r="22" spans="1:13" ht="30.75" thickBot="1" x14ac:dyDescent="0.3">
      <c r="A22" s="1110"/>
      <c r="B22" s="673" t="s">
        <v>486</v>
      </c>
      <c r="C22" s="94" t="s">
        <v>103</v>
      </c>
      <c r="D22" s="33" t="s">
        <v>104</v>
      </c>
      <c r="E22" s="66">
        <v>8.0299999999999996E-2</v>
      </c>
      <c r="F22" s="67">
        <f>E22*F19</f>
        <v>1.8289930999999999</v>
      </c>
      <c r="G22" s="67"/>
      <c r="H22" s="67"/>
      <c r="I22" s="67"/>
      <c r="J22" s="67"/>
      <c r="K22" s="67"/>
      <c r="L22" s="67"/>
      <c r="M22" s="95"/>
    </row>
    <row r="23" spans="1:13" ht="30" x14ac:dyDescent="0.25">
      <c r="A23" s="1111">
        <v>5</v>
      </c>
      <c r="B23" s="1114" t="s">
        <v>105</v>
      </c>
      <c r="C23" s="15" t="s">
        <v>106</v>
      </c>
      <c r="D23" s="16" t="s">
        <v>62</v>
      </c>
      <c r="E23" s="721"/>
      <c r="F23" s="582">
        <f>F19*0.1</f>
        <v>2.2777000000000003</v>
      </c>
      <c r="G23" s="53"/>
      <c r="H23" s="53"/>
      <c r="I23" s="53"/>
      <c r="J23" s="53"/>
      <c r="K23" s="53"/>
      <c r="L23" s="53"/>
      <c r="M23" s="54"/>
    </row>
    <row r="24" spans="1:13" ht="15.75" x14ac:dyDescent="0.3">
      <c r="A24" s="1112"/>
      <c r="B24" s="1115"/>
      <c r="C24" s="306" t="s">
        <v>107</v>
      </c>
      <c r="D24" s="307" t="s">
        <v>64</v>
      </c>
      <c r="E24" s="304">
        <v>2.06</v>
      </c>
      <c r="F24" s="583">
        <f>F23*E24</f>
        <v>4.6920620000000008</v>
      </c>
      <c r="G24" s="24"/>
      <c r="H24" s="24"/>
      <c r="I24" s="24"/>
      <c r="J24" s="24"/>
      <c r="K24" s="24"/>
      <c r="L24" s="24"/>
      <c r="M24" s="25"/>
    </row>
    <row r="25" spans="1:13" ht="15.75" thickBot="1" x14ac:dyDescent="0.3">
      <c r="A25" s="1113"/>
      <c r="B25" s="673" t="s">
        <v>480</v>
      </c>
      <c r="C25" s="587" t="s">
        <v>156</v>
      </c>
      <c r="D25" s="33" t="s">
        <v>65</v>
      </c>
      <c r="E25" s="66">
        <v>1.8</v>
      </c>
      <c r="F25" s="396">
        <f>E25*(F23+F19)</f>
        <v>45.098460000000003</v>
      </c>
      <c r="G25" s="67"/>
      <c r="H25" s="67"/>
      <c r="I25" s="67"/>
      <c r="J25" s="67"/>
      <c r="K25" s="67"/>
      <c r="L25" s="67"/>
      <c r="M25" s="95"/>
    </row>
    <row r="26" spans="1:13" ht="45" x14ac:dyDescent="0.25">
      <c r="A26" s="1116">
        <v>6</v>
      </c>
      <c r="B26" s="643" t="s">
        <v>168</v>
      </c>
      <c r="C26" s="705" t="s">
        <v>394</v>
      </c>
      <c r="D26" s="16" t="s">
        <v>158</v>
      </c>
      <c r="E26" s="161"/>
      <c r="F26" s="60">
        <f>291.2*0.1</f>
        <v>29.12</v>
      </c>
      <c r="G26" s="223"/>
      <c r="H26" s="223"/>
      <c r="I26" s="223"/>
      <c r="J26" s="223"/>
      <c r="K26" s="223"/>
      <c r="L26" s="223"/>
      <c r="M26" s="722"/>
    </row>
    <row r="27" spans="1:13" x14ac:dyDescent="0.25">
      <c r="A27" s="1117"/>
      <c r="B27" s="723"/>
      <c r="C27" s="121" t="s">
        <v>159</v>
      </c>
      <c r="D27" s="22" t="s">
        <v>64</v>
      </c>
      <c r="E27" s="158">
        <v>0.15</v>
      </c>
      <c r="F27" s="24">
        <f>E27*F26</f>
        <v>4.3680000000000003</v>
      </c>
      <c r="G27" s="409"/>
      <c r="H27" s="409"/>
      <c r="I27" s="409"/>
      <c r="J27" s="409"/>
      <c r="K27" s="409"/>
      <c r="L27" s="409"/>
      <c r="M27" s="25"/>
    </row>
    <row r="28" spans="1:13" ht="22.5" x14ac:dyDescent="0.25">
      <c r="A28" s="1117"/>
      <c r="B28" s="45" t="s">
        <v>476</v>
      </c>
      <c r="C28" s="153" t="s">
        <v>155</v>
      </c>
      <c r="D28" s="117" t="s">
        <v>97</v>
      </c>
      <c r="E28" s="154">
        <v>2.1600000000000001E-2</v>
      </c>
      <c r="F28" s="409">
        <f>E28*F26</f>
        <v>0.62899200000000011</v>
      </c>
      <c r="G28" s="40"/>
      <c r="H28" s="40"/>
      <c r="I28" s="40"/>
      <c r="J28" s="40"/>
      <c r="K28" s="40"/>
      <c r="L28" s="40"/>
      <c r="M28" s="25"/>
    </row>
    <row r="29" spans="1:13" ht="22.5" x14ac:dyDescent="0.25">
      <c r="A29" s="1117"/>
      <c r="B29" s="688" t="s">
        <v>483</v>
      </c>
      <c r="C29" s="121" t="s">
        <v>160</v>
      </c>
      <c r="D29" s="22" t="s">
        <v>104</v>
      </c>
      <c r="E29" s="158">
        <v>2.7300000000000001E-2</v>
      </c>
      <c r="F29" s="24">
        <f>E29*F26</f>
        <v>0.79497600000000002</v>
      </c>
      <c r="G29" s="409"/>
      <c r="H29" s="409"/>
      <c r="I29" s="409"/>
      <c r="J29" s="409"/>
      <c r="K29" s="409"/>
      <c r="L29" s="40"/>
      <c r="M29" s="25"/>
    </row>
    <row r="30" spans="1:13" ht="22.5" x14ac:dyDescent="0.25">
      <c r="A30" s="1117"/>
      <c r="B30" s="45" t="s">
        <v>488</v>
      </c>
      <c r="C30" s="121" t="s">
        <v>161</v>
      </c>
      <c r="D30" s="22" t="s">
        <v>104</v>
      </c>
      <c r="E30" s="158">
        <v>9.7000000000000003E-3</v>
      </c>
      <c r="F30" s="24">
        <f>E30*F26</f>
        <v>0.28246399999999999</v>
      </c>
      <c r="G30" s="409"/>
      <c r="H30" s="409"/>
      <c r="I30" s="409"/>
      <c r="J30" s="409"/>
      <c r="K30" s="409"/>
      <c r="L30" s="40"/>
      <c r="M30" s="25"/>
    </row>
    <row r="31" spans="1:13" x14ac:dyDescent="0.25">
      <c r="A31" s="1117"/>
      <c r="B31" s="679" t="s">
        <v>489</v>
      </c>
      <c r="C31" s="79" t="s">
        <v>94</v>
      </c>
      <c r="D31" s="80" t="s">
        <v>62</v>
      </c>
      <c r="E31" s="81">
        <v>1.22</v>
      </c>
      <c r="F31" s="83">
        <f>E31*F26</f>
        <v>35.526400000000002</v>
      </c>
      <c r="G31" s="83"/>
      <c r="H31" s="83"/>
      <c r="I31" s="83"/>
      <c r="J31" s="83"/>
      <c r="K31" s="83"/>
      <c r="L31" s="83"/>
      <c r="M31" s="84"/>
    </row>
    <row r="32" spans="1:13" ht="15.75" thickBot="1" x14ac:dyDescent="0.3">
      <c r="A32" s="1118"/>
      <c r="B32" s="507" t="s">
        <v>480</v>
      </c>
      <c r="C32" s="724" t="s">
        <v>664</v>
      </c>
      <c r="D32" s="17" t="s">
        <v>65</v>
      </c>
      <c r="E32" s="162">
        <v>1.55</v>
      </c>
      <c r="F32" s="127">
        <f>F31*E32</f>
        <v>55.065920000000006</v>
      </c>
      <c r="G32" s="581"/>
      <c r="H32" s="581"/>
      <c r="I32" s="581"/>
      <c r="J32" s="581"/>
      <c r="K32" s="581"/>
      <c r="L32" s="581"/>
      <c r="M32" s="725"/>
    </row>
    <row r="33" spans="1:13" s="728" customFormat="1" x14ac:dyDescent="0.25">
      <c r="A33" s="1119">
        <v>7</v>
      </c>
      <c r="B33" s="591" t="s">
        <v>170</v>
      </c>
      <c r="C33" s="171" t="s">
        <v>164</v>
      </c>
      <c r="D33" s="171" t="s">
        <v>88</v>
      </c>
      <c r="E33" s="172"/>
      <c r="F33" s="213">
        <v>66.400000000000006</v>
      </c>
      <c r="G33" s="726"/>
      <c r="H33" s="726"/>
      <c r="I33" s="726"/>
      <c r="J33" s="726"/>
      <c r="K33" s="726"/>
      <c r="L33" s="726"/>
      <c r="M33" s="727"/>
    </row>
    <row r="34" spans="1:13" x14ac:dyDescent="0.25">
      <c r="A34" s="1119"/>
      <c r="B34" s="177"/>
      <c r="C34" s="159" t="s">
        <v>63</v>
      </c>
      <c r="D34" s="158" t="s">
        <v>165</v>
      </c>
      <c r="E34" s="158">
        <v>1.1100000000000001</v>
      </c>
      <c r="F34" s="24">
        <f>F33*E34</f>
        <v>73.704000000000008</v>
      </c>
      <c r="G34" s="409"/>
      <c r="H34" s="409"/>
      <c r="I34" s="409"/>
      <c r="J34" s="409"/>
      <c r="K34" s="409"/>
      <c r="L34" s="409"/>
      <c r="M34" s="25"/>
    </row>
    <row r="35" spans="1:13" x14ac:dyDescent="0.25">
      <c r="A35" s="1119"/>
      <c r="B35" s="177"/>
      <c r="C35" s="159" t="s">
        <v>166</v>
      </c>
      <c r="D35" s="158" t="s">
        <v>78</v>
      </c>
      <c r="E35" s="158">
        <v>7.1000000000000004E-3</v>
      </c>
      <c r="F35" s="24">
        <f>E35*F33</f>
        <v>0.47144000000000008</v>
      </c>
      <c r="G35" s="409"/>
      <c r="H35" s="409"/>
      <c r="I35" s="409"/>
      <c r="J35" s="409"/>
      <c r="K35" s="409"/>
      <c r="L35" s="409"/>
      <c r="M35" s="25"/>
    </row>
    <row r="36" spans="1:13" x14ac:dyDescent="0.25">
      <c r="A36" s="1119"/>
      <c r="B36" s="45" t="s">
        <v>477</v>
      </c>
      <c r="C36" s="160" t="s">
        <v>173</v>
      </c>
      <c r="D36" s="158" t="s">
        <v>88</v>
      </c>
      <c r="E36" s="168">
        <v>1</v>
      </c>
      <c r="F36" s="24">
        <f>F33*E36</f>
        <v>66.400000000000006</v>
      </c>
      <c r="G36" s="409"/>
      <c r="H36" s="40"/>
      <c r="I36" s="409"/>
      <c r="J36" s="409"/>
      <c r="K36" s="409"/>
      <c r="L36" s="409"/>
      <c r="M36" s="25"/>
    </row>
    <row r="37" spans="1:13" x14ac:dyDescent="0.25">
      <c r="A37" s="1119"/>
      <c r="B37" s="679" t="s">
        <v>478</v>
      </c>
      <c r="C37" s="165" t="s">
        <v>171</v>
      </c>
      <c r="D37" s="166" t="s">
        <v>62</v>
      </c>
      <c r="E37" s="729">
        <v>3.8999999999999998E-3</v>
      </c>
      <c r="F37" s="24">
        <f>E37*F33</f>
        <v>0.25896000000000002</v>
      </c>
      <c r="G37" s="24"/>
      <c r="H37" s="40"/>
      <c r="I37" s="40"/>
      <c r="J37" s="40"/>
      <c r="K37" s="40"/>
      <c r="L37" s="40"/>
      <c r="M37" s="41"/>
    </row>
    <row r="38" spans="1:13" x14ac:dyDescent="0.25">
      <c r="A38" s="1119"/>
      <c r="B38" s="679" t="s">
        <v>495</v>
      </c>
      <c r="C38" s="165" t="s">
        <v>172</v>
      </c>
      <c r="D38" s="166" t="s">
        <v>62</v>
      </c>
      <c r="E38" s="166">
        <v>5.9999999999999995E-4</v>
      </c>
      <c r="F38" s="24">
        <f>E38*F33</f>
        <v>3.984E-2</v>
      </c>
      <c r="G38" s="24"/>
      <c r="H38" s="40"/>
      <c r="I38" s="40"/>
      <c r="J38" s="40"/>
      <c r="K38" s="40"/>
      <c r="L38" s="40"/>
      <c r="M38" s="41"/>
    </row>
    <row r="39" spans="1:13" ht="15.75" thickBot="1" x14ac:dyDescent="0.3">
      <c r="A39" s="1120"/>
      <c r="B39" s="115"/>
      <c r="C39" s="163" t="s">
        <v>119</v>
      </c>
      <c r="D39" s="162" t="s">
        <v>78</v>
      </c>
      <c r="E39" s="162">
        <v>9.6000000000000002E-2</v>
      </c>
      <c r="F39" s="27">
        <f>E39*F33</f>
        <v>6.3744000000000005</v>
      </c>
      <c r="G39" s="581"/>
      <c r="H39" s="581"/>
      <c r="I39" s="581"/>
      <c r="J39" s="581"/>
      <c r="K39" s="581"/>
      <c r="L39" s="581"/>
      <c r="M39" s="85"/>
    </row>
    <row r="40" spans="1:13" ht="30" x14ac:dyDescent="0.25">
      <c r="A40" s="1121">
        <v>8</v>
      </c>
      <c r="B40" s="681" t="s">
        <v>660</v>
      </c>
      <c r="C40" s="16" t="s">
        <v>181</v>
      </c>
      <c r="D40" s="16" t="s">
        <v>174</v>
      </c>
      <c r="E40" s="161"/>
      <c r="F40" s="60">
        <f>297.75+30.3+371.57+52.79</f>
        <v>752.41</v>
      </c>
      <c r="G40" s="731"/>
      <c r="H40" s="731"/>
      <c r="I40" s="731"/>
      <c r="J40" s="731"/>
      <c r="K40" s="731"/>
      <c r="L40" s="731"/>
      <c r="M40" s="732"/>
    </row>
    <row r="41" spans="1:13" x14ac:dyDescent="0.25">
      <c r="A41" s="1122"/>
      <c r="B41" s="45"/>
      <c r="C41" s="121" t="s">
        <v>175</v>
      </c>
      <c r="D41" s="22" t="s">
        <v>64</v>
      </c>
      <c r="E41" s="158">
        <v>5.5800000000000002E-2</v>
      </c>
      <c r="F41" s="24">
        <f>E41*F40</f>
        <v>41.984478000000003</v>
      </c>
      <c r="G41" s="409"/>
      <c r="H41" s="409"/>
      <c r="I41" s="409"/>
      <c r="J41" s="409"/>
      <c r="K41" s="409"/>
      <c r="L41" s="409"/>
      <c r="M41" s="25"/>
    </row>
    <row r="42" spans="1:13" ht="22.5" x14ac:dyDescent="0.25">
      <c r="A42" s="1122"/>
      <c r="B42" s="45" t="s">
        <v>476</v>
      </c>
      <c r="C42" s="153" t="s">
        <v>155</v>
      </c>
      <c r="D42" s="117" t="s">
        <v>97</v>
      </c>
      <c r="E42" s="734">
        <f>3.88/1000</f>
        <v>3.8799999999999998E-3</v>
      </c>
      <c r="F42" s="409">
        <f>E42*F40</f>
        <v>2.9193507999999997</v>
      </c>
      <c r="G42" s="40"/>
      <c r="H42" s="40"/>
      <c r="I42" s="40"/>
      <c r="J42" s="40"/>
      <c r="K42" s="40"/>
      <c r="L42" s="40"/>
      <c r="M42" s="25"/>
    </row>
    <row r="43" spans="1:13" ht="22.5" x14ac:dyDescent="0.25">
      <c r="A43" s="1122"/>
      <c r="B43" s="45" t="s">
        <v>481</v>
      </c>
      <c r="C43" s="121" t="s">
        <v>176</v>
      </c>
      <c r="D43" s="22" t="s">
        <v>104</v>
      </c>
      <c r="E43" s="158">
        <v>7.1000000000000002E-4</v>
      </c>
      <c r="F43" s="24">
        <f>E43*F40</f>
        <v>0.53421109999999994</v>
      </c>
      <c r="G43" s="409"/>
      <c r="H43" s="409"/>
      <c r="I43" s="409"/>
      <c r="J43" s="409"/>
      <c r="K43" s="409"/>
      <c r="L43" s="40"/>
      <c r="M43" s="25"/>
    </row>
    <row r="44" spans="1:13" ht="22.5" x14ac:dyDescent="0.25">
      <c r="A44" s="1122"/>
      <c r="B44" s="688" t="s">
        <v>484</v>
      </c>
      <c r="C44" s="121" t="s">
        <v>177</v>
      </c>
      <c r="D44" s="22" t="s">
        <v>104</v>
      </c>
      <c r="E44" s="158">
        <v>8.2199999999999999E-3</v>
      </c>
      <c r="F44" s="24">
        <f>E44*F40</f>
        <v>6.1848101999999994</v>
      </c>
      <c r="G44" s="409"/>
      <c r="H44" s="409"/>
      <c r="I44" s="409"/>
      <c r="J44" s="409"/>
      <c r="K44" s="409"/>
      <c r="L44" s="40"/>
      <c r="M44" s="25"/>
    </row>
    <row r="45" spans="1:13" ht="22.5" x14ac:dyDescent="0.25">
      <c r="A45" s="1122"/>
      <c r="B45" s="688" t="s">
        <v>485</v>
      </c>
      <c r="C45" s="121" t="s">
        <v>169</v>
      </c>
      <c r="D45" s="22" t="s">
        <v>104</v>
      </c>
      <c r="E45" s="158">
        <v>2.1399999999999999E-2</v>
      </c>
      <c r="F45" s="24">
        <f>E45*F40</f>
        <v>16.101573999999999</v>
      </c>
      <c r="G45" s="409"/>
      <c r="H45" s="409"/>
      <c r="I45" s="409"/>
      <c r="J45" s="409"/>
      <c r="K45" s="409"/>
      <c r="L45" s="40"/>
      <c r="M45" s="25"/>
    </row>
    <row r="46" spans="1:13" ht="22.5" x14ac:dyDescent="0.25">
      <c r="A46" s="1122"/>
      <c r="B46" s="45" t="s">
        <v>488</v>
      </c>
      <c r="C46" s="121" t="s">
        <v>161</v>
      </c>
      <c r="D46" s="22" t="s">
        <v>104</v>
      </c>
      <c r="E46" s="158">
        <v>3.5000000000000001E-3</v>
      </c>
      <c r="F46" s="24">
        <f>E46*F40</f>
        <v>2.633435</v>
      </c>
      <c r="G46" s="409"/>
      <c r="H46" s="409"/>
      <c r="I46" s="409"/>
      <c r="J46" s="409"/>
      <c r="K46" s="409"/>
      <c r="L46" s="40"/>
      <c r="M46" s="25"/>
    </row>
    <row r="47" spans="1:13" x14ac:dyDescent="0.25">
      <c r="A47" s="1122"/>
      <c r="B47" s="45"/>
      <c r="C47" s="121" t="s">
        <v>121</v>
      </c>
      <c r="D47" s="22" t="s">
        <v>104</v>
      </c>
      <c r="E47" s="158">
        <v>1.0200000000000001E-3</v>
      </c>
      <c r="F47" s="24">
        <f>E47*F40</f>
        <v>0.76745819999999998</v>
      </c>
      <c r="G47" s="409"/>
      <c r="H47" s="409"/>
      <c r="I47" s="409"/>
      <c r="J47" s="409"/>
      <c r="K47" s="409"/>
      <c r="L47" s="40"/>
      <c r="M47" s="25"/>
    </row>
    <row r="48" spans="1:13" x14ac:dyDescent="0.25">
      <c r="A48" s="1122"/>
      <c r="B48" s="45" t="s">
        <v>490</v>
      </c>
      <c r="C48" s="121" t="s">
        <v>178</v>
      </c>
      <c r="D48" s="22" t="s">
        <v>163</v>
      </c>
      <c r="E48" s="735">
        <f>8*0.0665/6</f>
        <v>8.8666666666666671E-2</v>
      </c>
      <c r="F48" s="669">
        <f>E48*F40</f>
        <v>66.713686666666661</v>
      </c>
      <c r="G48" s="409"/>
      <c r="H48" s="409"/>
      <c r="I48" s="409"/>
      <c r="J48" s="409"/>
      <c r="K48" s="409"/>
      <c r="L48" s="40"/>
      <c r="M48" s="25"/>
    </row>
    <row r="49" spans="1:13" ht="15.75" thickBot="1" x14ac:dyDescent="0.3">
      <c r="A49" s="1123"/>
      <c r="B49" s="115" t="s">
        <v>480</v>
      </c>
      <c r="C49" s="724" t="s">
        <v>180</v>
      </c>
      <c r="D49" s="17" t="s">
        <v>65</v>
      </c>
      <c r="E49" s="162">
        <v>1.6</v>
      </c>
      <c r="F49" s="127">
        <f>E49*F48</f>
        <v>106.74189866666666</v>
      </c>
      <c r="G49" s="581"/>
      <c r="H49" s="581"/>
      <c r="I49" s="581"/>
      <c r="J49" s="581"/>
      <c r="K49" s="581"/>
      <c r="L49" s="49"/>
      <c r="M49" s="28"/>
    </row>
    <row r="50" spans="1:13" ht="30" x14ac:dyDescent="0.25">
      <c r="A50" s="1124">
        <v>9</v>
      </c>
      <c r="B50" s="681" t="s">
        <v>182</v>
      </c>
      <c r="C50" s="15" t="s">
        <v>724</v>
      </c>
      <c r="D50" s="16" t="s">
        <v>76</v>
      </c>
      <c r="E50" s="736"/>
      <c r="F50" s="223">
        <v>91.8</v>
      </c>
      <c r="G50" s="223"/>
      <c r="H50" s="223"/>
      <c r="I50" s="223"/>
      <c r="J50" s="223"/>
      <c r="K50" s="223"/>
      <c r="L50" s="223"/>
      <c r="M50" s="722"/>
    </row>
    <row r="51" spans="1:13" x14ac:dyDescent="0.25">
      <c r="A51" s="1119"/>
      <c r="B51" s="123"/>
      <c r="C51" s="363" t="s">
        <v>680</v>
      </c>
      <c r="D51" s="116" t="s">
        <v>64</v>
      </c>
      <c r="E51" s="737">
        <f>(405-10*4.64)/1000</f>
        <v>0.35860000000000003</v>
      </c>
      <c r="F51" s="409">
        <f>F50*E51</f>
        <v>32.91948</v>
      </c>
      <c r="G51" s="409"/>
      <c r="H51" s="409"/>
      <c r="I51" s="409"/>
      <c r="J51" s="409"/>
      <c r="K51" s="409"/>
      <c r="L51" s="409"/>
      <c r="M51" s="25"/>
    </row>
    <row r="52" spans="1:13" s="728" customFormat="1" ht="22.5" x14ac:dyDescent="0.25">
      <c r="A52" s="1119"/>
      <c r="B52" s="45" t="s">
        <v>488</v>
      </c>
      <c r="C52" s="121" t="s">
        <v>183</v>
      </c>
      <c r="D52" s="22" t="s">
        <v>104</v>
      </c>
      <c r="E52" s="155">
        <f>22.6/1000</f>
        <v>2.2600000000000002E-2</v>
      </c>
      <c r="F52" s="409">
        <f>F50*E52</f>
        <v>2.0746800000000003</v>
      </c>
      <c r="G52" s="409"/>
      <c r="H52" s="409"/>
      <c r="I52" s="409"/>
      <c r="J52" s="409"/>
      <c r="K52" s="409"/>
      <c r="L52" s="409"/>
      <c r="M52" s="25"/>
    </row>
    <row r="53" spans="1:13" x14ac:dyDescent="0.25">
      <c r="A53" s="1119"/>
      <c r="B53" s="123"/>
      <c r="C53" s="121" t="s">
        <v>166</v>
      </c>
      <c r="D53" s="116" t="s">
        <v>78</v>
      </c>
      <c r="E53" s="155">
        <f>(13.5-0.1*10)/1000</f>
        <v>1.2500000000000001E-2</v>
      </c>
      <c r="F53" s="409">
        <f>E53*F50</f>
        <v>1.1475</v>
      </c>
      <c r="G53" s="409"/>
      <c r="H53" s="409"/>
      <c r="I53" s="409"/>
      <c r="J53" s="409"/>
      <c r="K53" s="409"/>
      <c r="L53" s="409"/>
      <c r="M53" s="25"/>
    </row>
    <row r="54" spans="1:13" ht="15.75" x14ac:dyDescent="0.25">
      <c r="A54" s="1119"/>
      <c r="B54" s="679" t="s">
        <v>478</v>
      </c>
      <c r="C54" s="21" t="s">
        <v>185</v>
      </c>
      <c r="D54" s="22" t="s">
        <v>739</v>
      </c>
      <c r="E54" s="738">
        <f>(204-10*10.2)/1000</f>
        <v>0.10199999999999999</v>
      </c>
      <c r="F54" s="409">
        <f>F50*E54</f>
        <v>9.3635999999999999</v>
      </c>
      <c r="G54" s="409"/>
      <c r="H54" s="40"/>
      <c r="I54" s="409"/>
      <c r="J54" s="409"/>
      <c r="K54" s="409"/>
      <c r="L54" s="409"/>
      <c r="M54" s="25"/>
    </row>
    <row r="55" spans="1:13" x14ac:dyDescent="0.25">
      <c r="A55" s="1119"/>
      <c r="B55" s="688" t="s">
        <v>681</v>
      </c>
      <c r="C55" s="21" t="s">
        <v>186</v>
      </c>
      <c r="D55" s="22" t="s">
        <v>88</v>
      </c>
      <c r="E55" s="295" t="s">
        <v>72</v>
      </c>
      <c r="F55" s="584">
        <f>F50*10.04</f>
        <v>921.67199999999991</v>
      </c>
      <c r="G55" s="409"/>
      <c r="H55" s="40"/>
      <c r="I55" s="409"/>
      <c r="J55" s="409"/>
      <c r="K55" s="409"/>
      <c r="L55" s="409"/>
      <c r="M55" s="25"/>
    </row>
    <row r="56" spans="1:13" x14ac:dyDescent="0.25">
      <c r="A56" s="1119"/>
      <c r="B56" s="45" t="s">
        <v>487</v>
      </c>
      <c r="C56" s="21" t="s">
        <v>187</v>
      </c>
      <c r="D56" s="22" t="s">
        <v>71</v>
      </c>
      <c r="E56" s="295" t="s">
        <v>72</v>
      </c>
      <c r="F56" s="584">
        <f>F50*0.05</f>
        <v>4.59</v>
      </c>
      <c r="G56" s="409"/>
      <c r="H56" s="40"/>
      <c r="I56" s="409"/>
      <c r="J56" s="409"/>
      <c r="K56" s="409"/>
      <c r="L56" s="409"/>
      <c r="M56" s="25"/>
    </row>
    <row r="57" spans="1:13" x14ac:dyDescent="0.25">
      <c r="A57" s="1119"/>
      <c r="B57" s="679" t="s">
        <v>492</v>
      </c>
      <c r="C57" s="21" t="s">
        <v>184</v>
      </c>
      <c r="D57" s="22" t="s">
        <v>76</v>
      </c>
      <c r="E57" s="175">
        <f>(11.7-0.59*10)/100</f>
        <v>5.7999999999999996E-2</v>
      </c>
      <c r="F57" s="409">
        <f>F50*E57</f>
        <v>5.3243999999999998</v>
      </c>
      <c r="G57" s="409"/>
      <c r="H57" s="40"/>
      <c r="I57" s="409"/>
      <c r="J57" s="409"/>
      <c r="K57" s="409"/>
      <c r="L57" s="409"/>
      <c r="M57" s="25"/>
    </row>
    <row r="58" spans="1:13" ht="15.75" thickBot="1" x14ac:dyDescent="0.3">
      <c r="A58" s="1120"/>
      <c r="B58" s="179"/>
      <c r="C58" s="58" t="s">
        <v>85</v>
      </c>
      <c r="D58" s="176" t="s">
        <v>78</v>
      </c>
      <c r="E58" s="739">
        <f>(6.4-0.19*10)/100</f>
        <v>4.4999999999999998E-2</v>
      </c>
      <c r="F58" s="581">
        <f>F50*E58</f>
        <v>4.1309999999999993</v>
      </c>
      <c r="G58" s="581"/>
      <c r="H58" s="49"/>
      <c r="I58" s="581"/>
      <c r="J58" s="581"/>
      <c r="K58" s="581"/>
      <c r="L58" s="581"/>
      <c r="M58" s="28"/>
    </row>
    <row r="59" spans="1:13" ht="30" x14ac:dyDescent="0.25">
      <c r="A59" s="1086">
        <v>10</v>
      </c>
      <c r="B59" s="322" t="s">
        <v>189</v>
      </c>
      <c r="C59" s="86" t="s">
        <v>188</v>
      </c>
      <c r="D59" s="19" t="s">
        <v>76</v>
      </c>
      <c r="E59" s="676"/>
      <c r="F59" s="19">
        <f>F50</f>
        <v>91.8</v>
      </c>
      <c r="G59" s="19"/>
      <c r="H59" s="19"/>
      <c r="I59" s="19"/>
      <c r="J59" s="19"/>
      <c r="K59" s="19"/>
      <c r="L59" s="19"/>
      <c r="M59" s="20"/>
    </row>
    <row r="60" spans="1:13" x14ac:dyDescent="0.25">
      <c r="A60" s="1087"/>
      <c r="B60" s="679"/>
      <c r="C60" s="37" t="s">
        <v>67</v>
      </c>
      <c r="D60" s="38" t="s">
        <v>68</v>
      </c>
      <c r="E60" s="39">
        <v>3.86</v>
      </c>
      <c r="F60" s="40">
        <f>F59*E60</f>
        <v>354.34799999999996</v>
      </c>
      <c r="G60" s="75"/>
      <c r="H60" s="40"/>
      <c r="I60" s="40"/>
      <c r="J60" s="40"/>
      <c r="K60" s="40"/>
      <c r="L60" s="40"/>
      <c r="M60" s="41"/>
    </row>
    <row r="61" spans="1:13" x14ac:dyDescent="0.25">
      <c r="A61" s="1087"/>
      <c r="B61" s="679" t="s">
        <v>494</v>
      </c>
      <c r="C61" s="37" t="s">
        <v>392</v>
      </c>
      <c r="D61" s="38" t="s">
        <v>71</v>
      </c>
      <c r="E61" s="39">
        <v>6</v>
      </c>
      <c r="F61" s="40">
        <f>F59*E61</f>
        <v>550.79999999999995</v>
      </c>
      <c r="G61" s="40"/>
      <c r="H61" s="40"/>
      <c r="I61" s="40"/>
      <c r="J61" s="40"/>
      <c r="K61" s="40"/>
      <c r="L61" s="40"/>
      <c r="M61" s="41"/>
    </row>
    <row r="62" spans="1:13" x14ac:dyDescent="0.25">
      <c r="A62" s="1087"/>
      <c r="B62" s="679" t="s">
        <v>482</v>
      </c>
      <c r="C62" s="42" t="s">
        <v>190</v>
      </c>
      <c r="D62" s="38" t="s">
        <v>76</v>
      </c>
      <c r="E62" s="39">
        <v>1</v>
      </c>
      <c r="F62" s="40">
        <f>F59*E62</f>
        <v>91.8</v>
      </c>
      <c r="G62" s="40"/>
      <c r="H62" s="40"/>
      <c r="I62" s="40"/>
      <c r="J62" s="40"/>
      <c r="K62" s="40"/>
      <c r="L62" s="40"/>
      <c r="M62" s="41"/>
    </row>
    <row r="63" spans="1:13" x14ac:dyDescent="0.25">
      <c r="A63" s="1087"/>
      <c r="B63" s="343"/>
      <c r="C63" s="37" t="s">
        <v>77</v>
      </c>
      <c r="D63" s="38" t="s">
        <v>78</v>
      </c>
      <c r="E63" s="39">
        <v>3.5999999999999997E-2</v>
      </c>
      <c r="F63" s="40">
        <f>F59*E63</f>
        <v>3.3047999999999997</v>
      </c>
      <c r="G63" s="75"/>
      <c r="H63" s="40"/>
      <c r="I63" s="40"/>
      <c r="J63" s="40"/>
      <c r="K63" s="40"/>
      <c r="L63" s="40"/>
      <c r="M63" s="41"/>
    </row>
    <row r="64" spans="1:13" ht="15.75" thickBot="1" x14ac:dyDescent="0.3">
      <c r="A64" s="1088"/>
      <c r="B64" s="104"/>
      <c r="C64" s="47" t="s">
        <v>85</v>
      </c>
      <c r="D64" s="342" t="s">
        <v>78</v>
      </c>
      <c r="E64" s="48">
        <v>4.2999999999999997E-2</v>
      </c>
      <c r="F64" s="49">
        <f>F59*E64</f>
        <v>3.9473999999999996</v>
      </c>
      <c r="G64" s="49"/>
      <c r="H64" s="49"/>
      <c r="I64" s="49"/>
      <c r="J64" s="49"/>
      <c r="K64" s="49"/>
      <c r="L64" s="49"/>
      <c r="M64" s="50"/>
    </row>
    <row r="65" spans="1:13" ht="45" x14ac:dyDescent="0.25">
      <c r="A65" s="1125">
        <v>11</v>
      </c>
      <c r="B65" s="178" t="s">
        <v>192</v>
      </c>
      <c r="C65" s="93" t="s">
        <v>196</v>
      </c>
      <c r="D65" s="93" t="s">
        <v>62</v>
      </c>
      <c r="E65" s="161"/>
      <c r="F65" s="60">
        <f>F71*0.05</f>
        <v>30.391000000000005</v>
      </c>
      <c r="G65" s="731"/>
      <c r="H65" s="731"/>
      <c r="I65" s="731"/>
      <c r="J65" s="731"/>
      <c r="K65" s="731"/>
      <c r="L65" s="731"/>
      <c r="M65" s="732"/>
    </row>
    <row r="66" spans="1:13" x14ac:dyDescent="0.25">
      <c r="A66" s="1126"/>
      <c r="B66" s="123"/>
      <c r="C66" s="159" t="s">
        <v>63</v>
      </c>
      <c r="D66" s="158" t="s">
        <v>165</v>
      </c>
      <c r="E66" s="158">
        <v>2.12</v>
      </c>
      <c r="F66" s="24">
        <f>F65*E66</f>
        <v>64.428920000000019</v>
      </c>
      <c r="G66" s="409"/>
      <c r="H66" s="409"/>
      <c r="I66" s="40"/>
      <c r="J66" s="40"/>
      <c r="K66" s="409"/>
      <c r="L66" s="409"/>
      <c r="M66" s="41"/>
    </row>
    <row r="67" spans="1:13" x14ac:dyDescent="0.25">
      <c r="A67" s="1126"/>
      <c r="B67" s="123"/>
      <c r="C67" s="160" t="s">
        <v>166</v>
      </c>
      <c r="D67" s="158" t="s">
        <v>78</v>
      </c>
      <c r="E67" s="158">
        <v>0.10100000000000001</v>
      </c>
      <c r="F67" s="24">
        <f>E67*F65</f>
        <v>3.0694910000000006</v>
      </c>
      <c r="G67" s="409"/>
      <c r="H67" s="409"/>
      <c r="I67" s="409"/>
      <c r="J67" s="409"/>
      <c r="K67" s="409"/>
      <c r="L67" s="409"/>
      <c r="M67" s="41"/>
    </row>
    <row r="68" spans="1:13" x14ac:dyDescent="0.25">
      <c r="A68" s="1126"/>
      <c r="B68" s="45" t="s">
        <v>491</v>
      </c>
      <c r="C68" s="159" t="s">
        <v>191</v>
      </c>
      <c r="D68" s="158" t="s">
        <v>62</v>
      </c>
      <c r="E68" s="158">
        <v>1.1000000000000001</v>
      </c>
      <c r="F68" s="24">
        <f>E68*F65</f>
        <v>33.43010000000001</v>
      </c>
      <c r="G68" s="409"/>
      <c r="H68" s="409"/>
      <c r="I68" s="409"/>
      <c r="J68" s="409"/>
      <c r="K68" s="409"/>
      <c r="L68" s="409"/>
      <c r="M68" s="41"/>
    </row>
    <row r="69" spans="1:13" x14ac:dyDescent="0.25">
      <c r="A69" s="1126"/>
      <c r="B69" s="64" t="s">
        <v>480</v>
      </c>
      <c r="C69" s="585" t="s">
        <v>631</v>
      </c>
      <c r="D69" s="174" t="s">
        <v>65</v>
      </c>
      <c r="E69" s="174">
        <v>1.5</v>
      </c>
      <c r="F69" s="396">
        <f>E69*F68</f>
        <v>50.145150000000015</v>
      </c>
      <c r="G69" s="572"/>
      <c r="H69" s="572"/>
      <c r="I69" s="572"/>
      <c r="J69" s="409"/>
      <c r="K69" s="409"/>
      <c r="L69" s="40"/>
      <c r="M69" s="25"/>
    </row>
    <row r="70" spans="1:13" ht="16.5" thickBot="1" x14ac:dyDescent="0.35">
      <c r="A70" s="1126"/>
      <c r="B70" s="740" t="s">
        <v>493</v>
      </c>
      <c r="C70" s="741" t="s">
        <v>194</v>
      </c>
      <c r="D70" s="571" t="s">
        <v>65</v>
      </c>
      <c r="E70" s="742">
        <f>E68*1.5*0.1</f>
        <v>0.16500000000000004</v>
      </c>
      <c r="F70" s="572">
        <f>E70*F65</f>
        <v>5.0145150000000021</v>
      </c>
      <c r="G70" s="572"/>
      <c r="H70" s="572"/>
      <c r="I70" s="572"/>
      <c r="J70" s="743"/>
      <c r="K70" s="743"/>
      <c r="L70" s="743"/>
      <c r="M70" s="550"/>
    </row>
    <row r="71" spans="1:13" ht="45" x14ac:dyDescent="0.25">
      <c r="A71" s="1136">
        <v>12</v>
      </c>
      <c r="B71" s="744" t="s">
        <v>195</v>
      </c>
      <c r="C71" s="359" t="s">
        <v>720</v>
      </c>
      <c r="D71" s="93" t="s">
        <v>76</v>
      </c>
      <c r="E71" s="161"/>
      <c r="F71" s="60">
        <f>297.75+30.3+371.57-F59</f>
        <v>607.82000000000005</v>
      </c>
      <c r="G71" s="731"/>
      <c r="H71" s="731"/>
      <c r="I71" s="731"/>
      <c r="J71" s="731"/>
      <c r="K71" s="731"/>
      <c r="L71" s="731"/>
      <c r="M71" s="732"/>
    </row>
    <row r="72" spans="1:13" x14ac:dyDescent="0.25">
      <c r="A72" s="1137"/>
      <c r="B72" s="169"/>
      <c r="C72" s="159" t="s">
        <v>63</v>
      </c>
      <c r="D72" s="158" t="s">
        <v>165</v>
      </c>
      <c r="E72" s="158">
        <v>0.40200000000000002</v>
      </c>
      <c r="F72" s="24">
        <f>F71*E72</f>
        <v>244.34364000000002</v>
      </c>
      <c r="G72" s="409"/>
      <c r="H72" s="409"/>
      <c r="I72" s="40"/>
      <c r="J72" s="40"/>
      <c r="K72" s="409"/>
      <c r="L72" s="409"/>
      <c r="M72" s="41"/>
    </row>
    <row r="73" spans="1:13" x14ac:dyDescent="0.25">
      <c r="A73" s="1137"/>
      <c r="B73" s="169"/>
      <c r="C73" s="159" t="s">
        <v>166</v>
      </c>
      <c r="D73" s="158" t="s">
        <v>78</v>
      </c>
      <c r="E73" s="158">
        <v>0.129</v>
      </c>
      <c r="F73" s="24">
        <f>F71*E73</f>
        <v>78.408780000000007</v>
      </c>
      <c r="G73" s="409"/>
      <c r="H73" s="409"/>
      <c r="I73" s="409"/>
      <c r="J73" s="409"/>
      <c r="K73" s="409"/>
      <c r="L73" s="409"/>
      <c r="M73" s="41"/>
    </row>
    <row r="74" spans="1:13" x14ac:dyDescent="0.25">
      <c r="A74" s="1137"/>
      <c r="B74" s="169" t="s">
        <v>479</v>
      </c>
      <c r="C74" s="745" t="s">
        <v>682</v>
      </c>
      <c r="D74" s="158" t="s">
        <v>76</v>
      </c>
      <c r="E74" s="167">
        <v>1</v>
      </c>
      <c r="F74" s="24">
        <f>E74*F71</f>
        <v>607.82000000000005</v>
      </c>
      <c r="G74" s="409"/>
      <c r="H74" s="409"/>
      <c r="I74" s="409"/>
      <c r="J74" s="409"/>
      <c r="K74" s="409"/>
      <c r="L74" s="409"/>
      <c r="M74" s="41"/>
    </row>
    <row r="75" spans="1:13" x14ac:dyDescent="0.25">
      <c r="A75" s="1137"/>
      <c r="B75" s="169" t="s">
        <v>491</v>
      </c>
      <c r="C75" s="159" t="s">
        <v>191</v>
      </c>
      <c r="D75" s="158" t="s">
        <v>62</v>
      </c>
      <c r="E75" s="158">
        <v>5.0000000000000001E-4</v>
      </c>
      <c r="F75" s="24">
        <f>E75*F71</f>
        <v>0.30391000000000001</v>
      </c>
      <c r="G75" s="409"/>
      <c r="H75" s="409"/>
      <c r="I75" s="409"/>
      <c r="J75" s="409"/>
      <c r="K75" s="409"/>
      <c r="L75" s="409"/>
      <c r="M75" s="41"/>
    </row>
    <row r="76" spans="1:13" ht="15.75" thickBot="1" x14ac:dyDescent="0.3">
      <c r="A76" s="1138"/>
      <c r="B76" s="283" t="s">
        <v>480</v>
      </c>
      <c r="C76" s="586" t="s">
        <v>631</v>
      </c>
      <c r="D76" s="162" t="s">
        <v>65</v>
      </c>
      <c r="E76" s="162">
        <v>1.5</v>
      </c>
      <c r="F76" s="127">
        <f>E76*F75</f>
        <v>0.45586500000000002</v>
      </c>
      <c r="G76" s="581"/>
      <c r="H76" s="581"/>
      <c r="I76" s="581"/>
      <c r="J76" s="581"/>
      <c r="K76" s="581"/>
      <c r="L76" s="409"/>
      <c r="M76" s="41"/>
    </row>
    <row r="77" spans="1:13" ht="30.75" x14ac:dyDescent="0.25">
      <c r="A77" s="1127">
        <v>13</v>
      </c>
      <c r="B77" s="622" t="s">
        <v>591</v>
      </c>
      <c r="C77" s="29" t="s">
        <v>740</v>
      </c>
      <c r="D77" s="29" t="s">
        <v>65</v>
      </c>
      <c r="E77" s="746"/>
      <c r="F77" s="98">
        <f>F80*0.0006</f>
        <v>3.1673999999999994E-2</v>
      </c>
      <c r="G77" s="747"/>
      <c r="H77" s="747"/>
      <c r="I77" s="747"/>
      <c r="J77" s="747"/>
      <c r="K77" s="747"/>
      <c r="L77" s="747"/>
      <c r="M77" s="748"/>
    </row>
    <row r="78" spans="1:13" ht="22.5" x14ac:dyDescent="0.25">
      <c r="A78" s="1122"/>
      <c r="B78" s="45" t="s">
        <v>622</v>
      </c>
      <c r="C78" s="121" t="s">
        <v>593</v>
      </c>
      <c r="D78" s="121" t="s">
        <v>104</v>
      </c>
      <c r="E78" s="22">
        <v>0.3</v>
      </c>
      <c r="F78" s="24">
        <f>E78*F77</f>
        <v>9.5021999999999971E-3</v>
      </c>
      <c r="G78" s="274"/>
      <c r="H78" s="274"/>
      <c r="I78" s="274"/>
      <c r="J78" s="274"/>
      <c r="K78" s="274"/>
      <c r="L78" s="409"/>
      <c r="M78" s="41"/>
    </row>
    <row r="79" spans="1:13" ht="15.75" thickBot="1" x14ac:dyDescent="0.3">
      <c r="A79" s="1123"/>
      <c r="B79" s="64" t="s">
        <v>623</v>
      </c>
      <c r="C79" s="119" t="s">
        <v>595</v>
      </c>
      <c r="D79" s="33" t="s">
        <v>65</v>
      </c>
      <c r="E79" s="33">
        <v>1.03</v>
      </c>
      <c r="F79" s="67">
        <f>E79*F77</f>
        <v>3.2624219999999995E-2</v>
      </c>
      <c r="G79" s="749"/>
      <c r="H79" s="749"/>
      <c r="I79" s="749"/>
      <c r="J79" s="749"/>
      <c r="K79" s="749"/>
      <c r="L79" s="749"/>
      <c r="M79" s="41"/>
    </row>
    <row r="80" spans="1:13" ht="45" x14ac:dyDescent="0.25">
      <c r="A80" s="1128">
        <v>14</v>
      </c>
      <c r="B80" s="59" t="s">
        <v>596</v>
      </c>
      <c r="C80" s="750" t="s">
        <v>597</v>
      </c>
      <c r="D80" s="498" t="s">
        <v>76</v>
      </c>
      <c r="E80" s="751"/>
      <c r="F80" s="752">
        <v>52.79</v>
      </c>
      <c r="G80" s="499"/>
      <c r="H80" s="499"/>
      <c r="I80" s="499"/>
      <c r="J80" s="499"/>
      <c r="K80" s="499"/>
      <c r="L80" s="499"/>
      <c r="M80" s="500"/>
    </row>
    <row r="81" spans="1:13" x14ac:dyDescent="0.25">
      <c r="A81" s="1129"/>
      <c r="B81" s="501"/>
      <c r="C81" s="544" t="s">
        <v>626</v>
      </c>
      <c r="D81" s="503" t="s">
        <v>64</v>
      </c>
      <c r="E81" s="753">
        <f>(37.5+0.07*2)/1000</f>
        <v>3.764E-2</v>
      </c>
      <c r="F81" s="754">
        <f>F80*E81</f>
        <v>1.9870155999999999</v>
      </c>
      <c r="G81" s="505"/>
      <c r="H81" s="504"/>
      <c r="I81" s="504"/>
      <c r="J81" s="409"/>
      <c r="K81" s="506"/>
      <c r="L81" s="506"/>
      <c r="M81" s="41"/>
    </row>
    <row r="82" spans="1:13" ht="22.5" x14ac:dyDescent="0.25">
      <c r="A82" s="1129"/>
      <c r="B82" s="45" t="s">
        <v>621</v>
      </c>
      <c r="C82" s="502" t="s">
        <v>600</v>
      </c>
      <c r="D82" s="504" t="s">
        <v>104</v>
      </c>
      <c r="E82" s="753">
        <f>3.02/1000</f>
        <v>3.0200000000000001E-3</v>
      </c>
      <c r="F82" s="754">
        <f>F80*E82</f>
        <v>0.15942580000000001</v>
      </c>
      <c r="G82" s="504"/>
      <c r="H82" s="504"/>
      <c r="I82" s="504"/>
      <c r="J82" s="506"/>
      <c r="K82" s="504"/>
      <c r="L82" s="409"/>
      <c r="M82" s="41"/>
    </row>
    <row r="83" spans="1:13" ht="22.5" x14ac:dyDescent="0.25">
      <c r="A83" s="1129"/>
      <c r="B83" s="688" t="s">
        <v>484</v>
      </c>
      <c r="C83" s="502" t="s">
        <v>601</v>
      </c>
      <c r="D83" s="504" t="s">
        <v>104</v>
      </c>
      <c r="E83" s="755">
        <f>0.37/100</f>
        <v>3.7000000000000002E-3</v>
      </c>
      <c r="F83" s="754">
        <f>F80*E83</f>
        <v>0.195323</v>
      </c>
      <c r="G83" s="409"/>
      <c r="H83" s="409"/>
      <c r="I83" s="409"/>
      <c r="J83" s="409"/>
      <c r="K83" s="409"/>
      <c r="L83" s="409"/>
      <c r="M83" s="41"/>
    </row>
    <row r="84" spans="1:13" ht="22.5" x14ac:dyDescent="0.25">
      <c r="A84" s="1129"/>
      <c r="B84" s="756" t="s">
        <v>485</v>
      </c>
      <c r="C84" s="502" t="s">
        <v>603</v>
      </c>
      <c r="D84" s="504" t="s">
        <v>104</v>
      </c>
      <c r="E84" s="755">
        <f>1.11/100</f>
        <v>1.11E-2</v>
      </c>
      <c r="F84" s="754">
        <f>F80*E84</f>
        <v>0.58596899999999996</v>
      </c>
      <c r="G84" s="409"/>
      <c r="H84" s="409"/>
      <c r="I84" s="409"/>
      <c r="J84" s="409"/>
      <c r="K84" s="409"/>
      <c r="L84" s="409"/>
      <c r="M84" s="41"/>
    </row>
    <row r="85" spans="1:13" x14ac:dyDescent="0.25">
      <c r="A85" s="1129"/>
      <c r="B85" s="501"/>
      <c r="C85" s="502" t="s">
        <v>166</v>
      </c>
      <c r="D85" s="504" t="s">
        <v>78</v>
      </c>
      <c r="E85" s="755">
        <f>0.23/100</f>
        <v>2.3E-3</v>
      </c>
      <c r="F85" s="754">
        <f>F80*E85</f>
        <v>0.121417</v>
      </c>
      <c r="G85" s="504"/>
      <c r="H85" s="504"/>
      <c r="I85" s="504"/>
      <c r="J85" s="506"/>
      <c r="K85" s="504"/>
      <c r="L85" s="409"/>
      <c r="M85" s="41"/>
    </row>
    <row r="86" spans="1:13" x14ac:dyDescent="0.25">
      <c r="A86" s="1129"/>
      <c r="B86" s="757" t="s">
        <v>624</v>
      </c>
      <c r="C86" s="502" t="s">
        <v>605</v>
      </c>
      <c r="D86" s="504" t="s">
        <v>89</v>
      </c>
      <c r="E86" s="758">
        <f>(96.8+12.1*2)/1000</f>
        <v>0.121</v>
      </c>
      <c r="F86" s="754">
        <f>F80*E86</f>
        <v>6.3875899999999994</v>
      </c>
      <c r="G86" s="504"/>
      <c r="H86" s="504"/>
      <c r="I86" s="504"/>
      <c r="J86" s="504"/>
      <c r="K86" s="504"/>
      <c r="L86" s="504"/>
      <c r="M86" s="25"/>
    </row>
    <row r="87" spans="1:13" ht="15.75" thickBot="1" x14ac:dyDescent="0.3">
      <c r="A87" s="1130"/>
      <c r="B87" s="507"/>
      <c r="C87" s="508" t="s">
        <v>119</v>
      </c>
      <c r="D87" s="509" t="s">
        <v>78</v>
      </c>
      <c r="E87" s="157">
        <f>(14.5+0.02*2)/1000</f>
        <v>1.4539999999999999E-2</v>
      </c>
      <c r="F87" s="759">
        <f>F80*E87</f>
        <v>0.76756659999999999</v>
      </c>
      <c r="G87" s="509"/>
      <c r="H87" s="504"/>
      <c r="I87" s="509"/>
      <c r="J87" s="509"/>
      <c r="K87" s="509"/>
      <c r="L87" s="509"/>
      <c r="M87" s="25"/>
    </row>
    <row r="88" spans="1:13" x14ac:dyDescent="0.25">
      <c r="A88" s="1131">
        <v>15</v>
      </c>
      <c r="B88" s="510" t="s">
        <v>606</v>
      </c>
      <c r="C88" s="511" t="s">
        <v>607</v>
      </c>
      <c r="D88" s="512" t="s">
        <v>205</v>
      </c>
      <c r="E88" s="760"/>
      <c r="F88" s="761">
        <f>F77/2</f>
        <v>1.5836999999999997E-2</v>
      </c>
      <c r="G88" s="514"/>
      <c r="H88" s="515"/>
      <c r="I88" s="516"/>
      <c r="J88" s="516"/>
      <c r="K88" s="515"/>
      <c r="L88" s="515"/>
      <c r="M88" s="517"/>
    </row>
    <row r="89" spans="1:13" ht="22.5" x14ac:dyDescent="0.25">
      <c r="A89" s="1132"/>
      <c r="B89" s="45" t="s">
        <v>622</v>
      </c>
      <c r="C89" s="121" t="s">
        <v>593</v>
      </c>
      <c r="D89" s="121" t="s">
        <v>104</v>
      </c>
      <c r="E89" s="22">
        <v>0.3</v>
      </c>
      <c r="F89" s="24">
        <f>E89*F88</f>
        <v>4.7510999999999986E-3</v>
      </c>
      <c r="G89" s="274"/>
      <c r="H89" s="274"/>
      <c r="I89" s="274"/>
      <c r="J89" s="274"/>
      <c r="K89" s="274"/>
      <c r="L89" s="409"/>
      <c r="M89" s="25"/>
    </row>
    <row r="90" spans="1:13" ht="15.75" thickBot="1" x14ac:dyDescent="0.3">
      <c r="A90" s="1132"/>
      <c r="B90" s="64" t="s">
        <v>623</v>
      </c>
      <c r="C90" s="119" t="s">
        <v>595</v>
      </c>
      <c r="D90" s="33" t="s">
        <v>65</v>
      </c>
      <c r="E90" s="33">
        <v>1.03</v>
      </c>
      <c r="F90" s="67">
        <f>E90*F88</f>
        <v>1.6312109999999998E-2</v>
      </c>
      <c r="G90" s="749"/>
      <c r="H90" s="749"/>
      <c r="I90" s="749"/>
      <c r="J90" s="749"/>
      <c r="K90" s="749"/>
      <c r="L90" s="749"/>
      <c r="M90" s="25"/>
    </row>
    <row r="91" spans="1:13" ht="45" x14ac:dyDescent="0.25">
      <c r="A91" s="1133">
        <v>16</v>
      </c>
      <c r="B91" s="59" t="s">
        <v>596</v>
      </c>
      <c r="C91" s="15" t="s">
        <v>608</v>
      </c>
      <c r="D91" s="518" t="s">
        <v>76</v>
      </c>
      <c r="E91" s="762"/>
      <c r="F91" s="763">
        <f>F80</f>
        <v>52.79</v>
      </c>
      <c r="G91" s="520"/>
      <c r="H91" s="520"/>
      <c r="I91" s="520"/>
      <c r="J91" s="520"/>
      <c r="K91" s="520"/>
      <c r="L91" s="520"/>
      <c r="M91" s="521"/>
    </row>
    <row r="92" spans="1:13" x14ac:dyDescent="0.25">
      <c r="A92" s="1134"/>
      <c r="B92" s="501"/>
      <c r="C92" s="544" t="s">
        <v>626</v>
      </c>
      <c r="D92" s="503" t="s">
        <v>64</v>
      </c>
      <c r="E92" s="753">
        <f>(37.5-0.07*2)/1000</f>
        <v>3.7359999999999997E-2</v>
      </c>
      <c r="F92" s="754">
        <f>F91*E92</f>
        <v>1.9722343999999998</v>
      </c>
      <c r="G92" s="505"/>
      <c r="H92" s="504"/>
      <c r="I92" s="504"/>
      <c r="J92" s="409"/>
      <c r="K92" s="506"/>
      <c r="L92" s="506"/>
      <c r="M92" s="25"/>
    </row>
    <row r="93" spans="1:13" ht="22.5" x14ac:dyDescent="0.25">
      <c r="A93" s="1134"/>
      <c r="B93" s="45" t="s">
        <v>621</v>
      </c>
      <c r="C93" s="502" t="s">
        <v>600</v>
      </c>
      <c r="D93" s="504" t="s">
        <v>104</v>
      </c>
      <c r="E93" s="753">
        <f>3.02/1000</f>
        <v>3.0200000000000001E-3</v>
      </c>
      <c r="F93" s="754">
        <f>E93*F91</f>
        <v>0.15942580000000001</v>
      </c>
      <c r="G93" s="504"/>
      <c r="H93" s="504"/>
      <c r="I93" s="504"/>
      <c r="J93" s="506"/>
      <c r="K93" s="504"/>
      <c r="L93" s="409"/>
      <c r="M93" s="25"/>
    </row>
    <row r="94" spans="1:13" ht="22.5" x14ac:dyDescent="0.25">
      <c r="A94" s="1134"/>
      <c r="B94" s="688" t="s">
        <v>484</v>
      </c>
      <c r="C94" s="502" t="s">
        <v>601</v>
      </c>
      <c r="D94" s="504" t="s">
        <v>104</v>
      </c>
      <c r="E94" s="755">
        <f>0.37/100</f>
        <v>3.7000000000000002E-3</v>
      </c>
      <c r="F94" s="754">
        <f>E94*F91</f>
        <v>0.195323</v>
      </c>
      <c r="G94" s="409"/>
      <c r="H94" s="409"/>
      <c r="I94" s="409"/>
      <c r="J94" s="409"/>
      <c r="K94" s="409"/>
      <c r="L94" s="409"/>
      <c r="M94" s="25"/>
    </row>
    <row r="95" spans="1:13" ht="22.5" x14ac:dyDescent="0.25">
      <c r="A95" s="1134"/>
      <c r="B95" s="45" t="s">
        <v>485</v>
      </c>
      <c r="C95" s="502" t="s">
        <v>603</v>
      </c>
      <c r="D95" s="504" t="s">
        <v>104</v>
      </c>
      <c r="E95" s="755">
        <f>1.11/100</f>
        <v>1.11E-2</v>
      </c>
      <c r="F95" s="754">
        <f>E95*F91</f>
        <v>0.58596899999999996</v>
      </c>
      <c r="G95" s="409"/>
      <c r="H95" s="409"/>
      <c r="I95" s="409"/>
      <c r="J95" s="409"/>
      <c r="K95" s="409"/>
      <c r="L95" s="409"/>
      <c r="M95" s="25"/>
    </row>
    <row r="96" spans="1:13" x14ac:dyDescent="0.25">
      <c r="A96" s="1134"/>
      <c r="B96" s="501"/>
      <c r="C96" s="502" t="s">
        <v>166</v>
      </c>
      <c r="D96" s="504" t="s">
        <v>78</v>
      </c>
      <c r="E96" s="755">
        <f>0.23/100</f>
        <v>2.3E-3</v>
      </c>
      <c r="F96" s="754">
        <f>E96*F91</f>
        <v>0.121417</v>
      </c>
      <c r="G96" s="504"/>
      <c r="H96" s="504"/>
      <c r="I96" s="504"/>
      <c r="J96" s="506"/>
      <c r="K96" s="504"/>
      <c r="L96" s="409"/>
      <c r="M96" s="25"/>
    </row>
    <row r="97" spans="1:13" x14ac:dyDescent="0.25">
      <c r="A97" s="1134"/>
      <c r="B97" s="757" t="s">
        <v>625</v>
      </c>
      <c r="C97" s="502" t="s">
        <v>614</v>
      </c>
      <c r="D97" s="504" t="s">
        <v>89</v>
      </c>
      <c r="E97" s="755">
        <f>(97.4-12.1*2)/1000</f>
        <v>7.3200000000000001E-2</v>
      </c>
      <c r="F97" s="754">
        <f>E97*F91</f>
        <v>3.8642280000000002</v>
      </c>
      <c r="G97" s="504"/>
      <c r="H97" s="504"/>
      <c r="I97" s="504"/>
      <c r="J97" s="504"/>
      <c r="K97" s="504"/>
      <c r="L97" s="504"/>
      <c r="M97" s="25"/>
    </row>
    <row r="98" spans="1:13" ht="15.75" thickBot="1" x14ac:dyDescent="0.3">
      <c r="A98" s="1135"/>
      <c r="B98" s="507"/>
      <c r="C98" s="508" t="s">
        <v>119</v>
      </c>
      <c r="D98" s="509" t="s">
        <v>78</v>
      </c>
      <c r="E98" s="764">
        <v>1.4500000000000001E-2</v>
      </c>
      <c r="F98" s="759">
        <f>E98*F91</f>
        <v>0.765455</v>
      </c>
      <c r="G98" s="509"/>
      <c r="H98" s="509"/>
      <c r="I98" s="509"/>
      <c r="J98" s="509"/>
      <c r="K98" s="509"/>
      <c r="L98" s="509"/>
      <c r="M98" s="25"/>
    </row>
    <row r="99" spans="1:13" s="765" customFormat="1" x14ac:dyDescent="0.25">
      <c r="A99" s="317"/>
      <c r="B99" s="318"/>
      <c r="C99" s="576" t="s">
        <v>113</v>
      </c>
      <c r="D99" s="319"/>
      <c r="E99" s="96"/>
      <c r="F99" s="320"/>
      <c r="G99" s="320"/>
      <c r="H99" s="320"/>
      <c r="I99" s="320"/>
      <c r="J99" s="320"/>
      <c r="K99" s="320"/>
      <c r="L99" s="320"/>
      <c r="M99" s="320"/>
    </row>
    <row r="100" spans="1:13" ht="45" x14ac:dyDescent="0.25">
      <c r="A100" s="686"/>
      <c r="B100" s="343"/>
      <c r="C100" s="121" t="s">
        <v>197</v>
      </c>
      <c r="D100" s="362" t="s">
        <v>757</v>
      </c>
      <c r="E100" s="39"/>
      <c r="F100" s="40"/>
      <c r="G100" s="40"/>
      <c r="H100" s="40"/>
      <c r="I100" s="75"/>
      <c r="J100" s="75"/>
      <c r="K100" s="75"/>
      <c r="L100" s="75"/>
      <c r="M100" s="41"/>
    </row>
    <row r="101" spans="1:13" x14ac:dyDescent="0.25">
      <c r="A101" s="686"/>
      <c r="B101" s="343"/>
      <c r="C101" s="577" t="s">
        <v>24</v>
      </c>
      <c r="D101" s="362"/>
      <c r="E101" s="39"/>
      <c r="F101" s="40"/>
      <c r="G101" s="40"/>
      <c r="H101" s="75"/>
      <c r="I101" s="75"/>
      <c r="J101" s="75"/>
      <c r="K101" s="75"/>
      <c r="L101" s="75"/>
      <c r="M101" s="41"/>
    </row>
    <row r="102" spans="1:13" x14ac:dyDescent="0.25">
      <c r="A102" s="686"/>
      <c r="B102" s="123"/>
      <c r="C102" s="21" t="s">
        <v>117</v>
      </c>
      <c r="D102" s="362" t="s">
        <v>757</v>
      </c>
      <c r="E102" s="61"/>
      <c r="F102" s="75"/>
      <c r="G102" s="75"/>
      <c r="H102" s="75"/>
      <c r="I102" s="40"/>
      <c r="J102" s="40"/>
      <c r="K102" s="40"/>
      <c r="L102" s="24"/>
      <c r="M102" s="25"/>
    </row>
    <row r="103" spans="1:13" x14ac:dyDescent="0.25">
      <c r="A103" s="686"/>
      <c r="B103" s="123"/>
      <c r="C103" s="578" t="s">
        <v>24</v>
      </c>
      <c r="D103" s="362"/>
      <c r="E103" s="61"/>
      <c r="F103" s="75"/>
      <c r="G103" s="75"/>
      <c r="H103" s="75"/>
      <c r="I103" s="40"/>
      <c r="J103" s="40"/>
      <c r="K103" s="40"/>
      <c r="L103" s="40"/>
      <c r="M103" s="25"/>
    </row>
    <row r="104" spans="1:13" x14ac:dyDescent="0.25">
      <c r="A104" s="686"/>
      <c r="B104" s="123"/>
      <c r="C104" s="21" t="s">
        <v>118</v>
      </c>
      <c r="D104" s="362" t="s">
        <v>757</v>
      </c>
      <c r="E104" s="61"/>
      <c r="F104" s="75"/>
      <c r="G104" s="75"/>
      <c r="H104" s="75"/>
      <c r="I104" s="40"/>
      <c r="J104" s="40"/>
      <c r="K104" s="40"/>
      <c r="L104" s="24"/>
      <c r="M104" s="25"/>
    </row>
    <row r="105" spans="1:13" s="765" customFormat="1" ht="15.75" thickBot="1" x14ac:dyDescent="0.3">
      <c r="A105" s="543"/>
      <c r="B105" s="126"/>
      <c r="C105" s="579" t="s">
        <v>24</v>
      </c>
      <c r="D105" s="383"/>
      <c r="E105" s="70"/>
      <c r="F105" s="193"/>
      <c r="G105" s="193"/>
      <c r="H105" s="193"/>
      <c r="I105" s="193"/>
      <c r="J105" s="193"/>
      <c r="K105" s="193"/>
      <c r="L105" s="127"/>
      <c r="M105" s="128"/>
    </row>
    <row r="106" spans="1:13" x14ac:dyDescent="0.25">
      <c r="A106" s="766"/>
      <c r="B106" s="767"/>
      <c r="C106" s="728"/>
      <c r="D106" s="728"/>
      <c r="E106" s="728"/>
      <c r="F106" s="768"/>
      <c r="G106" s="769"/>
      <c r="H106" s="769"/>
      <c r="I106" s="769"/>
      <c r="J106" s="769"/>
      <c r="K106" s="769"/>
      <c r="L106" s="769"/>
      <c r="M106" s="769"/>
    </row>
    <row r="109" spans="1:13" x14ac:dyDescent="0.25">
      <c r="C109" s="771"/>
    </row>
  </sheetData>
  <sheetProtection password="CF7A" sheet="1" objects="1" scenarios="1"/>
  <protectedRanges>
    <protectedRange sqref="D100:F105" name="Range2"/>
    <protectedRange sqref="G8:M105" name="Range1"/>
  </protectedRanges>
  <mergeCells count="31">
    <mergeCell ref="A65:A70"/>
    <mergeCell ref="A77:A79"/>
    <mergeCell ref="A80:A87"/>
    <mergeCell ref="A88:A90"/>
    <mergeCell ref="A91:A98"/>
    <mergeCell ref="A71:A76"/>
    <mergeCell ref="A14:A15"/>
    <mergeCell ref="A16:A18"/>
    <mergeCell ref="B16:B17"/>
    <mergeCell ref="A59:A64"/>
    <mergeCell ref="A19:A22"/>
    <mergeCell ref="A23:A25"/>
    <mergeCell ref="B23:B24"/>
    <mergeCell ref="A26:A32"/>
    <mergeCell ref="A33:A39"/>
    <mergeCell ref="A40:A49"/>
    <mergeCell ref="A50:A58"/>
    <mergeCell ref="A9:A13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M5:M6"/>
    <mergeCell ref="I5:J5"/>
    <mergeCell ref="K5:L5"/>
  </mergeCells>
  <conditionalFormatting sqref="E50:F53 F54:F58">
    <cfRule type="cellIs" dxfId="408" priority="17" stopIfTrue="1" operator="equal">
      <formula>8223.307275</formula>
    </cfRule>
  </conditionalFormatting>
  <conditionalFormatting sqref="B43">
    <cfRule type="cellIs" dxfId="407" priority="12" stopIfTrue="1" operator="equal">
      <formula>8223.307275</formula>
    </cfRule>
  </conditionalFormatting>
  <conditionalFormatting sqref="B82 B93">
    <cfRule type="cellIs" dxfId="406" priority="13" stopIfTrue="1" operator="equal">
      <formula>8223.307275</formula>
    </cfRule>
  </conditionalFormatting>
  <conditionalFormatting sqref="B20:F24 B30 B46 B52">
    <cfRule type="cellIs" dxfId="405" priority="23" stopIfTrue="1" operator="equal">
      <formula>8223.307275</formula>
    </cfRule>
  </conditionalFormatting>
  <conditionalFormatting sqref="B14:F15">
    <cfRule type="cellIs" dxfId="404" priority="22" stopIfTrue="1" operator="equal">
      <formula>8223.307275</formula>
    </cfRule>
  </conditionalFormatting>
  <conditionalFormatting sqref="B28:F28">
    <cfRule type="cellIs" dxfId="403" priority="21" stopIfTrue="1" operator="equal">
      <formula>8223.307275</formula>
    </cfRule>
  </conditionalFormatting>
  <conditionalFormatting sqref="B29">
    <cfRule type="cellIs" dxfId="402" priority="11" stopIfTrue="1" operator="equal">
      <formula>8223.307275</formula>
    </cfRule>
  </conditionalFormatting>
  <conditionalFormatting sqref="B42:F42">
    <cfRule type="cellIs" dxfId="401" priority="20" stopIfTrue="1" operator="equal">
      <formula>8223.307275</formula>
    </cfRule>
  </conditionalFormatting>
  <conditionalFormatting sqref="C50:F53 C54:D58 F54:F58">
    <cfRule type="cellIs" dxfId="400" priority="18" stopIfTrue="1" operator="equal">
      <formula>0</formula>
    </cfRule>
  </conditionalFormatting>
  <conditionalFormatting sqref="B44">
    <cfRule type="cellIs" dxfId="399" priority="10" stopIfTrue="1" operator="equal">
      <formula>8223.307275</formula>
    </cfRule>
  </conditionalFormatting>
  <conditionalFormatting sqref="B9:F13">
    <cfRule type="cellIs" dxfId="398" priority="15" stopIfTrue="1" operator="equal">
      <formula>8223.307275</formula>
    </cfRule>
  </conditionalFormatting>
  <conditionalFormatting sqref="D80:F85 D91:F98 D86:D87 F86:F87">
    <cfRule type="cellIs" dxfId="397" priority="14" stopIfTrue="1" operator="equal">
      <formula>0</formula>
    </cfRule>
  </conditionalFormatting>
  <conditionalFormatting sqref="B83 B94">
    <cfRule type="cellIs" dxfId="396" priority="7" stopIfTrue="1" operator="equal">
      <formula>8223.307275</formula>
    </cfRule>
  </conditionalFormatting>
  <conditionalFormatting sqref="B45">
    <cfRule type="cellIs" dxfId="395" priority="9" stopIfTrue="1" operator="equal">
      <formula>8223.307275</formula>
    </cfRule>
  </conditionalFormatting>
  <conditionalFormatting sqref="E87">
    <cfRule type="cellIs" dxfId="394" priority="5" stopIfTrue="1" operator="equal">
      <formula>0</formula>
    </cfRule>
  </conditionalFormatting>
  <conditionalFormatting sqref="E57">
    <cfRule type="cellIs" dxfId="393" priority="3" stopIfTrue="1" operator="equal">
      <formula>8223.307275</formula>
    </cfRule>
  </conditionalFormatting>
  <conditionalFormatting sqref="E57">
    <cfRule type="cellIs" dxfId="392" priority="4" stopIfTrue="1" operator="equal">
      <formula>0</formula>
    </cfRule>
  </conditionalFormatting>
  <conditionalFormatting sqref="E58">
    <cfRule type="cellIs" dxfId="391" priority="1" stopIfTrue="1" operator="equal">
      <formula>8223.307275</formula>
    </cfRule>
  </conditionalFormatting>
  <conditionalFormatting sqref="E58">
    <cfRule type="cellIs" dxfId="390" priority="2" stopIfTrue="1" operator="equal">
      <formula>0</formula>
    </cfRule>
  </conditionalFormatting>
  <pageMargins left="1.04" right="0" top="0.23622047244094491" bottom="0.23622047244094491" header="0.15748031496062992" footer="0.15748031496062992"/>
  <pageSetup paperSize="9" scale="85" orientation="landscape" horizontalDpi="4294967295" verticalDpi="429496729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24"/>
  <sheetViews>
    <sheetView view="pageBreakPreview" topLeftCell="A40" zoomScaleNormal="110" zoomScaleSheetLayoutView="100" workbookViewId="0">
      <selection activeCell="D53" sqref="D53:G58"/>
    </sheetView>
  </sheetViews>
  <sheetFormatPr defaultRowHeight="15" x14ac:dyDescent="0.25"/>
  <cols>
    <col min="1" max="1" width="3" style="728" bestFit="1" customWidth="1"/>
    <col min="2" max="2" width="9" style="767" bestFit="1" customWidth="1"/>
    <col min="3" max="3" width="36.7109375" style="728" customWidth="1"/>
    <col min="4" max="5" width="9.28515625" style="728" bestFit="1" customWidth="1"/>
    <col min="6" max="6" width="8.85546875" style="728" bestFit="1" customWidth="1"/>
    <col min="7" max="7" width="7.85546875" style="769" bestFit="1" customWidth="1"/>
    <col min="8" max="8" width="11.7109375" style="769" customWidth="1"/>
    <col min="9" max="9" width="6.5703125" style="769" bestFit="1" customWidth="1"/>
    <col min="10" max="11" width="7.5703125" style="769" bestFit="1" customWidth="1"/>
    <col min="12" max="12" width="11" style="769" customWidth="1"/>
    <col min="13" max="13" width="12.5703125" style="769" bestFit="1" customWidth="1"/>
    <col min="14" max="16384" width="9.140625" style="728"/>
  </cols>
  <sheetData>
    <row r="1" spans="1:13" x14ac:dyDescent="0.25">
      <c r="B1" s="1073" t="s">
        <v>643</v>
      </c>
      <c r="C1" s="1073"/>
      <c r="D1" s="1073"/>
      <c r="E1" s="1073"/>
      <c r="F1" s="1073"/>
      <c r="G1" s="1073"/>
      <c r="H1" s="1073"/>
      <c r="I1" s="1073"/>
      <c r="J1" s="1073"/>
      <c r="K1" s="1073"/>
      <c r="L1" s="1073"/>
    </row>
    <row r="2" spans="1:13" x14ac:dyDescent="0.25">
      <c r="B2" s="1090" t="s">
        <v>620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x14ac:dyDescent="0.25">
      <c r="A3" s="12"/>
      <c r="B3" s="1090" t="s">
        <v>644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6.5" thickBot="1" x14ac:dyDescent="0.35">
      <c r="A4" s="1093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.7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3">
      <c r="A6" s="1095"/>
      <c r="B6" s="1097"/>
      <c r="C6" s="1099"/>
      <c r="D6" s="1099"/>
      <c r="E6" s="77" t="s">
        <v>399</v>
      </c>
      <c r="F6" s="77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773" customFormat="1" ht="15.75" thickBot="1" x14ac:dyDescent="0.3">
      <c r="A7" s="187"/>
      <c r="B7" s="188" t="s">
        <v>60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89">
        <v>9</v>
      </c>
      <c r="J7" s="189">
        <v>10</v>
      </c>
      <c r="K7" s="189">
        <v>11</v>
      </c>
      <c r="L7" s="189">
        <v>12</v>
      </c>
      <c r="M7" s="190">
        <v>13</v>
      </c>
    </row>
    <row r="8" spans="1:13" ht="45" x14ac:dyDescent="0.25">
      <c r="A8" s="1121">
        <v>1</v>
      </c>
      <c r="B8" s="181" t="s">
        <v>660</v>
      </c>
      <c r="C8" s="705" t="s">
        <v>659</v>
      </c>
      <c r="D8" s="16" t="s">
        <v>174</v>
      </c>
      <c r="E8" s="93"/>
      <c r="F8" s="60">
        <f>412.02</f>
        <v>412.02</v>
      </c>
      <c r="G8" s="731"/>
      <c r="H8" s="731"/>
      <c r="I8" s="731"/>
      <c r="J8" s="731"/>
      <c r="K8" s="731"/>
      <c r="L8" s="731"/>
      <c r="M8" s="732"/>
    </row>
    <row r="9" spans="1:13" x14ac:dyDescent="0.25">
      <c r="A9" s="1122"/>
      <c r="B9" s="45"/>
      <c r="C9" s="121" t="s">
        <v>175</v>
      </c>
      <c r="D9" s="22" t="s">
        <v>64</v>
      </c>
      <c r="E9" s="158">
        <v>5.5800000000000002E-2</v>
      </c>
      <c r="F9" s="167">
        <f>E9*F8</f>
        <v>22.990715999999999</v>
      </c>
      <c r="G9" s="409"/>
      <c r="H9" s="409"/>
      <c r="I9" s="409"/>
      <c r="J9" s="409"/>
      <c r="K9" s="409"/>
      <c r="L9" s="409"/>
      <c r="M9" s="25"/>
    </row>
    <row r="10" spans="1:13" ht="22.5" x14ac:dyDescent="0.25">
      <c r="A10" s="1122"/>
      <c r="B10" s="45" t="s">
        <v>476</v>
      </c>
      <c r="C10" s="153" t="s">
        <v>155</v>
      </c>
      <c r="D10" s="117" t="s">
        <v>97</v>
      </c>
      <c r="E10" s="734">
        <f>3.88/1000</f>
        <v>3.8799999999999998E-3</v>
      </c>
      <c r="F10" s="155">
        <f>E10*F8</f>
        <v>1.5986375999999998</v>
      </c>
      <c r="G10" s="40"/>
      <c r="H10" s="40"/>
      <c r="I10" s="40"/>
      <c r="J10" s="40"/>
      <c r="K10" s="40"/>
      <c r="L10" s="40"/>
      <c r="M10" s="25"/>
    </row>
    <row r="11" spans="1:13" ht="22.5" x14ac:dyDescent="0.25">
      <c r="A11" s="1122"/>
      <c r="B11" s="45" t="s">
        <v>481</v>
      </c>
      <c r="C11" s="121" t="s">
        <v>176</v>
      </c>
      <c r="D11" s="22" t="s">
        <v>104</v>
      </c>
      <c r="E11" s="158">
        <v>7.1000000000000002E-4</v>
      </c>
      <c r="F11" s="167">
        <f>E11*F8</f>
        <v>0.29253420000000002</v>
      </c>
      <c r="G11" s="409"/>
      <c r="H11" s="409"/>
      <c r="I11" s="409"/>
      <c r="J11" s="409"/>
      <c r="K11" s="409"/>
      <c r="L11" s="40"/>
      <c r="M11" s="25"/>
    </row>
    <row r="12" spans="1:13" ht="22.5" x14ac:dyDescent="0.25">
      <c r="A12" s="1122"/>
      <c r="B12" s="45" t="s">
        <v>484</v>
      </c>
      <c r="C12" s="121" t="s">
        <v>177</v>
      </c>
      <c r="D12" s="22" t="s">
        <v>104</v>
      </c>
      <c r="E12" s="158">
        <v>8.2199999999999999E-3</v>
      </c>
      <c r="F12" s="167">
        <f>E12*F8</f>
        <v>3.3868043999999999</v>
      </c>
      <c r="G12" s="409"/>
      <c r="H12" s="409"/>
      <c r="I12" s="409"/>
      <c r="J12" s="409"/>
      <c r="K12" s="409"/>
      <c r="L12" s="40"/>
      <c r="M12" s="25"/>
    </row>
    <row r="13" spans="1:13" ht="22.5" x14ac:dyDescent="0.25">
      <c r="A13" s="1122"/>
      <c r="B13" s="45" t="s">
        <v>485</v>
      </c>
      <c r="C13" s="121" t="s">
        <v>169</v>
      </c>
      <c r="D13" s="22" t="s">
        <v>104</v>
      </c>
      <c r="E13" s="158">
        <v>2.1399999999999999E-2</v>
      </c>
      <c r="F13" s="167">
        <f>E13*F8</f>
        <v>8.8172279999999983</v>
      </c>
      <c r="G13" s="409"/>
      <c r="H13" s="409"/>
      <c r="I13" s="409"/>
      <c r="J13" s="409"/>
      <c r="K13" s="409"/>
      <c r="L13" s="40"/>
      <c r="M13" s="25"/>
    </row>
    <row r="14" spans="1:13" ht="22.5" x14ac:dyDescent="0.25">
      <c r="A14" s="1122"/>
      <c r="B14" s="45" t="s">
        <v>488</v>
      </c>
      <c r="C14" s="121" t="s">
        <v>161</v>
      </c>
      <c r="D14" s="22" t="s">
        <v>104</v>
      </c>
      <c r="E14" s="158">
        <v>3.5000000000000001E-3</v>
      </c>
      <c r="F14" s="167">
        <f>E14*F8</f>
        <v>1.44207</v>
      </c>
      <c r="G14" s="409"/>
      <c r="H14" s="409"/>
      <c r="I14" s="409"/>
      <c r="J14" s="409"/>
      <c r="K14" s="409"/>
      <c r="L14" s="40"/>
      <c r="M14" s="25"/>
    </row>
    <row r="15" spans="1:13" x14ac:dyDescent="0.25">
      <c r="A15" s="1122"/>
      <c r="B15" s="45"/>
      <c r="C15" s="121" t="s">
        <v>121</v>
      </c>
      <c r="D15" s="22" t="s">
        <v>104</v>
      </c>
      <c r="E15" s="158">
        <v>1.0200000000000001E-3</v>
      </c>
      <c r="F15" s="167">
        <f>E15*F8</f>
        <v>0.42026040000000003</v>
      </c>
      <c r="G15" s="409"/>
      <c r="H15" s="409"/>
      <c r="I15" s="409"/>
      <c r="J15" s="409"/>
      <c r="K15" s="67"/>
      <c r="L15" s="40"/>
      <c r="M15" s="25"/>
    </row>
    <row r="16" spans="1:13" x14ac:dyDescent="0.25">
      <c r="A16" s="1122"/>
      <c r="B16" s="45" t="s">
        <v>490</v>
      </c>
      <c r="C16" s="121" t="s">
        <v>178</v>
      </c>
      <c r="D16" s="22" t="s">
        <v>163</v>
      </c>
      <c r="E16" s="774">
        <f>5*0.0665/6</f>
        <v>5.541666666666667E-2</v>
      </c>
      <c r="F16" s="606">
        <f>E16*F8</f>
        <v>22.832775000000002</v>
      </c>
      <c r="G16" s="409"/>
      <c r="H16" s="409"/>
      <c r="I16" s="409"/>
      <c r="J16" s="409"/>
      <c r="K16" s="409"/>
      <c r="L16" s="40"/>
      <c r="M16" s="25"/>
    </row>
    <row r="17" spans="1:13" ht="15.75" thickBot="1" x14ac:dyDescent="0.3">
      <c r="A17" s="1142"/>
      <c r="B17" s="64" t="s">
        <v>480</v>
      </c>
      <c r="C17" s="775" t="s">
        <v>180</v>
      </c>
      <c r="D17" s="33" t="s">
        <v>65</v>
      </c>
      <c r="E17" s="174">
        <v>1.6</v>
      </c>
      <c r="F17" s="620">
        <f>E17*F16</f>
        <v>36.532440000000001</v>
      </c>
      <c r="G17" s="581"/>
      <c r="H17" s="581"/>
      <c r="I17" s="581"/>
      <c r="J17" s="581"/>
      <c r="K17" s="581"/>
      <c r="L17" s="49"/>
      <c r="M17" s="28"/>
    </row>
    <row r="18" spans="1:13" ht="45.75" x14ac:dyDescent="0.25">
      <c r="A18" s="1121">
        <v>2</v>
      </c>
      <c r="B18" s="181" t="s">
        <v>591</v>
      </c>
      <c r="C18" s="16" t="s">
        <v>741</v>
      </c>
      <c r="D18" s="16" t="s">
        <v>65</v>
      </c>
      <c r="E18" s="16"/>
      <c r="F18" s="205">
        <f>F8*0.0006</f>
        <v>0.24721199999999996</v>
      </c>
      <c r="G18" s="776"/>
      <c r="H18" s="776"/>
      <c r="I18" s="776"/>
      <c r="J18" s="776"/>
      <c r="K18" s="776"/>
      <c r="L18" s="776"/>
      <c r="M18" s="777"/>
    </row>
    <row r="19" spans="1:13" ht="22.5" x14ac:dyDescent="0.25">
      <c r="A19" s="1122"/>
      <c r="B19" s="45" t="s">
        <v>592</v>
      </c>
      <c r="C19" s="121" t="s">
        <v>593</v>
      </c>
      <c r="D19" s="121" t="s">
        <v>104</v>
      </c>
      <c r="E19" s="22">
        <v>0.3</v>
      </c>
      <c r="F19" s="167">
        <f>E19*F18</f>
        <v>7.4163599999999982E-2</v>
      </c>
      <c r="G19" s="274"/>
      <c r="H19" s="274"/>
      <c r="I19" s="274"/>
      <c r="J19" s="274"/>
      <c r="K19" s="274"/>
      <c r="L19" s="274"/>
      <c r="M19" s="41"/>
    </row>
    <row r="20" spans="1:13" ht="15.75" thickBot="1" x14ac:dyDescent="0.3">
      <c r="A20" s="1123"/>
      <c r="B20" s="64" t="s">
        <v>594</v>
      </c>
      <c r="C20" s="119" t="s">
        <v>595</v>
      </c>
      <c r="D20" s="33" t="s">
        <v>65</v>
      </c>
      <c r="E20" s="33">
        <v>1.03</v>
      </c>
      <c r="F20" s="182">
        <f>E20*F18</f>
        <v>0.25462835999999994</v>
      </c>
      <c r="G20" s="749"/>
      <c r="H20" s="749"/>
      <c r="I20" s="749"/>
      <c r="J20" s="749"/>
      <c r="K20" s="749"/>
      <c r="L20" s="749"/>
      <c r="M20" s="678"/>
    </row>
    <row r="21" spans="1:13" ht="60" x14ac:dyDescent="0.25">
      <c r="A21" s="1128">
        <v>3</v>
      </c>
      <c r="B21" s="181" t="s">
        <v>596</v>
      </c>
      <c r="C21" s="750" t="s">
        <v>597</v>
      </c>
      <c r="D21" s="498" t="s">
        <v>76</v>
      </c>
      <c r="E21" s="498"/>
      <c r="F21" s="499">
        <f>F8</f>
        <v>412.02</v>
      </c>
      <c r="G21" s="499"/>
      <c r="H21" s="499"/>
      <c r="I21" s="499"/>
      <c r="J21" s="499"/>
      <c r="K21" s="499"/>
      <c r="L21" s="499"/>
      <c r="M21" s="500"/>
    </row>
    <row r="22" spans="1:13" ht="30" x14ac:dyDescent="0.25">
      <c r="A22" s="1129"/>
      <c r="B22" s="501"/>
      <c r="C22" s="502" t="s">
        <v>598</v>
      </c>
      <c r="D22" s="503" t="s">
        <v>64</v>
      </c>
      <c r="E22" s="753">
        <f>(37.5+0.07*2)/1000</f>
        <v>3.764E-2</v>
      </c>
      <c r="F22" s="504">
        <f>F21*E22</f>
        <v>15.5084328</v>
      </c>
      <c r="G22" s="505"/>
      <c r="H22" s="504"/>
      <c r="I22" s="504"/>
      <c r="J22" s="409"/>
      <c r="K22" s="506"/>
      <c r="L22" s="506"/>
      <c r="M22" s="25"/>
    </row>
    <row r="23" spans="1:13" s="778" customFormat="1" ht="22.5" x14ac:dyDescent="0.25">
      <c r="A23" s="1129"/>
      <c r="B23" s="45" t="s">
        <v>599</v>
      </c>
      <c r="C23" s="502" t="s">
        <v>600</v>
      </c>
      <c r="D23" s="504" t="s">
        <v>104</v>
      </c>
      <c r="E23" s="753">
        <f>3.02/1000</f>
        <v>3.0200000000000001E-3</v>
      </c>
      <c r="F23" s="504">
        <f>F21*E23</f>
        <v>1.2443004</v>
      </c>
      <c r="G23" s="504"/>
      <c r="H23" s="504"/>
      <c r="I23" s="504"/>
      <c r="J23" s="506"/>
      <c r="K23" s="504"/>
      <c r="L23" s="40"/>
      <c r="M23" s="25"/>
    </row>
    <row r="24" spans="1:13" ht="30" x14ac:dyDescent="0.25">
      <c r="A24" s="1129"/>
      <c r="B24" s="45" t="s">
        <v>590</v>
      </c>
      <c r="C24" s="502" t="s">
        <v>601</v>
      </c>
      <c r="D24" s="504" t="s">
        <v>104</v>
      </c>
      <c r="E24" s="155">
        <f>0.37/100</f>
        <v>3.7000000000000002E-3</v>
      </c>
      <c r="F24" s="504">
        <f>F21*E24</f>
        <v>1.5244740000000001</v>
      </c>
      <c r="G24" s="409"/>
      <c r="H24" s="409"/>
      <c r="I24" s="409"/>
      <c r="J24" s="409"/>
      <c r="K24" s="409"/>
      <c r="L24" s="40"/>
      <c r="M24" s="25"/>
    </row>
    <row r="25" spans="1:13" x14ac:dyDescent="0.25">
      <c r="A25" s="1129"/>
      <c r="B25" s="756" t="s">
        <v>602</v>
      </c>
      <c r="C25" s="502" t="s">
        <v>603</v>
      </c>
      <c r="D25" s="504" t="s">
        <v>104</v>
      </c>
      <c r="E25" s="155">
        <f>1.11/100</f>
        <v>1.11E-2</v>
      </c>
      <c r="F25" s="504">
        <f>F21*E25</f>
        <v>4.5734219999999999</v>
      </c>
      <c r="G25" s="409"/>
      <c r="H25" s="409"/>
      <c r="I25" s="409"/>
      <c r="J25" s="409"/>
      <c r="K25" s="409"/>
      <c r="L25" s="40"/>
      <c r="M25" s="25"/>
    </row>
    <row r="26" spans="1:13" x14ac:dyDescent="0.25">
      <c r="A26" s="1129"/>
      <c r="B26" s="501"/>
      <c r="C26" s="502" t="s">
        <v>166</v>
      </c>
      <c r="D26" s="504" t="s">
        <v>78</v>
      </c>
      <c r="E26" s="155">
        <f>0.23/100</f>
        <v>2.3E-3</v>
      </c>
      <c r="F26" s="504">
        <f>F21*E26</f>
        <v>0.94764599999999999</v>
      </c>
      <c r="G26" s="504"/>
      <c r="H26" s="504"/>
      <c r="I26" s="504"/>
      <c r="J26" s="506"/>
      <c r="K26" s="504"/>
      <c r="L26" s="40"/>
      <c r="M26" s="25"/>
    </row>
    <row r="27" spans="1:13" x14ac:dyDescent="0.25">
      <c r="A27" s="1129"/>
      <c r="B27" s="757" t="s">
        <v>604</v>
      </c>
      <c r="C27" s="502" t="s">
        <v>605</v>
      </c>
      <c r="D27" s="504" t="s">
        <v>89</v>
      </c>
      <c r="E27" s="779">
        <f>(96.8+12.1*2)/1000</f>
        <v>0.121</v>
      </c>
      <c r="F27" s="504">
        <f>F21*E27</f>
        <v>49.854419999999998</v>
      </c>
      <c r="G27" s="504"/>
      <c r="H27" s="504"/>
      <c r="I27" s="504"/>
      <c r="J27" s="504"/>
      <c r="K27" s="504"/>
      <c r="L27" s="504"/>
      <c r="M27" s="25"/>
    </row>
    <row r="28" spans="1:13" ht="15.75" thickBot="1" x14ac:dyDescent="0.3">
      <c r="A28" s="1130"/>
      <c r="B28" s="507"/>
      <c r="C28" s="508" t="s">
        <v>119</v>
      </c>
      <c r="D28" s="509" t="s">
        <v>78</v>
      </c>
      <c r="E28" s="157">
        <f>(14.5+0.02*2)/1000</f>
        <v>1.4539999999999999E-2</v>
      </c>
      <c r="F28" s="509">
        <f>F21*E28</f>
        <v>5.9907707999999991</v>
      </c>
      <c r="G28" s="509"/>
      <c r="H28" s="504"/>
      <c r="I28" s="509"/>
      <c r="J28" s="509"/>
      <c r="K28" s="509"/>
      <c r="L28" s="509"/>
      <c r="M28" s="25"/>
    </row>
    <row r="29" spans="1:13" x14ac:dyDescent="0.25">
      <c r="A29" s="1131">
        <v>4</v>
      </c>
      <c r="B29" s="603" t="s">
        <v>606</v>
      </c>
      <c r="C29" s="511" t="s">
        <v>607</v>
      </c>
      <c r="D29" s="512" t="s">
        <v>205</v>
      </c>
      <c r="E29" s="513"/>
      <c r="F29" s="513">
        <f>F18/2</f>
        <v>0.12360599999999998</v>
      </c>
      <c r="G29" s="514"/>
      <c r="H29" s="515"/>
      <c r="I29" s="516"/>
      <c r="J29" s="516"/>
      <c r="K29" s="515"/>
      <c r="L29" s="515"/>
      <c r="M29" s="517"/>
    </row>
    <row r="30" spans="1:13" ht="22.5" x14ac:dyDescent="0.25">
      <c r="A30" s="1132"/>
      <c r="B30" s="45" t="s">
        <v>592</v>
      </c>
      <c r="C30" s="121" t="s">
        <v>593</v>
      </c>
      <c r="D30" s="121" t="s">
        <v>104</v>
      </c>
      <c r="E30" s="22">
        <v>0.3</v>
      </c>
      <c r="F30" s="167">
        <f>E30*F29</f>
        <v>3.7081799999999991E-2</v>
      </c>
      <c r="G30" s="274"/>
      <c r="H30" s="274"/>
      <c r="I30" s="274"/>
      <c r="J30" s="274"/>
      <c r="K30" s="274"/>
      <c r="L30" s="274"/>
      <c r="M30" s="41"/>
    </row>
    <row r="31" spans="1:13" ht="15.75" thickBot="1" x14ac:dyDescent="0.3">
      <c r="A31" s="1132"/>
      <c r="B31" s="64" t="s">
        <v>594</v>
      </c>
      <c r="C31" s="119" t="s">
        <v>595</v>
      </c>
      <c r="D31" s="33" t="s">
        <v>65</v>
      </c>
      <c r="E31" s="33">
        <v>1.03</v>
      </c>
      <c r="F31" s="182">
        <f>E31*F29</f>
        <v>0.12731417999999997</v>
      </c>
      <c r="G31" s="749"/>
      <c r="H31" s="749"/>
      <c r="I31" s="749"/>
      <c r="J31" s="749"/>
      <c r="K31" s="749"/>
      <c r="L31" s="749"/>
      <c r="M31" s="678"/>
    </row>
    <row r="32" spans="1:13" ht="60" x14ac:dyDescent="0.25">
      <c r="A32" s="1133">
        <v>5</v>
      </c>
      <c r="B32" s="181" t="s">
        <v>596</v>
      </c>
      <c r="C32" s="15" t="s">
        <v>608</v>
      </c>
      <c r="D32" s="518" t="s">
        <v>76</v>
      </c>
      <c r="E32" s="518"/>
      <c r="F32" s="519">
        <f>F21</f>
        <v>412.02</v>
      </c>
      <c r="G32" s="520"/>
      <c r="H32" s="520"/>
      <c r="I32" s="520"/>
      <c r="J32" s="520"/>
      <c r="K32" s="520"/>
      <c r="L32" s="520"/>
      <c r="M32" s="521"/>
    </row>
    <row r="33" spans="1:13" ht="30" x14ac:dyDescent="0.25">
      <c r="A33" s="1134"/>
      <c r="B33" s="501"/>
      <c r="C33" s="502" t="s">
        <v>609</v>
      </c>
      <c r="D33" s="503" t="s">
        <v>64</v>
      </c>
      <c r="E33" s="753">
        <f>(37.5-0.07*2)/1000</f>
        <v>3.7359999999999997E-2</v>
      </c>
      <c r="F33" s="504">
        <f>F32*E33</f>
        <v>15.393067199999999</v>
      </c>
      <c r="G33" s="505"/>
      <c r="H33" s="504"/>
      <c r="I33" s="504"/>
      <c r="J33" s="409"/>
      <c r="K33" s="506"/>
      <c r="L33" s="506"/>
      <c r="M33" s="25"/>
    </row>
    <row r="34" spans="1:13" x14ac:dyDescent="0.25">
      <c r="A34" s="1134"/>
      <c r="B34" s="45" t="s">
        <v>610</v>
      </c>
      <c r="C34" s="502" t="s">
        <v>600</v>
      </c>
      <c r="D34" s="504" t="s">
        <v>104</v>
      </c>
      <c r="E34" s="753">
        <f>3.02/1000</f>
        <v>3.0200000000000001E-3</v>
      </c>
      <c r="F34" s="504">
        <f>E34*F32</f>
        <v>1.2443004</v>
      </c>
      <c r="G34" s="504"/>
      <c r="H34" s="504"/>
      <c r="I34" s="504"/>
      <c r="J34" s="506"/>
      <c r="K34" s="504"/>
      <c r="L34" s="40"/>
      <c r="M34" s="25"/>
    </row>
    <row r="35" spans="1:13" ht="30" x14ac:dyDescent="0.25">
      <c r="A35" s="1134"/>
      <c r="B35" s="45" t="s">
        <v>611</v>
      </c>
      <c r="C35" s="502" t="s">
        <v>601</v>
      </c>
      <c r="D35" s="504" t="s">
        <v>104</v>
      </c>
      <c r="E35" s="755">
        <f>0.37/100</f>
        <v>3.7000000000000002E-3</v>
      </c>
      <c r="F35" s="504">
        <f>E35*F32</f>
        <v>1.5244740000000001</v>
      </c>
      <c r="G35" s="409"/>
      <c r="H35" s="409"/>
      <c r="I35" s="409"/>
      <c r="J35" s="409"/>
      <c r="K35" s="409"/>
      <c r="L35" s="40"/>
      <c r="M35" s="25"/>
    </row>
    <row r="36" spans="1:13" x14ac:dyDescent="0.25">
      <c r="A36" s="1134"/>
      <c r="B36" s="45" t="s">
        <v>612</v>
      </c>
      <c r="C36" s="502" t="s">
        <v>603</v>
      </c>
      <c r="D36" s="504" t="s">
        <v>104</v>
      </c>
      <c r="E36" s="755">
        <f>1.11/100</f>
        <v>1.11E-2</v>
      </c>
      <c r="F36" s="504">
        <f>E36*F32</f>
        <v>4.5734219999999999</v>
      </c>
      <c r="G36" s="409"/>
      <c r="H36" s="409"/>
      <c r="I36" s="409"/>
      <c r="J36" s="409"/>
      <c r="K36" s="409"/>
      <c r="L36" s="40"/>
      <c r="M36" s="25"/>
    </row>
    <row r="37" spans="1:13" x14ac:dyDescent="0.25">
      <c r="A37" s="1134"/>
      <c r="B37" s="501"/>
      <c r="C37" s="502" t="s">
        <v>166</v>
      </c>
      <c r="D37" s="504" t="s">
        <v>78</v>
      </c>
      <c r="E37" s="755">
        <f>0.23/100</f>
        <v>2.3E-3</v>
      </c>
      <c r="F37" s="504">
        <f>E37*F32</f>
        <v>0.94764599999999999</v>
      </c>
      <c r="G37" s="504"/>
      <c r="H37" s="504"/>
      <c r="I37" s="504"/>
      <c r="J37" s="506"/>
      <c r="K37" s="504"/>
      <c r="L37" s="40"/>
      <c r="M37" s="25"/>
    </row>
    <row r="38" spans="1:13" x14ac:dyDescent="0.25">
      <c r="A38" s="1134"/>
      <c r="B38" s="757" t="s">
        <v>613</v>
      </c>
      <c r="C38" s="502" t="s">
        <v>614</v>
      </c>
      <c r="D38" s="504" t="s">
        <v>89</v>
      </c>
      <c r="E38" s="755">
        <f>(97.4-12.1*2)/1000</f>
        <v>7.3200000000000001E-2</v>
      </c>
      <c r="F38" s="504">
        <f>E38*F32</f>
        <v>30.159863999999999</v>
      </c>
      <c r="G38" s="504"/>
      <c r="H38" s="504"/>
      <c r="I38" s="504"/>
      <c r="J38" s="504"/>
      <c r="K38" s="504"/>
      <c r="L38" s="504"/>
      <c r="M38" s="25"/>
    </row>
    <row r="39" spans="1:13" ht="15.75" thickBot="1" x14ac:dyDescent="0.3">
      <c r="A39" s="1135"/>
      <c r="B39" s="507"/>
      <c r="C39" s="508" t="s">
        <v>119</v>
      </c>
      <c r="D39" s="509" t="s">
        <v>78</v>
      </c>
      <c r="E39" s="764">
        <v>1.4500000000000001E-2</v>
      </c>
      <c r="F39" s="509">
        <f>E39*F32</f>
        <v>5.9742899999999999</v>
      </c>
      <c r="G39" s="509"/>
      <c r="H39" s="509"/>
      <c r="I39" s="509"/>
      <c r="J39" s="509"/>
      <c r="K39" s="509"/>
      <c r="L39" s="509"/>
      <c r="M39" s="28"/>
    </row>
    <row r="40" spans="1:13" ht="60" x14ac:dyDescent="0.25">
      <c r="A40" s="1143" t="s">
        <v>746</v>
      </c>
      <c r="B40" s="780" t="s">
        <v>676</v>
      </c>
      <c r="C40" s="647" t="s">
        <v>677</v>
      </c>
      <c r="D40" s="29" t="s">
        <v>88</v>
      </c>
      <c r="E40" s="213"/>
      <c r="F40" s="213">
        <v>45</v>
      </c>
      <c r="G40" s="213"/>
      <c r="H40" s="213"/>
      <c r="I40" s="213"/>
      <c r="J40" s="213"/>
      <c r="K40" s="213"/>
      <c r="L40" s="213"/>
      <c r="M40" s="211"/>
    </row>
    <row r="41" spans="1:13" x14ac:dyDescent="0.25">
      <c r="A41" s="1143"/>
      <c r="B41" s="45"/>
      <c r="C41" s="121" t="s">
        <v>175</v>
      </c>
      <c r="D41" s="523" t="s">
        <v>64</v>
      </c>
      <c r="E41" s="175">
        <f>0.00325*10</f>
        <v>3.2500000000000001E-2</v>
      </c>
      <c r="F41" s="175">
        <f>E41*F40</f>
        <v>1.4625000000000001</v>
      </c>
      <c r="G41" s="24"/>
      <c r="H41" s="24"/>
      <c r="I41" s="24"/>
      <c r="J41" s="24"/>
      <c r="K41" s="24"/>
      <c r="L41" s="24"/>
      <c r="M41" s="41"/>
    </row>
    <row r="42" spans="1:13" x14ac:dyDescent="0.25">
      <c r="A42" s="1143"/>
      <c r="B42" s="45"/>
      <c r="C42" s="524" t="s">
        <v>617</v>
      </c>
      <c r="D42" s="22" t="s">
        <v>104</v>
      </c>
      <c r="E42" s="781">
        <f>0.00088*10</f>
        <v>8.8000000000000005E-3</v>
      </c>
      <c r="F42" s="24">
        <f>E42*F40</f>
        <v>0.39600000000000002</v>
      </c>
      <c r="G42" s="24"/>
      <c r="H42" s="24"/>
      <c r="I42" s="24"/>
      <c r="J42" s="24"/>
      <c r="K42" s="24"/>
      <c r="L42" s="24"/>
      <c r="M42" s="41"/>
    </row>
    <row r="43" spans="1:13" x14ac:dyDescent="0.25">
      <c r="A43" s="1143"/>
      <c r="B43" s="45"/>
      <c r="C43" s="524" t="s">
        <v>82</v>
      </c>
      <c r="D43" s="22" t="s">
        <v>78</v>
      </c>
      <c r="E43" s="781">
        <f>0.00352*10</f>
        <v>3.5200000000000002E-2</v>
      </c>
      <c r="F43" s="24">
        <f>E43*F40</f>
        <v>1.5840000000000001</v>
      </c>
      <c r="G43" s="24"/>
      <c r="H43" s="24"/>
      <c r="I43" s="24"/>
      <c r="J43" s="24"/>
      <c r="K43" s="24"/>
      <c r="L43" s="24"/>
      <c r="M43" s="41"/>
    </row>
    <row r="44" spans="1:13" ht="90.75" thickBot="1" x14ac:dyDescent="0.3">
      <c r="A44" s="1144"/>
      <c r="B44" s="115" t="s">
        <v>618</v>
      </c>
      <c r="C44" s="525" t="s">
        <v>619</v>
      </c>
      <c r="D44" s="17" t="s">
        <v>71</v>
      </c>
      <c r="E44" s="70">
        <f>10.5/1000</f>
        <v>1.0500000000000001E-2</v>
      </c>
      <c r="F44" s="27">
        <f>E44*F40</f>
        <v>0.47250000000000003</v>
      </c>
      <c r="G44" s="27"/>
      <c r="H44" s="27"/>
      <c r="I44" s="27"/>
      <c r="J44" s="27"/>
      <c r="K44" s="27"/>
      <c r="L44" s="27"/>
      <c r="M44" s="50"/>
    </row>
    <row r="45" spans="1:13" ht="45" x14ac:dyDescent="0.25">
      <c r="A45" s="1121">
        <v>7</v>
      </c>
      <c r="B45" s="635" t="s">
        <v>320</v>
      </c>
      <c r="C45" s="705" t="s">
        <v>628</v>
      </c>
      <c r="D45" s="16" t="s">
        <v>76</v>
      </c>
      <c r="E45" s="562"/>
      <c r="F45" s="164">
        <v>116.54</v>
      </c>
      <c r="G45" s="563"/>
      <c r="H45" s="53"/>
      <c r="I45" s="563"/>
      <c r="J45" s="53"/>
      <c r="K45" s="563"/>
      <c r="L45" s="563"/>
      <c r="M45" s="125"/>
    </row>
    <row r="46" spans="1:13" ht="15.75" x14ac:dyDescent="0.3">
      <c r="A46" s="1122"/>
      <c r="B46" s="564"/>
      <c r="C46" s="565" t="s">
        <v>63</v>
      </c>
      <c r="D46" s="566" t="s">
        <v>64</v>
      </c>
      <c r="E46" s="567">
        <f>(18.4+4.39)/100</f>
        <v>0.22789999999999999</v>
      </c>
      <c r="F46" s="706">
        <f>E46*F45</f>
        <v>26.559466</v>
      </c>
      <c r="G46" s="568"/>
      <c r="H46" s="24"/>
      <c r="I46" s="569"/>
      <c r="J46" s="24"/>
      <c r="K46" s="569"/>
      <c r="L46" s="569"/>
      <c r="M46" s="25"/>
    </row>
    <row r="47" spans="1:13" ht="16.5" thickBot="1" x14ac:dyDescent="0.35">
      <c r="A47" s="1142"/>
      <c r="B47" s="687" t="s">
        <v>147</v>
      </c>
      <c r="C47" s="570" t="s">
        <v>321</v>
      </c>
      <c r="D47" s="571" t="s">
        <v>78</v>
      </c>
      <c r="E47" s="488">
        <f>2/100</f>
        <v>0.02</v>
      </c>
      <c r="F47" s="707">
        <f>F45*E47</f>
        <v>2.3308</v>
      </c>
      <c r="G47" s="572"/>
      <c r="H47" s="67"/>
      <c r="I47" s="573"/>
      <c r="J47" s="573"/>
      <c r="K47" s="572"/>
      <c r="L47" s="572"/>
      <c r="M47" s="95"/>
    </row>
    <row r="48" spans="1:13" x14ac:dyDescent="0.25">
      <c r="A48" s="1139">
        <v>8</v>
      </c>
      <c r="B48" s="635" t="s">
        <v>679</v>
      </c>
      <c r="C48" s="705" t="s">
        <v>678</v>
      </c>
      <c r="D48" s="16" t="s">
        <v>76</v>
      </c>
      <c r="E48" s="562"/>
      <c r="F48" s="164">
        <v>116.54</v>
      </c>
      <c r="G48" s="563"/>
      <c r="H48" s="53"/>
      <c r="I48" s="563"/>
      <c r="J48" s="53"/>
      <c r="K48" s="563"/>
      <c r="L48" s="563"/>
      <c r="M48" s="125"/>
    </row>
    <row r="49" spans="1:13" ht="15.75" x14ac:dyDescent="0.3">
      <c r="A49" s="1140"/>
      <c r="B49" s="564"/>
      <c r="C49" s="565" t="s">
        <v>63</v>
      </c>
      <c r="D49" s="566" t="s">
        <v>64</v>
      </c>
      <c r="E49" s="567">
        <f>35/100</f>
        <v>0.35</v>
      </c>
      <c r="F49" s="706">
        <f>E49*F48</f>
        <v>40.789000000000001</v>
      </c>
      <c r="G49" s="568"/>
      <c r="H49" s="24"/>
      <c r="I49" s="569"/>
      <c r="J49" s="24"/>
      <c r="K49" s="569"/>
      <c r="L49" s="569"/>
      <c r="M49" s="25"/>
    </row>
    <row r="50" spans="1:13" ht="22.5" x14ac:dyDescent="0.3">
      <c r="A50" s="1140"/>
      <c r="B50" s="45" t="s">
        <v>488</v>
      </c>
      <c r="C50" s="121" t="s">
        <v>183</v>
      </c>
      <c r="D50" s="22" t="s">
        <v>104</v>
      </c>
      <c r="E50" s="742">
        <f>2.5/100</f>
        <v>2.5000000000000001E-2</v>
      </c>
      <c r="F50" s="707">
        <f>F48*E50</f>
        <v>2.9135000000000004</v>
      </c>
      <c r="G50" s="572"/>
      <c r="H50" s="67"/>
      <c r="I50" s="573"/>
      <c r="J50" s="573"/>
      <c r="K50" s="409"/>
      <c r="L50" s="572"/>
      <c r="M50" s="95"/>
    </row>
    <row r="51" spans="1:13" ht="16.5" thickBot="1" x14ac:dyDescent="0.35">
      <c r="A51" s="1141"/>
      <c r="B51" s="687"/>
      <c r="C51" s="570" t="s">
        <v>179</v>
      </c>
      <c r="D51" s="571" t="s">
        <v>62</v>
      </c>
      <c r="E51" s="488">
        <v>0.1</v>
      </c>
      <c r="F51" s="707">
        <f>E51*F48</f>
        <v>11.654000000000002</v>
      </c>
      <c r="G51" s="572"/>
      <c r="H51" s="67"/>
      <c r="I51" s="573"/>
      <c r="J51" s="573"/>
      <c r="K51" s="572"/>
      <c r="L51" s="572"/>
      <c r="M51" s="95"/>
    </row>
    <row r="52" spans="1:13" ht="15.75" thickBot="1" x14ac:dyDescent="0.3">
      <c r="A52" s="648"/>
      <c r="B52" s="649"/>
      <c r="C52" s="650" t="s">
        <v>113</v>
      </c>
      <c r="D52" s="651"/>
      <c r="E52" s="652"/>
      <c r="F52" s="652"/>
      <c r="G52" s="653"/>
      <c r="H52" s="653"/>
      <c r="I52" s="653"/>
      <c r="J52" s="653"/>
      <c r="K52" s="653"/>
      <c r="L52" s="653"/>
      <c r="M52" s="653"/>
    </row>
    <row r="53" spans="1:13" ht="45" x14ac:dyDescent="0.25">
      <c r="A53" s="477"/>
      <c r="B53" s="329"/>
      <c r="C53" s="145" t="s">
        <v>197</v>
      </c>
      <c r="D53" s="588" t="s">
        <v>757</v>
      </c>
      <c r="E53" s="275"/>
      <c r="F53" s="275"/>
      <c r="G53" s="676"/>
      <c r="H53" s="676"/>
      <c r="I53" s="676"/>
      <c r="J53" s="676"/>
      <c r="K53" s="676"/>
      <c r="L53" s="676"/>
      <c r="M53" s="677"/>
    </row>
    <row r="54" spans="1:13" x14ac:dyDescent="0.25">
      <c r="A54" s="135"/>
      <c r="B54" s="343"/>
      <c r="C54" s="594" t="s">
        <v>24</v>
      </c>
      <c r="D54" s="362"/>
      <c r="E54" s="39"/>
      <c r="F54" s="39"/>
      <c r="G54" s="40"/>
      <c r="H54" s="40"/>
      <c r="I54" s="40"/>
      <c r="J54" s="40"/>
      <c r="K54" s="40"/>
      <c r="L54" s="40"/>
      <c r="M54" s="41"/>
    </row>
    <row r="55" spans="1:13" x14ac:dyDescent="0.25">
      <c r="A55" s="135"/>
      <c r="B55" s="123"/>
      <c r="C55" s="21" t="s">
        <v>117</v>
      </c>
      <c r="D55" s="362" t="s">
        <v>757</v>
      </c>
      <c r="E55" s="61"/>
      <c r="F55" s="39"/>
      <c r="G55" s="40"/>
      <c r="H55" s="40"/>
      <c r="I55" s="40"/>
      <c r="J55" s="40"/>
      <c r="K55" s="40"/>
      <c r="L55" s="24"/>
      <c r="M55" s="25"/>
    </row>
    <row r="56" spans="1:13" x14ac:dyDescent="0.25">
      <c r="A56" s="135"/>
      <c r="B56" s="123"/>
      <c r="C56" s="595" t="s">
        <v>24</v>
      </c>
      <c r="D56" s="362"/>
      <c r="E56" s="61"/>
      <c r="F56" s="39"/>
      <c r="G56" s="40"/>
      <c r="H56" s="40"/>
      <c r="I56" s="40"/>
      <c r="J56" s="40"/>
      <c r="K56" s="40"/>
      <c r="L56" s="40"/>
      <c r="M56" s="25"/>
    </row>
    <row r="57" spans="1:13" x14ac:dyDescent="0.25">
      <c r="A57" s="135"/>
      <c r="B57" s="123"/>
      <c r="C57" s="21" t="s">
        <v>118</v>
      </c>
      <c r="D57" s="362" t="s">
        <v>757</v>
      </c>
      <c r="E57" s="61"/>
      <c r="F57" s="39"/>
      <c r="G57" s="40"/>
      <c r="H57" s="40"/>
      <c r="I57" s="40"/>
      <c r="J57" s="40"/>
      <c r="K57" s="40"/>
      <c r="L57" s="24"/>
      <c r="M57" s="25"/>
    </row>
    <row r="58" spans="1:13" s="778" customFormat="1" ht="15.75" thickBot="1" x14ac:dyDescent="0.3">
      <c r="A58" s="382"/>
      <c r="B58" s="126"/>
      <c r="C58" s="579" t="s">
        <v>24</v>
      </c>
      <c r="D58" s="383"/>
      <c r="E58" s="137"/>
      <c r="F58" s="384"/>
      <c r="G58" s="193"/>
      <c r="H58" s="193"/>
      <c r="I58" s="193"/>
      <c r="J58" s="193"/>
      <c r="K58" s="193"/>
      <c r="L58" s="127"/>
      <c r="M58" s="128"/>
    </row>
    <row r="59" spans="1:13" x14ac:dyDescent="0.25">
      <c r="A59" s="438"/>
      <c r="B59" s="782"/>
      <c r="C59" s="528"/>
      <c r="D59" s="427"/>
      <c r="E59" s="427"/>
      <c r="F59" s="483"/>
      <c r="G59" s="783"/>
      <c r="H59" s="783"/>
      <c r="I59" s="783"/>
      <c r="J59" s="783"/>
      <c r="K59" s="783"/>
      <c r="L59" s="783"/>
      <c r="M59" s="418"/>
    </row>
    <row r="60" spans="1:13" x14ac:dyDescent="0.25">
      <c r="A60" s="438"/>
      <c r="B60" s="422"/>
      <c r="C60" s="528"/>
      <c r="D60" s="427"/>
      <c r="E60" s="427"/>
      <c r="F60" s="483"/>
      <c r="G60" s="783"/>
      <c r="H60" s="783"/>
      <c r="I60" s="783"/>
      <c r="J60" s="783"/>
      <c r="K60" s="783"/>
      <c r="L60" s="783"/>
      <c r="M60" s="418"/>
    </row>
    <row r="61" spans="1:13" x14ac:dyDescent="0.25">
      <c r="A61" s="782"/>
      <c r="B61" s="437"/>
      <c r="C61" s="465"/>
      <c r="D61" s="3"/>
      <c r="E61" s="467"/>
      <c r="F61" s="467"/>
      <c r="G61" s="467"/>
      <c r="H61" s="467"/>
      <c r="I61" s="467"/>
      <c r="J61" s="467"/>
      <c r="K61" s="467"/>
      <c r="L61" s="467"/>
      <c r="M61" s="467"/>
    </row>
    <row r="62" spans="1:13" x14ac:dyDescent="0.25">
      <c r="A62" s="782"/>
      <c r="B62" s="437"/>
      <c r="C62" s="430"/>
      <c r="D62" s="526"/>
      <c r="E62" s="445"/>
      <c r="F62" s="445"/>
      <c r="G62" s="424"/>
      <c r="H62" s="424"/>
      <c r="I62" s="424"/>
      <c r="J62" s="424"/>
      <c r="K62" s="424"/>
      <c r="L62" s="424"/>
      <c r="M62" s="418"/>
    </row>
    <row r="63" spans="1:13" x14ac:dyDescent="0.25">
      <c r="A63" s="782"/>
      <c r="B63" s="437"/>
      <c r="C63" s="527"/>
      <c r="D63" s="427"/>
      <c r="E63" s="784"/>
      <c r="F63" s="424"/>
      <c r="G63" s="424"/>
      <c r="H63" s="424"/>
      <c r="I63" s="424"/>
      <c r="J63" s="424"/>
      <c r="K63" s="424"/>
      <c r="L63" s="424"/>
      <c r="M63" s="418"/>
    </row>
    <row r="64" spans="1:13" x14ac:dyDescent="0.25">
      <c r="A64" s="782"/>
      <c r="B64" s="437"/>
      <c r="C64" s="527"/>
      <c r="D64" s="427"/>
      <c r="E64" s="784"/>
      <c r="F64" s="424"/>
      <c r="G64" s="424"/>
      <c r="H64" s="424"/>
      <c r="I64" s="424"/>
      <c r="J64" s="424"/>
      <c r="K64" s="424"/>
      <c r="L64" s="424"/>
      <c r="M64" s="418"/>
    </row>
    <row r="65" spans="1:13" x14ac:dyDescent="0.25">
      <c r="A65" s="782"/>
      <c r="B65" s="437"/>
      <c r="C65" s="527"/>
      <c r="D65" s="427"/>
      <c r="E65" s="424"/>
      <c r="F65" s="424"/>
      <c r="G65" s="424"/>
      <c r="H65" s="424"/>
      <c r="I65" s="424"/>
      <c r="J65" s="424"/>
      <c r="K65" s="424"/>
      <c r="L65" s="424"/>
      <c r="M65" s="418"/>
    </row>
    <row r="66" spans="1:13" x14ac:dyDescent="0.25">
      <c r="A66" s="782"/>
      <c r="B66" s="437"/>
      <c r="C66" s="3"/>
      <c r="D66" s="3"/>
      <c r="E66" s="467"/>
      <c r="F66" s="467"/>
      <c r="G66" s="467"/>
      <c r="H66" s="467"/>
      <c r="I66" s="467"/>
      <c r="J66" s="467"/>
      <c r="K66" s="467"/>
      <c r="L66" s="467"/>
      <c r="M66" s="467"/>
    </row>
    <row r="67" spans="1:13" x14ac:dyDescent="0.25">
      <c r="A67" s="782"/>
      <c r="B67" s="437"/>
      <c r="C67" s="430"/>
      <c r="D67" s="526"/>
      <c r="E67" s="445"/>
      <c r="F67" s="441"/>
      <c r="G67" s="424"/>
      <c r="H67" s="424"/>
      <c r="I67" s="424"/>
      <c r="J67" s="424"/>
      <c r="K67" s="424"/>
      <c r="L67" s="424"/>
      <c r="M67" s="418"/>
    </row>
    <row r="68" spans="1:13" x14ac:dyDescent="0.25">
      <c r="A68" s="782"/>
      <c r="B68" s="437"/>
      <c r="C68" s="527"/>
      <c r="D68" s="427"/>
      <c r="E68" s="784"/>
      <c r="F68" s="483"/>
      <c r="G68" s="424"/>
      <c r="H68" s="424"/>
      <c r="I68" s="424"/>
      <c r="J68" s="424"/>
      <c r="K68" s="424"/>
      <c r="L68" s="424"/>
      <c r="M68" s="418"/>
    </row>
    <row r="69" spans="1:13" x14ac:dyDescent="0.25">
      <c r="A69" s="782"/>
      <c r="B69" s="437"/>
      <c r="C69" s="527"/>
      <c r="D69" s="427"/>
      <c r="E69" s="784"/>
      <c r="F69" s="483"/>
      <c r="G69" s="424"/>
      <c r="H69" s="424"/>
      <c r="I69" s="424"/>
      <c r="J69" s="424"/>
      <c r="K69" s="424"/>
      <c r="L69" s="424"/>
      <c r="M69" s="418"/>
    </row>
    <row r="70" spans="1:13" x14ac:dyDescent="0.25">
      <c r="A70" s="782"/>
      <c r="B70" s="437"/>
      <c r="C70" s="527"/>
      <c r="D70" s="427"/>
      <c r="E70" s="424"/>
      <c r="F70" s="424"/>
      <c r="G70" s="424"/>
      <c r="H70" s="424"/>
      <c r="I70" s="424"/>
      <c r="J70" s="424"/>
      <c r="K70" s="424"/>
      <c r="L70" s="424"/>
      <c r="M70" s="418"/>
    </row>
    <row r="71" spans="1:13" x14ac:dyDescent="0.25">
      <c r="A71" s="427"/>
      <c r="B71" s="429"/>
      <c r="C71" s="459"/>
      <c r="D71" s="416"/>
      <c r="E71" s="417"/>
      <c r="F71" s="417"/>
      <c r="G71" s="418"/>
      <c r="H71" s="418"/>
      <c r="I71" s="418"/>
      <c r="J71" s="418"/>
      <c r="K71" s="418"/>
      <c r="L71" s="418"/>
      <c r="M71" s="418"/>
    </row>
    <row r="72" spans="1:13" x14ac:dyDescent="0.25">
      <c r="A72" s="462"/>
      <c r="B72" s="463"/>
      <c r="C72" s="430"/>
      <c r="D72" s="464"/>
      <c r="E72" s="417"/>
      <c r="F72" s="417"/>
      <c r="G72" s="418"/>
      <c r="H72" s="418"/>
      <c r="I72" s="170"/>
      <c r="J72" s="170"/>
      <c r="K72" s="170"/>
      <c r="L72" s="170"/>
      <c r="M72" s="418"/>
    </row>
    <row r="73" spans="1:13" x14ac:dyDescent="0.25">
      <c r="A73" s="462"/>
      <c r="B73" s="463"/>
      <c r="C73" s="461"/>
      <c r="D73" s="464"/>
      <c r="E73" s="417"/>
      <c r="F73" s="417"/>
      <c r="G73" s="418"/>
      <c r="H73" s="170"/>
      <c r="I73" s="170"/>
      <c r="J73" s="170"/>
      <c r="K73" s="170"/>
      <c r="L73" s="170"/>
      <c r="M73" s="418"/>
    </row>
    <row r="74" spans="1:13" x14ac:dyDescent="0.25">
      <c r="A74" s="462"/>
      <c r="B74" s="437"/>
      <c r="C74" s="438"/>
      <c r="D74" s="464"/>
      <c r="E74" s="428"/>
      <c r="F74" s="458"/>
      <c r="G74" s="170"/>
      <c r="H74" s="170"/>
      <c r="I74" s="418"/>
      <c r="J74" s="418"/>
      <c r="K74" s="418"/>
      <c r="L74" s="424"/>
      <c r="M74" s="424"/>
    </row>
    <row r="75" spans="1:13" x14ac:dyDescent="0.25">
      <c r="A75" s="462"/>
      <c r="B75" s="437"/>
      <c r="C75" s="438"/>
      <c r="D75" s="464"/>
      <c r="E75" s="428"/>
      <c r="F75" s="458"/>
      <c r="G75" s="170"/>
      <c r="H75" s="170"/>
      <c r="I75" s="418"/>
      <c r="J75" s="418"/>
      <c r="K75" s="418"/>
      <c r="L75" s="418"/>
      <c r="M75" s="424"/>
    </row>
    <row r="76" spans="1:13" x14ac:dyDescent="0.25">
      <c r="A76" s="462"/>
      <c r="B76" s="437"/>
      <c r="C76" s="438"/>
      <c r="D76" s="464"/>
      <c r="E76" s="428"/>
      <c r="F76" s="458"/>
      <c r="G76" s="170"/>
      <c r="H76" s="170"/>
      <c r="I76" s="418"/>
      <c r="J76" s="418"/>
      <c r="K76" s="418"/>
      <c r="L76" s="424"/>
      <c r="M76" s="424"/>
    </row>
    <row r="77" spans="1:13" x14ac:dyDescent="0.25">
      <c r="A77" s="462"/>
      <c r="B77" s="437"/>
      <c r="C77" s="438"/>
      <c r="D77" s="464"/>
      <c r="E77" s="428"/>
      <c r="F77" s="417"/>
      <c r="G77" s="418"/>
      <c r="H77" s="418"/>
      <c r="I77" s="418"/>
      <c r="J77" s="418"/>
      <c r="K77" s="418"/>
      <c r="L77" s="424"/>
      <c r="M77" s="424"/>
    </row>
    <row r="78" spans="1:13" x14ac:dyDescent="0.25">
      <c r="A78" s="462"/>
      <c r="B78" s="437"/>
      <c r="C78" s="528"/>
      <c r="D78" s="529"/>
      <c r="E78" s="530"/>
      <c r="F78" s="428"/>
      <c r="G78" s="424"/>
      <c r="H78" s="424"/>
      <c r="I78" s="424"/>
      <c r="J78" s="424"/>
      <c r="K78" s="424"/>
      <c r="L78" s="424"/>
      <c r="M78" s="424"/>
    </row>
    <row r="79" spans="1:13" x14ac:dyDescent="0.25">
      <c r="A79" s="462"/>
      <c r="B79" s="465"/>
      <c r="C79" s="432"/>
      <c r="D79" s="531"/>
      <c r="E79" s="532"/>
      <c r="F79" s="423"/>
      <c r="G79" s="467"/>
      <c r="H79" s="467"/>
      <c r="I79" s="467"/>
      <c r="J79" s="467"/>
      <c r="K79" s="467"/>
      <c r="L79" s="467"/>
      <c r="M79" s="467"/>
    </row>
    <row r="80" spans="1:13" x14ac:dyDescent="0.25">
      <c r="A80" s="419"/>
      <c r="B80" s="420"/>
      <c r="C80" s="468"/>
      <c r="D80" s="421"/>
      <c r="E80" s="421"/>
      <c r="F80" s="421"/>
      <c r="G80" s="421"/>
      <c r="H80" s="421"/>
      <c r="I80" s="421"/>
      <c r="J80" s="421"/>
      <c r="K80" s="421"/>
      <c r="L80" s="421"/>
      <c r="M80" s="421"/>
    </row>
    <row r="81" spans="1:13" x14ac:dyDescent="0.25">
      <c r="A81" s="462"/>
      <c r="B81" s="422"/>
      <c r="C81" s="533"/>
      <c r="D81" s="436"/>
      <c r="E81" s="534"/>
      <c r="F81" s="535"/>
      <c r="G81" s="418"/>
      <c r="H81" s="418"/>
      <c r="I81" s="418"/>
      <c r="J81" s="418"/>
      <c r="K81" s="418"/>
      <c r="L81" s="418"/>
      <c r="M81" s="418"/>
    </row>
    <row r="82" spans="1:13" x14ac:dyDescent="0.25">
      <c r="A82" s="462"/>
      <c r="B82" s="422"/>
      <c r="C82" s="479"/>
      <c r="D82" s="444"/>
      <c r="E82" s="480"/>
      <c r="F82" s="441"/>
      <c r="G82" s="418"/>
      <c r="H82" s="418"/>
      <c r="I82" s="418"/>
      <c r="J82" s="418"/>
      <c r="K82" s="418"/>
      <c r="L82" s="418"/>
      <c r="M82" s="424"/>
    </row>
    <row r="83" spans="1:13" x14ac:dyDescent="0.25">
      <c r="A83" s="462"/>
      <c r="B83" s="422"/>
      <c r="C83" s="479"/>
      <c r="D83" s="444"/>
      <c r="E83" s="480"/>
      <c r="F83" s="441"/>
      <c r="G83" s="418"/>
      <c r="H83" s="418"/>
      <c r="I83" s="418"/>
      <c r="J83" s="418"/>
      <c r="K83" s="418"/>
      <c r="L83" s="418"/>
      <c r="M83" s="424"/>
    </row>
    <row r="84" spans="1:13" x14ac:dyDescent="0.25">
      <c r="A84" s="462"/>
      <c r="B84" s="422"/>
      <c r="C84" s="479"/>
      <c r="D84" s="444"/>
      <c r="E84" s="480"/>
      <c r="F84" s="441"/>
      <c r="G84" s="418"/>
      <c r="H84" s="418"/>
      <c r="I84" s="418"/>
      <c r="J84" s="418"/>
      <c r="K84" s="418"/>
      <c r="L84" s="418"/>
      <c r="M84" s="424"/>
    </row>
    <row r="85" spans="1:13" x14ac:dyDescent="0.25">
      <c r="A85" s="462"/>
      <c r="B85" s="422"/>
      <c r="C85" s="533"/>
      <c r="D85" s="436"/>
      <c r="E85" s="534"/>
      <c r="F85" s="536"/>
      <c r="G85" s="418"/>
      <c r="H85" s="418"/>
      <c r="I85" s="418"/>
      <c r="J85" s="418"/>
      <c r="K85" s="418"/>
      <c r="L85" s="418"/>
      <c r="M85" s="418"/>
    </row>
    <row r="86" spans="1:13" x14ac:dyDescent="0.25">
      <c r="A86" s="462"/>
      <c r="B86" s="422"/>
      <c r="C86" s="479"/>
      <c r="D86" s="444"/>
      <c r="E86" s="480"/>
      <c r="F86" s="441"/>
      <c r="G86" s="418"/>
      <c r="H86" s="418"/>
      <c r="I86" s="418"/>
      <c r="J86" s="418"/>
      <c r="K86" s="418"/>
      <c r="L86" s="418"/>
      <c r="M86" s="424"/>
    </row>
    <row r="87" spans="1:13" x14ac:dyDescent="0.25">
      <c r="A87" s="785"/>
      <c r="B87" s="472"/>
      <c r="C87" s="170"/>
      <c r="D87" s="537"/>
      <c r="E87" s="443"/>
      <c r="F87" s="537"/>
      <c r="G87" s="537"/>
      <c r="H87" s="538"/>
      <c r="I87" s="538"/>
      <c r="J87" s="538"/>
      <c r="K87" s="538"/>
      <c r="L87" s="538"/>
      <c r="M87" s="538"/>
    </row>
    <row r="88" spans="1:13" x14ac:dyDescent="0.25">
      <c r="A88" s="785"/>
      <c r="B88" s="472"/>
      <c r="C88" s="461"/>
      <c r="D88" s="539"/>
      <c r="E88" s="540"/>
      <c r="F88" s="540"/>
      <c r="G88" s="538"/>
      <c r="H88" s="538"/>
      <c r="I88" s="538"/>
      <c r="J88" s="538"/>
      <c r="K88" s="538"/>
      <c r="L88" s="538"/>
      <c r="M88" s="538"/>
    </row>
    <row r="89" spans="1:13" x14ac:dyDescent="0.25">
      <c r="A89" s="785"/>
      <c r="B89" s="429"/>
      <c r="C89" s="170"/>
      <c r="D89" s="537"/>
      <c r="E89" s="538"/>
      <c r="F89" s="537"/>
      <c r="G89" s="537"/>
      <c r="H89" s="538"/>
      <c r="I89" s="538"/>
      <c r="J89" s="538"/>
      <c r="K89" s="538"/>
      <c r="L89" s="538"/>
      <c r="M89" s="538"/>
    </row>
    <row r="90" spans="1:13" x14ac:dyDescent="0.25">
      <c r="A90" s="473"/>
      <c r="B90" s="422"/>
      <c r="C90" s="671"/>
      <c r="D90" s="3"/>
      <c r="E90" s="423"/>
      <c r="F90" s="423"/>
      <c r="G90" s="424"/>
      <c r="H90" s="424"/>
      <c r="I90" s="424"/>
      <c r="J90" s="424"/>
      <c r="K90" s="424"/>
      <c r="L90" s="424"/>
      <c r="M90" s="467"/>
    </row>
    <row r="91" spans="1:13" x14ac:dyDescent="0.25">
      <c r="A91" s="473"/>
      <c r="B91" s="425"/>
      <c r="C91" s="426"/>
      <c r="D91" s="427"/>
      <c r="E91" s="428"/>
      <c r="F91" s="428"/>
      <c r="G91" s="424"/>
      <c r="H91" s="424"/>
      <c r="I91" s="424"/>
      <c r="J91" s="424"/>
      <c r="K91" s="424"/>
      <c r="L91" s="424"/>
      <c r="M91" s="424"/>
    </row>
    <row r="92" spans="1:13" x14ac:dyDescent="0.25">
      <c r="A92" s="473"/>
      <c r="B92" s="425"/>
      <c r="C92" s="426"/>
      <c r="D92" s="427"/>
      <c r="E92" s="428"/>
      <c r="F92" s="428"/>
      <c r="G92" s="424"/>
      <c r="H92" s="424"/>
      <c r="I92" s="424"/>
      <c r="J92" s="424"/>
      <c r="K92" s="424"/>
      <c r="L92" s="424"/>
      <c r="M92" s="424"/>
    </row>
    <row r="93" spans="1:13" x14ac:dyDescent="0.25">
      <c r="A93" s="473"/>
      <c r="B93" s="429"/>
      <c r="C93" s="426"/>
      <c r="D93" s="427"/>
      <c r="E93" s="428"/>
      <c r="F93" s="428"/>
      <c r="G93" s="424"/>
      <c r="H93" s="424"/>
      <c r="I93" s="424"/>
      <c r="J93" s="424"/>
      <c r="K93" s="424"/>
      <c r="L93" s="424"/>
      <c r="M93" s="424"/>
    </row>
    <row r="94" spans="1:13" x14ac:dyDescent="0.25">
      <c r="A94" s="474"/>
      <c r="B94" s="475"/>
      <c r="C94" s="671"/>
      <c r="D94" s="3"/>
      <c r="E94" s="431"/>
      <c r="F94" s="431"/>
      <c r="G94" s="424"/>
      <c r="H94" s="424"/>
      <c r="I94" s="424"/>
      <c r="J94" s="424"/>
      <c r="K94" s="424"/>
      <c r="L94" s="424"/>
      <c r="M94" s="467"/>
    </row>
    <row r="95" spans="1:13" ht="15.75" x14ac:dyDescent="0.3">
      <c r="A95" s="474"/>
      <c r="B95" s="475"/>
      <c r="C95" s="469"/>
      <c r="D95" s="470"/>
      <c r="E95" s="471"/>
      <c r="F95" s="471"/>
      <c r="G95" s="424"/>
      <c r="H95" s="424"/>
      <c r="I95" s="424"/>
      <c r="J95" s="424"/>
      <c r="K95" s="424"/>
      <c r="L95" s="424"/>
      <c r="M95" s="424"/>
    </row>
    <row r="96" spans="1:13" x14ac:dyDescent="0.25">
      <c r="A96" s="474"/>
      <c r="B96" s="429"/>
      <c r="C96" s="478"/>
      <c r="D96" s="427"/>
      <c r="E96" s="428"/>
      <c r="F96" s="428"/>
      <c r="G96" s="424"/>
      <c r="H96" s="424"/>
      <c r="I96" s="424"/>
      <c r="J96" s="424"/>
      <c r="K96" s="424"/>
      <c r="L96" s="424"/>
      <c r="M96" s="424"/>
    </row>
    <row r="97" spans="1:13" x14ac:dyDescent="0.25">
      <c r="A97" s="786"/>
      <c r="B97" s="787"/>
      <c r="C97" s="3"/>
      <c r="D97" s="3"/>
      <c r="E97" s="449"/>
      <c r="F97" s="467"/>
      <c r="G97" s="788"/>
      <c r="H97" s="788"/>
      <c r="I97" s="788"/>
      <c r="J97" s="788"/>
      <c r="K97" s="788"/>
      <c r="L97" s="788"/>
      <c r="M97" s="788"/>
    </row>
    <row r="98" spans="1:13" x14ac:dyDescent="0.25">
      <c r="A98" s="786"/>
      <c r="B98" s="789"/>
      <c r="C98" s="430"/>
      <c r="D98" s="427"/>
      <c r="E98" s="450"/>
      <c r="F98" s="483"/>
      <c r="G98" s="783"/>
      <c r="H98" s="783"/>
      <c r="I98" s="783"/>
      <c r="J98" s="783"/>
      <c r="K98" s="783"/>
      <c r="L98" s="783"/>
      <c r="M98" s="424"/>
    </row>
    <row r="99" spans="1:13" x14ac:dyDescent="0.25">
      <c r="A99" s="786"/>
      <c r="B99" s="422"/>
      <c r="C99" s="479"/>
      <c r="D99" s="444"/>
      <c r="E99" s="480"/>
      <c r="F99" s="441"/>
      <c r="G99" s="418"/>
      <c r="H99" s="418"/>
      <c r="I99" s="418"/>
      <c r="J99" s="418"/>
      <c r="K99" s="418"/>
      <c r="L99" s="418"/>
      <c r="M99" s="424"/>
    </row>
    <row r="100" spans="1:13" x14ac:dyDescent="0.25">
      <c r="A100" s="786"/>
      <c r="B100" s="422"/>
      <c r="C100" s="430"/>
      <c r="D100" s="427"/>
      <c r="E100" s="450"/>
      <c r="F100" s="483"/>
      <c r="G100" s="783"/>
      <c r="H100" s="783"/>
      <c r="I100" s="783"/>
      <c r="J100" s="783"/>
      <c r="K100" s="783"/>
      <c r="L100" s="418"/>
      <c r="M100" s="424"/>
    </row>
    <row r="101" spans="1:13" x14ac:dyDescent="0.25">
      <c r="A101" s="786"/>
      <c r="B101" s="422"/>
      <c r="C101" s="528"/>
      <c r="D101" s="427"/>
      <c r="E101" s="450"/>
      <c r="F101" s="483"/>
      <c r="G101" s="783"/>
      <c r="H101" s="783"/>
      <c r="I101" s="783"/>
      <c r="J101" s="783"/>
      <c r="K101" s="783"/>
      <c r="L101" s="418"/>
      <c r="M101" s="424"/>
    </row>
    <row r="102" spans="1:13" x14ac:dyDescent="0.25">
      <c r="A102" s="786"/>
      <c r="B102" s="789"/>
      <c r="C102" s="430"/>
      <c r="D102" s="427"/>
      <c r="E102" s="450"/>
      <c r="F102" s="483"/>
      <c r="G102" s="783"/>
      <c r="H102" s="783"/>
      <c r="I102" s="783"/>
      <c r="J102" s="783"/>
      <c r="K102" s="783"/>
      <c r="L102" s="418"/>
      <c r="M102" s="424"/>
    </row>
    <row r="103" spans="1:13" x14ac:dyDescent="0.25">
      <c r="A103" s="786"/>
      <c r="B103" s="429"/>
      <c r="C103" s="433"/>
      <c r="D103" s="434"/>
      <c r="E103" s="481"/>
      <c r="F103" s="482"/>
      <c r="G103" s="435"/>
      <c r="H103" s="435"/>
      <c r="I103" s="435"/>
      <c r="J103" s="435"/>
      <c r="K103" s="435"/>
      <c r="L103" s="435"/>
      <c r="M103" s="435"/>
    </row>
    <row r="104" spans="1:13" x14ac:dyDescent="0.25">
      <c r="A104" s="786"/>
      <c r="B104" s="787"/>
      <c r="C104" s="430"/>
      <c r="D104" s="427"/>
      <c r="E104" s="450"/>
      <c r="F104" s="483"/>
      <c r="G104" s="783"/>
      <c r="H104" s="783"/>
      <c r="I104" s="783"/>
      <c r="J104" s="783"/>
      <c r="K104" s="783"/>
      <c r="L104" s="783"/>
      <c r="M104" s="783"/>
    </row>
    <row r="105" spans="1:13" ht="15.75" x14ac:dyDescent="0.3">
      <c r="A105" s="790"/>
      <c r="B105" s="448"/>
      <c r="C105" s="449"/>
      <c r="D105" s="449"/>
      <c r="E105" s="450"/>
      <c r="F105" s="451"/>
      <c r="G105" s="783"/>
      <c r="H105" s="783"/>
      <c r="I105" s="783"/>
      <c r="J105" s="783"/>
      <c r="K105" s="783"/>
      <c r="L105" s="783"/>
      <c r="M105" s="783"/>
    </row>
    <row r="106" spans="1:13" ht="15.75" x14ac:dyDescent="0.3">
      <c r="A106" s="790"/>
      <c r="B106" s="452"/>
      <c r="C106" s="453"/>
      <c r="D106" s="450"/>
      <c r="E106" s="450"/>
      <c r="F106" s="450"/>
      <c r="G106" s="783"/>
      <c r="H106" s="783"/>
      <c r="I106" s="783"/>
      <c r="J106" s="783"/>
      <c r="K106" s="783"/>
      <c r="L106" s="783"/>
      <c r="M106" s="424"/>
    </row>
    <row r="107" spans="1:13" ht="15.75" x14ac:dyDescent="0.3">
      <c r="A107" s="790"/>
      <c r="B107" s="452"/>
      <c r="C107" s="453"/>
      <c r="D107" s="450"/>
      <c r="E107" s="450"/>
      <c r="F107" s="450"/>
      <c r="G107" s="783"/>
      <c r="H107" s="783"/>
      <c r="I107" s="783"/>
      <c r="J107" s="783"/>
      <c r="K107" s="783"/>
      <c r="L107" s="783"/>
      <c r="M107" s="424"/>
    </row>
    <row r="108" spans="1:13" ht="15.75" x14ac:dyDescent="0.3">
      <c r="A108" s="790"/>
      <c r="B108" s="422"/>
      <c r="C108" s="454"/>
      <c r="D108" s="450"/>
      <c r="E108" s="455"/>
      <c r="F108" s="455"/>
      <c r="G108" s="783"/>
      <c r="H108" s="418"/>
      <c r="I108" s="783"/>
      <c r="J108" s="783"/>
      <c r="K108" s="783"/>
      <c r="L108" s="783"/>
      <c r="M108" s="424"/>
    </row>
    <row r="109" spans="1:13" ht="15.75" x14ac:dyDescent="0.3">
      <c r="A109" s="790"/>
      <c r="B109" s="429"/>
      <c r="C109" s="456"/>
      <c r="D109" s="457"/>
      <c r="E109" s="457"/>
      <c r="F109" s="483"/>
      <c r="G109" s="424"/>
      <c r="H109" s="418"/>
      <c r="I109" s="418"/>
      <c r="J109" s="418"/>
      <c r="K109" s="418"/>
      <c r="L109" s="418"/>
      <c r="M109" s="418"/>
    </row>
    <row r="110" spans="1:13" ht="15.75" x14ac:dyDescent="0.3">
      <c r="A110" s="790"/>
      <c r="B110" s="429"/>
      <c r="C110" s="456"/>
      <c r="D110" s="457"/>
      <c r="E110" s="457"/>
      <c r="F110" s="483"/>
      <c r="G110" s="424"/>
      <c r="H110" s="418"/>
      <c r="I110" s="418"/>
      <c r="J110" s="418"/>
      <c r="K110" s="418"/>
      <c r="L110" s="418"/>
      <c r="M110" s="418"/>
    </row>
    <row r="111" spans="1:13" ht="15.75" x14ac:dyDescent="0.3">
      <c r="A111" s="790"/>
      <c r="B111" s="422"/>
      <c r="C111" s="453"/>
      <c r="D111" s="450"/>
      <c r="E111" s="450"/>
      <c r="F111" s="450"/>
      <c r="G111" s="783"/>
      <c r="H111" s="783"/>
      <c r="I111" s="783"/>
      <c r="J111" s="783"/>
      <c r="K111" s="783"/>
      <c r="L111" s="783"/>
      <c r="M111" s="435"/>
    </row>
    <row r="112" spans="1:13" x14ac:dyDescent="0.25">
      <c r="A112" s="438"/>
      <c r="B112" s="422"/>
      <c r="C112" s="3"/>
      <c r="D112" s="3"/>
      <c r="E112" s="449"/>
      <c r="F112" s="467"/>
      <c r="G112" s="783"/>
      <c r="H112" s="783"/>
      <c r="I112" s="783"/>
      <c r="J112" s="783"/>
      <c r="K112" s="783"/>
      <c r="L112" s="783"/>
      <c r="M112" s="783"/>
    </row>
    <row r="113" spans="1:13" x14ac:dyDescent="0.25">
      <c r="A113" s="438"/>
      <c r="B113" s="422"/>
      <c r="C113" s="430"/>
      <c r="D113" s="427"/>
      <c r="E113" s="450"/>
      <c r="F113" s="483"/>
      <c r="G113" s="783"/>
      <c r="H113" s="783"/>
      <c r="I113" s="783"/>
      <c r="J113" s="783"/>
      <c r="K113" s="783"/>
      <c r="L113" s="783"/>
      <c r="M113" s="424"/>
    </row>
    <row r="114" spans="1:13" x14ac:dyDescent="0.25">
      <c r="A114" s="438"/>
      <c r="B114" s="422"/>
      <c r="C114" s="479"/>
      <c r="D114" s="444"/>
      <c r="E114" s="480"/>
      <c r="F114" s="441"/>
      <c r="G114" s="418"/>
      <c r="H114" s="418"/>
      <c r="I114" s="418"/>
      <c r="J114" s="418"/>
      <c r="K114" s="418"/>
      <c r="L114" s="418"/>
      <c r="M114" s="424"/>
    </row>
    <row r="115" spans="1:13" x14ac:dyDescent="0.25">
      <c r="A115" s="438"/>
      <c r="B115" s="422"/>
      <c r="C115" s="430"/>
      <c r="D115" s="427"/>
      <c r="E115" s="450"/>
      <c r="F115" s="483"/>
      <c r="G115" s="783"/>
      <c r="H115" s="783"/>
      <c r="I115" s="783"/>
      <c r="J115" s="783"/>
      <c r="K115" s="783"/>
      <c r="L115" s="418"/>
      <c r="M115" s="424"/>
    </row>
    <row r="116" spans="1:13" x14ac:dyDescent="0.25">
      <c r="A116" s="438"/>
      <c r="B116" s="422"/>
      <c r="C116" s="430"/>
      <c r="D116" s="427"/>
      <c r="E116" s="450"/>
      <c r="F116" s="483"/>
      <c r="G116" s="783"/>
      <c r="H116" s="783"/>
      <c r="I116" s="783"/>
      <c r="J116" s="783"/>
      <c r="K116" s="783"/>
      <c r="L116" s="418"/>
      <c r="M116" s="424"/>
    </row>
    <row r="117" spans="1:13" x14ac:dyDescent="0.25">
      <c r="A117" s="438"/>
      <c r="B117" s="422"/>
      <c r="C117" s="430"/>
      <c r="D117" s="427"/>
      <c r="E117" s="450"/>
      <c r="F117" s="483"/>
      <c r="G117" s="783"/>
      <c r="H117" s="783"/>
      <c r="I117" s="783"/>
      <c r="J117" s="783"/>
      <c r="K117" s="783"/>
      <c r="L117" s="418"/>
      <c r="M117" s="424"/>
    </row>
    <row r="118" spans="1:13" x14ac:dyDescent="0.25">
      <c r="A118" s="438"/>
      <c r="B118" s="422"/>
      <c r="C118" s="430"/>
      <c r="D118" s="427"/>
      <c r="E118" s="450"/>
      <c r="F118" s="483"/>
      <c r="G118" s="783"/>
      <c r="H118" s="783"/>
      <c r="I118" s="783"/>
      <c r="J118" s="783"/>
      <c r="K118" s="783"/>
      <c r="L118" s="418"/>
      <c r="M118" s="424"/>
    </row>
    <row r="119" spans="1:13" x14ac:dyDescent="0.25">
      <c r="A119" s="438"/>
      <c r="B119" s="422"/>
      <c r="C119" s="430"/>
      <c r="D119" s="427"/>
      <c r="E119" s="450"/>
      <c r="F119" s="483"/>
      <c r="G119" s="783"/>
      <c r="H119" s="783"/>
      <c r="I119" s="783"/>
      <c r="J119" s="783"/>
      <c r="K119" s="783"/>
      <c r="L119" s="418"/>
      <c r="M119" s="424"/>
    </row>
    <row r="120" spans="1:13" x14ac:dyDescent="0.25">
      <c r="A120" s="438"/>
      <c r="B120" s="422"/>
      <c r="C120" s="430"/>
      <c r="D120" s="427"/>
      <c r="E120" s="791"/>
      <c r="F120" s="483"/>
      <c r="G120" s="783"/>
      <c r="H120" s="783"/>
      <c r="I120" s="783"/>
      <c r="J120" s="783"/>
      <c r="K120" s="783"/>
      <c r="L120" s="418"/>
      <c r="M120" s="424"/>
    </row>
    <row r="121" spans="1:13" x14ac:dyDescent="0.25">
      <c r="A121" s="438"/>
      <c r="B121" s="422"/>
      <c r="C121" s="430"/>
      <c r="D121" s="427"/>
      <c r="E121" s="450"/>
      <c r="F121" s="483"/>
      <c r="G121" s="783"/>
      <c r="H121" s="783"/>
      <c r="I121" s="783"/>
      <c r="J121" s="783"/>
      <c r="K121" s="783"/>
      <c r="L121" s="418"/>
      <c r="M121" s="424"/>
    </row>
    <row r="122" spans="1:13" x14ac:dyDescent="0.25">
      <c r="A122" s="438"/>
      <c r="B122" s="422"/>
      <c r="C122" s="430"/>
      <c r="D122" s="427"/>
      <c r="E122" s="450"/>
      <c r="F122" s="483"/>
      <c r="G122" s="783"/>
      <c r="H122" s="783"/>
      <c r="I122" s="783"/>
      <c r="J122" s="783"/>
      <c r="K122" s="783"/>
      <c r="L122" s="418"/>
      <c r="M122" s="424"/>
    </row>
    <row r="123" spans="1:13" x14ac:dyDescent="0.25">
      <c r="A123" s="476"/>
      <c r="B123" s="452"/>
      <c r="C123" s="671"/>
      <c r="D123" s="3"/>
      <c r="E123" s="436"/>
      <c r="F123" s="436"/>
      <c r="G123" s="788"/>
      <c r="H123" s="788"/>
      <c r="I123" s="788"/>
      <c r="J123" s="788"/>
      <c r="K123" s="788"/>
      <c r="L123" s="788"/>
      <c r="M123" s="788"/>
    </row>
    <row r="124" spans="1:13" x14ac:dyDescent="0.25">
      <c r="A124" s="476"/>
      <c r="B124" s="437"/>
      <c r="C124" s="438"/>
      <c r="D124" s="439"/>
      <c r="E124" s="440"/>
      <c r="F124" s="441"/>
      <c r="G124" s="783"/>
      <c r="H124" s="783"/>
      <c r="I124" s="783"/>
      <c r="J124" s="783"/>
      <c r="K124" s="783"/>
      <c r="L124" s="783"/>
      <c r="M124" s="424"/>
    </row>
    <row r="125" spans="1:13" x14ac:dyDescent="0.25">
      <c r="A125" s="476"/>
      <c r="B125" s="422"/>
      <c r="C125" s="430"/>
      <c r="D125" s="427"/>
      <c r="E125" s="441"/>
      <c r="F125" s="441"/>
      <c r="G125" s="783"/>
      <c r="H125" s="783"/>
      <c r="I125" s="783"/>
      <c r="J125" s="783"/>
      <c r="K125" s="783"/>
      <c r="L125" s="783"/>
      <c r="M125" s="424"/>
    </row>
    <row r="126" spans="1:13" x14ac:dyDescent="0.25">
      <c r="A126" s="476"/>
      <c r="B126" s="437"/>
      <c r="C126" s="430"/>
      <c r="D126" s="439"/>
      <c r="E126" s="441"/>
      <c r="F126" s="441"/>
      <c r="G126" s="783"/>
      <c r="H126" s="783"/>
      <c r="I126" s="783"/>
      <c r="J126" s="783"/>
      <c r="K126" s="783"/>
      <c r="L126" s="783"/>
      <c r="M126" s="424"/>
    </row>
    <row r="127" spans="1:13" x14ac:dyDescent="0.25">
      <c r="A127" s="476"/>
      <c r="B127" s="429"/>
      <c r="C127" s="438"/>
      <c r="D127" s="427"/>
      <c r="E127" s="442"/>
      <c r="F127" s="441"/>
      <c r="G127" s="783"/>
      <c r="H127" s="418"/>
      <c r="I127" s="783"/>
      <c r="J127" s="783"/>
      <c r="K127" s="783"/>
      <c r="L127" s="783"/>
      <c r="M127" s="424"/>
    </row>
    <row r="128" spans="1:13" x14ac:dyDescent="0.25">
      <c r="A128" s="476"/>
      <c r="B128" s="437"/>
      <c r="C128" s="438"/>
      <c r="D128" s="427"/>
      <c r="E128" s="443"/>
      <c r="F128" s="444"/>
      <c r="G128" s="783"/>
      <c r="H128" s="418"/>
      <c r="I128" s="783"/>
      <c r="J128" s="783"/>
      <c r="K128" s="783"/>
      <c r="L128" s="783"/>
      <c r="M128" s="424"/>
    </row>
    <row r="129" spans="1:13" x14ac:dyDescent="0.25">
      <c r="A129" s="476"/>
      <c r="B129" s="437"/>
      <c r="C129" s="438"/>
      <c r="D129" s="427"/>
      <c r="E129" s="443"/>
      <c r="F129" s="441"/>
      <c r="G129" s="783"/>
      <c r="H129" s="418"/>
      <c r="I129" s="783"/>
      <c r="J129" s="783"/>
      <c r="K129" s="783"/>
      <c r="L129" s="783"/>
      <c r="M129" s="424"/>
    </row>
    <row r="130" spans="1:13" x14ac:dyDescent="0.25">
      <c r="A130" s="476"/>
      <c r="B130" s="429"/>
      <c r="C130" s="438"/>
      <c r="D130" s="427"/>
      <c r="E130" s="445"/>
      <c r="F130" s="441"/>
      <c r="G130" s="783"/>
      <c r="H130" s="418"/>
      <c r="I130" s="783"/>
      <c r="J130" s="783"/>
      <c r="K130" s="783"/>
      <c r="L130" s="783"/>
      <c r="M130" s="424"/>
    </row>
    <row r="131" spans="1:13" x14ac:dyDescent="0.25">
      <c r="A131" s="476"/>
      <c r="B131" s="437"/>
      <c r="C131" s="426"/>
      <c r="D131" s="446"/>
      <c r="E131" s="440"/>
      <c r="F131" s="441"/>
      <c r="G131" s="783"/>
      <c r="H131" s="418"/>
      <c r="I131" s="783"/>
      <c r="J131" s="783"/>
      <c r="K131" s="783"/>
      <c r="L131" s="783"/>
      <c r="M131" s="424"/>
    </row>
    <row r="132" spans="1:13" x14ac:dyDescent="0.25">
      <c r="A132" s="476"/>
      <c r="B132" s="447"/>
      <c r="C132" s="426"/>
      <c r="D132" s="446"/>
      <c r="E132" s="445"/>
      <c r="F132" s="441"/>
      <c r="G132" s="783"/>
      <c r="H132" s="418"/>
      <c r="I132" s="783"/>
      <c r="J132" s="783"/>
      <c r="K132" s="783"/>
      <c r="L132" s="783"/>
      <c r="M132" s="424"/>
    </row>
    <row r="133" spans="1:13" x14ac:dyDescent="0.25">
      <c r="A133" s="462"/>
      <c r="B133" s="429"/>
      <c r="C133" s="46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</row>
    <row r="134" spans="1:13" x14ac:dyDescent="0.25">
      <c r="A134" s="462"/>
      <c r="B134" s="429"/>
      <c r="C134" s="459"/>
      <c r="D134" s="416"/>
      <c r="E134" s="417"/>
      <c r="F134" s="417"/>
      <c r="G134" s="170"/>
      <c r="H134" s="418"/>
      <c r="I134" s="418"/>
      <c r="J134" s="418"/>
      <c r="K134" s="418"/>
      <c r="L134" s="418"/>
      <c r="M134" s="418"/>
    </row>
    <row r="135" spans="1:13" x14ac:dyDescent="0.25">
      <c r="A135" s="462"/>
      <c r="B135" s="429"/>
      <c r="C135" s="459"/>
      <c r="D135" s="416"/>
      <c r="E135" s="417"/>
      <c r="F135" s="417"/>
      <c r="G135" s="418"/>
      <c r="H135" s="418"/>
      <c r="I135" s="418"/>
      <c r="J135" s="418"/>
      <c r="K135" s="418"/>
      <c r="L135" s="418"/>
      <c r="M135" s="418"/>
    </row>
    <row r="136" spans="1:13" x14ac:dyDescent="0.25">
      <c r="A136" s="462"/>
      <c r="B136" s="429"/>
      <c r="C136" s="461"/>
      <c r="D136" s="416"/>
      <c r="E136" s="417"/>
      <c r="F136" s="417"/>
      <c r="G136" s="418"/>
      <c r="H136" s="418"/>
      <c r="I136" s="418"/>
      <c r="J136" s="418"/>
      <c r="K136" s="418"/>
      <c r="L136" s="418"/>
      <c r="M136" s="418"/>
    </row>
    <row r="137" spans="1:13" x14ac:dyDescent="0.25">
      <c r="A137" s="462"/>
      <c r="B137" s="463"/>
      <c r="C137" s="459"/>
      <c r="D137" s="416"/>
      <c r="E137" s="417"/>
      <c r="F137" s="417"/>
      <c r="G137" s="170"/>
      <c r="H137" s="418"/>
      <c r="I137" s="418"/>
      <c r="J137" s="418"/>
      <c r="K137" s="418"/>
      <c r="L137" s="418"/>
      <c r="M137" s="418"/>
    </row>
    <row r="138" spans="1:13" x14ac:dyDescent="0.25">
      <c r="A138" s="462"/>
      <c r="B138" s="463"/>
      <c r="C138" s="459"/>
      <c r="D138" s="416"/>
      <c r="E138" s="417"/>
      <c r="F138" s="417"/>
      <c r="G138" s="418"/>
      <c r="H138" s="418"/>
      <c r="I138" s="418"/>
      <c r="J138" s="418"/>
      <c r="K138" s="418"/>
      <c r="L138" s="418"/>
      <c r="M138" s="418"/>
    </row>
    <row r="139" spans="1:13" x14ac:dyDescent="0.25">
      <c r="A139" s="792"/>
      <c r="B139" s="448"/>
      <c r="C139" s="449"/>
      <c r="D139" s="449"/>
      <c r="E139" s="450"/>
      <c r="F139" s="451"/>
      <c r="G139" s="783"/>
      <c r="H139" s="783"/>
      <c r="I139" s="783"/>
      <c r="J139" s="783"/>
      <c r="K139" s="783"/>
      <c r="L139" s="783"/>
      <c r="M139" s="783"/>
    </row>
    <row r="140" spans="1:13" x14ac:dyDescent="0.25">
      <c r="A140" s="792"/>
      <c r="B140" s="437"/>
      <c r="C140" s="453"/>
      <c r="D140" s="450"/>
      <c r="E140" s="450"/>
      <c r="F140" s="483"/>
      <c r="G140" s="783"/>
      <c r="H140" s="783"/>
      <c r="I140" s="418"/>
      <c r="J140" s="418"/>
      <c r="K140" s="783"/>
      <c r="L140" s="783"/>
      <c r="M140" s="418"/>
    </row>
    <row r="141" spans="1:13" x14ac:dyDescent="0.25">
      <c r="A141" s="792"/>
      <c r="B141" s="437"/>
      <c r="C141" s="454"/>
      <c r="D141" s="450"/>
      <c r="E141" s="450"/>
      <c r="F141" s="483"/>
      <c r="G141" s="783"/>
      <c r="H141" s="783"/>
      <c r="I141" s="783"/>
      <c r="J141" s="783"/>
      <c r="K141" s="783"/>
      <c r="L141" s="783"/>
      <c r="M141" s="418"/>
    </row>
    <row r="142" spans="1:13" x14ac:dyDescent="0.25">
      <c r="A142" s="792"/>
      <c r="B142" s="422"/>
      <c r="C142" s="453"/>
      <c r="D142" s="450"/>
      <c r="E142" s="450"/>
      <c r="F142" s="483"/>
      <c r="G142" s="783"/>
      <c r="H142" s="783"/>
      <c r="I142" s="783"/>
      <c r="J142" s="783"/>
      <c r="K142" s="783"/>
      <c r="L142" s="783"/>
      <c r="M142" s="418"/>
    </row>
    <row r="143" spans="1:13" ht="15.75" x14ac:dyDescent="0.3">
      <c r="A143" s="792"/>
      <c r="B143" s="793"/>
      <c r="C143" s="794"/>
      <c r="D143" s="439"/>
      <c r="E143" s="440"/>
      <c r="F143" s="441"/>
      <c r="G143" s="783"/>
      <c r="H143" s="783"/>
      <c r="I143" s="783"/>
      <c r="J143" s="783"/>
      <c r="K143" s="783"/>
      <c r="L143" s="783"/>
      <c r="M143" s="418"/>
    </row>
    <row r="144" spans="1:13" x14ac:dyDescent="0.25">
      <c r="A144" s="792"/>
      <c r="B144" s="484"/>
      <c r="C144" s="449"/>
      <c r="D144" s="449"/>
      <c r="E144" s="450"/>
      <c r="F144" s="451"/>
      <c r="G144" s="783"/>
      <c r="H144" s="783"/>
      <c r="I144" s="783"/>
      <c r="J144" s="783"/>
      <c r="K144" s="783"/>
      <c r="L144" s="783"/>
      <c r="M144" s="783"/>
    </row>
    <row r="145" spans="1:13" x14ac:dyDescent="0.25">
      <c r="A145" s="792"/>
      <c r="B145" s="485"/>
      <c r="C145" s="453"/>
      <c r="D145" s="450"/>
      <c r="E145" s="450"/>
      <c r="F145" s="483"/>
      <c r="G145" s="783"/>
      <c r="H145" s="783"/>
      <c r="I145" s="418"/>
      <c r="J145" s="418"/>
      <c r="K145" s="783"/>
      <c r="L145" s="783"/>
      <c r="M145" s="418"/>
    </row>
    <row r="146" spans="1:13" x14ac:dyDescent="0.25">
      <c r="A146" s="792"/>
      <c r="B146" s="485"/>
      <c r="C146" s="453"/>
      <c r="D146" s="450"/>
      <c r="E146" s="450"/>
      <c r="F146" s="483"/>
      <c r="G146" s="783"/>
      <c r="H146" s="783"/>
      <c r="I146" s="783"/>
      <c r="J146" s="783"/>
      <c r="K146" s="783"/>
      <c r="L146" s="783"/>
      <c r="M146" s="418"/>
    </row>
    <row r="147" spans="1:13" x14ac:dyDescent="0.25">
      <c r="A147" s="792"/>
      <c r="B147" s="485"/>
      <c r="C147" s="453"/>
      <c r="D147" s="450"/>
      <c r="E147" s="483"/>
      <c r="F147" s="483"/>
      <c r="G147" s="783"/>
      <c r="H147" s="783"/>
      <c r="I147" s="783"/>
      <c r="J147" s="783"/>
      <c r="K147" s="783"/>
      <c r="L147" s="783"/>
      <c r="M147" s="418"/>
    </row>
    <row r="148" spans="1:13" x14ac:dyDescent="0.25">
      <c r="A148" s="792"/>
      <c r="B148" s="450"/>
      <c r="C148" s="453"/>
      <c r="D148" s="450"/>
      <c r="E148" s="450"/>
      <c r="F148" s="483"/>
      <c r="G148" s="783"/>
      <c r="H148" s="783"/>
      <c r="I148" s="783"/>
      <c r="J148" s="783"/>
      <c r="K148" s="783"/>
      <c r="L148" s="783"/>
      <c r="M148" s="418"/>
    </row>
    <row r="149" spans="1:13" x14ac:dyDescent="0.25">
      <c r="A149" s="438"/>
      <c r="B149" s="422"/>
      <c r="C149" s="3"/>
      <c r="D149" s="3"/>
      <c r="E149" s="3"/>
      <c r="F149" s="795"/>
      <c r="G149" s="796"/>
      <c r="H149" s="796"/>
      <c r="I149" s="796"/>
      <c r="J149" s="796"/>
      <c r="K149" s="796"/>
      <c r="L149" s="796"/>
      <c r="M149" s="796"/>
    </row>
    <row r="150" spans="1:13" x14ac:dyDescent="0.25">
      <c r="A150" s="438"/>
      <c r="B150" s="422"/>
      <c r="C150" s="430"/>
      <c r="D150" s="430"/>
      <c r="E150" s="427"/>
      <c r="F150" s="483"/>
      <c r="G150" s="797"/>
      <c r="H150" s="797"/>
      <c r="I150" s="797"/>
      <c r="J150" s="797"/>
      <c r="K150" s="797"/>
      <c r="L150" s="797"/>
      <c r="M150" s="418"/>
    </row>
    <row r="151" spans="1:13" x14ac:dyDescent="0.25">
      <c r="A151" s="438"/>
      <c r="B151" s="422"/>
      <c r="C151" s="430"/>
      <c r="D151" s="427"/>
      <c r="E151" s="427"/>
      <c r="F151" s="483"/>
      <c r="G151" s="797"/>
      <c r="H151" s="797"/>
      <c r="I151" s="797"/>
      <c r="J151" s="797"/>
      <c r="K151" s="797"/>
      <c r="L151" s="797"/>
      <c r="M151" s="418"/>
    </row>
    <row r="152" spans="1:13" x14ac:dyDescent="0.25">
      <c r="A152" s="438"/>
      <c r="B152" s="437"/>
      <c r="C152" s="3"/>
      <c r="D152" s="3"/>
      <c r="E152" s="3"/>
      <c r="F152" s="451"/>
      <c r="G152" s="796"/>
      <c r="H152" s="796"/>
      <c r="I152" s="796"/>
      <c r="J152" s="796"/>
      <c r="K152" s="796"/>
      <c r="L152" s="796"/>
      <c r="M152" s="796"/>
    </row>
    <row r="153" spans="1:13" x14ac:dyDescent="0.25">
      <c r="A153" s="438"/>
      <c r="B153" s="782"/>
      <c r="C153" s="528"/>
      <c r="D153" s="427"/>
      <c r="E153" s="798"/>
      <c r="F153" s="483"/>
      <c r="G153" s="797"/>
      <c r="H153" s="797"/>
      <c r="I153" s="418"/>
      <c r="J153" s="418"/>
      <c r="K153" s="783"/>
      <c r="L153" s="783"/>
      <c r="M153" s="418"/>
    </row>
    <row r="154" spans="1:13" x14ac:dyDescent="0.25">
      <c r="A154" s="438"/>
      <c r="B154" s="782"/>
      <c r="C154" s="528"/>
      <c r="D154" s="427"/>
      <c r="E154" s="427"/>
      <c r="F154" s="483"/>
      <c r="G154" s="783"/>
      <c r="H154" s="783"/>
      <c r="I154" s="783"/>
      <c r="J154" s="783"/>
      <c r="K154" s="783"/>
      <c r="L154" s="783"/>
      <c r="M154" s="418"/>
    </row>
    <row r="155" spans="1:13" x14ac:dyDescent="0.25">
      <c r="A155" s="438"/>
      <c r="B155" s="422"/>
      <c r="C155" s="528"/>
      <c r="D155" s="427"/>
      <c r="E155" s="427"/>
      <c r="F155" s="483"/>
      <c r="G155" s="783"/>
      <c r="H155" s="783"/>
      <c r="I155" s="783"/>
      <c r="J155" s="783"/>
      <c r="K155" s="783"/>
      <c r="L155" s="783"/>
      <c r="M155" s="418"/>
    </row>
    <row r="156" spans="1:13" x14ac:dyDescent="0.25">
      <c r="A156" s="782"/>
      <c r="B156" s="437"/>
      <c r="C156" s="465"/>
      <c r="D156" s="3"/>
      <c r="E156" s="467"/>
      <c r="F156" s="467"/>
      <c r="G156" s="467"/>
      <c r="H156" s="467"/>
      <c r="I156" s="467"/>
      <c r="J156" s="467"/>
      <c r="K156" s="467"/>
      <c r="L156" s="467"/>
      <c r="M156" s="467"/>
    </row>
    <row r="157" spans="1:13" x14ac:dyDescent="0.25">
      <c r="A157" s="782"/>
      <c r="B157" s="437"/>
      <c r="C157" s="430"/>
      <c r="D157" s="526"/>
      <c r="E157" s="445"/>
      <c r="F157" s="445"/>
      <c r="G157" s="424"/>
      <c r="H157" s="424"/>
      <c r="I157" s="424"/>
      <c r="J157" s="424"/>
      <c r="K157" s="424"/>
      <c r="L157" s="424"/>
      <c r="M157" s="418"/>
    </row>
    <row r="158" spans="1:13" x14ac:dyDescent="0.25">
      <c r="A158" s="782"/>
      <c r="B158" s="437"/>
      <c r="C158" s="527"/>
      <c r="D158" s="427"/>
      <c r="E158" s="784"/>
      <c r="F158" s="424"/>
      <c r="G158" s="424"/>
      <c r="H158" s="424"/>
      <c r="I158" s="424"/>
      <c r="J158" s="424"/>
      <c r="K158" s="424"/>
      <c r="L158" s="424"/>
      <c r="M158" s="418"/>
    </row>
    <row r="159" spans="1:13" x14ac:dyDescent="0.25">
      <c r="A159" s="782"/>
      <c r="B159" s="437"/>
      <c r="C159" s="527"/>
      <c r="D159" s="427"/>
      <c r="E159" s="784"/>
      <c r="F159" s="424"/>
      <c r="G159" s="424"/>
      <c r="H159" s="424"/>
      <c r="I159" s="424"/>
      <c r="J159" s="424"/>
      <c r="K159" s="424"/>
      <c r="L159" s="424"/>
      <c r="M159" s="418"/>
    </row>
    <row r="160" spans="1:13" x14ac:dyDescent="0.25">
      <c r="A160" s="782"/>
      <c r="B160" s="437"/>
      <c r="C160" s="527"/>
      <c r="D160" s="427"/>
      <c r="E160" s="424"/>
      <c r="F160" s="424"/>
      <c r="G160" s="424"/>
      <c r="H160" s="424"/>
      <c r="I160" s="424"/>
      <c r="J160" s="424"/>
      <c r="K160" s="424"/>
      <c r="L160" s="424"/>
      <c r="M160" s="418"/>
    </row>
    <row r="161" spans="1:13" x14ac:dyDescent="0.25">
      <c r="A161" s="782"/>
      <c r="B161" s="437"/>
      <c r="C161" s="3"/>
      <c r="D161" s="3"/>
      <c r="E161" s="467"/>
      <c r="F161" s="467"/>
      <c r="G161" s="467"/>
      <c r="H161" s="467"/>
      <c r="I161" s="467"/>
      <c r="J161" s="467"/>
      <c r="K161" s="467"/>
      <c r="L161" s="467"/>
      <c r="M161" s="467"/>
    </row>
    <row r="162" spans="1:13" x14ac:dyDescent="0.25">
      <c r="A162" s="782"/>
      <c r="B162" s="437"/>
      <c r="C162" s="430"/>
      <c r="D162" s="526"/>
      <c r="E162" s="445"/>
      <c r="F162" s="441"/>
      <c r="G162" s="424"/>
      <c r="H162" s="424"/>
      <c r="I162" s="424"/>
      <c r="J162" s="424"/>
      <c r="K162" s="424"/>
      <c r="L162" s="424"/>
      <c r="M162" s="418"/>
    </row>
    <row r="163" spans="1:13" x14ac:dyDescent="0.25">
      <c r="A163" s="782"/>
      <c r="B163" s="437"/>
      <c r="C163" s="527"/>
      <c r="D163" s="427"/>
      <c r="E163" s="784"/>
      <c r="F163" s="483"/>
      <c r="G163" s="424"/>
      <c r="H163" s="424"/>
      <c r="I163" s="424"/>
      <c r="J163" s="424"/>
      <c r="K163" s="424"/>
      <c r="L163" s="424"/>
      <c r="M163" s="418"/>
    </row>
    <row r="164" spans="1:13" x14ac:dyDescent="0.25">
      <c r="A164" s="782"/>
      <c r="B164" s="437"/>
      <c r="C164" s="527"/>
      <c r="D164" s="427"/>
      <c r="E164" s="784"/>
      <c r="F164" s="483"/>
      <c r="G164" s="424"/>
      <c r="H164" s="424"/>
      <c r="I164" s="424"/>
      <c r="J164" s="424"/>
      <c r="K164" s="424"/>
      <c r="L164" s="424"/>
      <c r="M164" s="418"/>
    </row>
    <row r="165" spans="1:13" x14ac:dyDescent="0.25">
      <c r="A165" s="782"/>
      <c r="B165" s="437"/>
      <c r="C165" s="527"/>
      <c r="D165" s="427"/>
      <c r="E165" s="424"/>
      <c r="F165" s="424"/>
      <c r="G165" s="424"/>
      <c r="H165" s="424"/>
      <c r="I165" s="424"/>
      <c r="J165" s="424"/>
      <c r="K165" s="424"/>
      <c r="L165" s="424"/>
      <c r="M165" s="418"/>
    </row>
    <row r="166" spans="1:13" x14ac:dyDescent="0.25">
      <c r="A166" s="427"/>
      <c r="B166" s="429"/>
      <c r="C166" s="459"/>
      <c r="D166" s="416"/>
      <c r="E166" s="417"/>
      <c r="F166" s="417"/>
      <c r="G166" s="418"/>
      <c r="H166" s="418"/>
      <c r="I166" s="418"/>
      <c r="J166" s="418"/>
      <c r="K166" s="418"/>
      <c r="L166" s="418"/>
      <c r="M166" s="418"/>
    </row>
    <row r="167" spans="1:13" x14ac:dyDescent="0.25">
      <c r="A167" s="462"/>
      <c r="B167" s="463"/>
      <c r="C167" s="430"/>
      <c r="D167" s="464"/>
      <c r="E167" s="417"/>
      <c r="F167" s="417"/>
      <c r="G167" s="418"/>
      <c r="H167" s="418"/>
      <c r="I167" s="170"/>
      <c r="J167" s="170"/>
      <c r="K167" s="170"/>
      <c r="L167" s="170"/>
      <c r="M167" s="418"/>
    </row>
    <row r="168" spans="1:13" x14ac:dyDescent="0.25">
      <c r="A168" s="462"/>
      <c r="B168" s="463"/>
      <c r="C168" s="461"/>
      <c r="D168" s="464"/>
      <c r="E168" s="417"/>
      <c r="F168" s="417"/>
      <c r="G168" s="418"/>
      <c r="H168" s="170"/>
      <c r="I168" s="170"/>
      <c r="J168" s="170"/>
      <c r="K168" s="170"/>
      <c r="L168" s="170"/>
      <c r="M168" s="418"/>
    </row>
    <row r="169" spans="1:13" x14ac:dyDescent="0.25">
      <c r="A169" s="462"/>
      <c r="B169" s="437"/>
      <c r="C169" s="438"/>
      <c r="D169" s="464"/>
      <c r="E169" s="428"/>
      <c r="F169" s="458"/>
      <c r="G169" s="170"/>
      <c r="H169" s="170"/>
      <c r="I169" s="418"/>
      <c r="J169" s="418"/>
      <c r="K169" s="418"/>
      <c r="L169" s="424"/>
      <c r="M169" s="424"/>
    </row>
    <row r="170" spans="1:13" x14ac:dyDescent="0.25">
      <c r="A170" s="462"/>
      <c r="B170" s="437"/>
      <c r="C170" s="438"/>
      <c r="D170" s="464"/>
      <c r="E170" s="428"/>
      <c r="F170" s="458"/>
      <c r="G170" s="170"/>
      <c r="H170" s="170"/>
      <c r="I170" s="418"/>
      <c r="J170" s="418"/>
      <c r="K170" s="418"/>
      <c r="L170" s="418"/>
      <c r="M170" s="424"/>
    </row>
    <row r="171" spans="1:13" x14ac:dyDescent="0.25">
      <c r="A171" s="462"/>
      <c r="B171" s="437"/>
      <c r="C171" s="438"/>
      <c r="D171" s="464"/>
      <c r="E171" s="428"/>
      <c r="F171" s="458"/>
      <c r="G171" s="170"/>
      <c r="H171" s="170"/>
      <c r="I171" s="418"/>
      <c r="J171" s="418"/>
      <c r="K171" s="418"/>
      <c r="L171" s="424"/>
      <c r="M171" s="424"/>
    </row>
    <row r="172" spans="1:13" x14ac:dyDescent="0.25">
      <c r="A172" s="462"/>
      <c r="B172" s="437"/>
      <c r="C172" s="438"/>
      <c r="D172" s="464"/>
      <c r="E172" s="428"/>
      <c r="F172" s="417"/>
      <c r="G172" s="418"/>
      <c r="H172" s="418"/>
      <c r="I172" s="418"/>
      <c r="J172" s="418"/>
      <c r="K172" s="418"/>
      <c r="L172" s="424"/>
      <c r="M172" s="424"/>
    </row>
    <row r="173" spans="1:13" x14ac:dyDescent="0.25">
      <c r="A173" s="462"/>
      <c r="B173" s="437"/>
      <c r="C173" s="528"/>
      <c r="D173" s="529"/>
      <c r="E173" s="530"/>
      <c r="F173" s="428"/>
      <c r="G173" s="424"/>
      <c r="H173" s="424"/>
      <c r="I173" s="424"/>
      <c r="J173" s="424"/>
      <c r="K173" s="424"/>
      <c r="L173" s="424"/>
      <c r="M173" s="424"/>
    </row>
    <row r="174" spans="1:13" x14ac:dyDescent="0.25">
      <c r="A174" s="462"/>
      <c r="B174" s="465"/>
      <c r="C174" s="432"/>
      <c r="D174" s="531"/>
      <c r="E174" s="532"/>
      <c r="F174" s="423"/>
      <c r="G174" s="467"/>
      <c r="H174" s="467"/>
      <c r="I174" s="467"/>
      <c r="J174" s="467"/>
      <c r="K174" s="467"/>
      <c r="L174" s="467"/>
      <c r="M174" s="467"/>
    </row>
    <row r="175" spans="1:13" x14ac:dyDescent="0.25">
      <c r="A175" s="799"/>
      <c r="B175" s="800"/>
      <c r="C175" s="799"/>
      <c r="D175" s="799"/>
      <c r="E175" s="799"/>
      <c r="F175" s="799"/>
      <c r="G175" s="801"/>
      <c r="H175" s="801"/>
      <c r="I175" s="801"/>
      <c r="J175" s="801"/>
      <c r="K175" s="801"/>
      <c r="L175" s="801"/>
      <c r="M175" s="801"/>
    </row>
    <row r="176" spans="1:13" x14ac:dyDescent="0.25">
      <c r="A176" s="419"/>
      <c r="B176" s="420"/>
      <c r="C176" s="468"/>
      <c r="D176" s="421"/>
      <c r="E176" s="421"/>
      <c r="F176" s="421"/>
      <c r="G176" s="421"/>
      <c r="H176" s="421"/>
      <c r="I176" s="421"/>
      <c r="J176" s="421"/>
      <c r="K176" s="421"/>
      <c r="L176" s="421"/>
      <c r="M176" s="421"/>
    </row>
    <row r="177" spans="1:13" x14ac:dyDescent="0.25">
      <c r="A177" s="462"/>
      <c r="B177" s="422"/>
      <c r="C177" s="533"/>
      <c r="D177" s="436"/>
      <c r="E177" s="534"/>
      <c r="F177" s="535"/>
      <c r="G177" s="418"/>
      <c r="H177" s="418"/>
      <c r="I177" s="418"/>
      <c r="J177" s="418"/>
      <c r="K177" s="418"/>
      <c r="L177" s="418"/>
      <c r="M177" s="418"/>
    </row>
    <row r="178" spans="1:13" x14ac:dyDescent="0.25">
      <c r="A178" s="462"/>
      <c r="B178" s="422"/>
      <c r="C178" s="479"/>
      <c r="D178" s="444"/>
      <c r="E178" s="480"/>
      <c r="F178" s="441"/>
      <c r="G178" s="418"/>
      <c r="H178" s="418"/>
      <c r="I178" s="418"/>
      <c r="J178" s="418"/>
      <c r="K178" s="418"/>
      <c r="L178" s="418"/>
      <c r="M178" s="424"/>
    </row>
    <row r="179" spans="1:13" x14ac:dyDescent="0.25">
      <c r="A179" s="462"/>
      <c r="B179" s="422"/>
      <c r="C179" s="479"/>
      <c r="D179" s="444"/>
      <c r="E179" s="480"/>
      <c r="F179" s="441"/>
      <c r="G179" s="418"/>
      <c r="H179" s="418"/>
      <c r="I179" s="418"/>
      <c r="J179" s="418"/>
      <c r="K179" s="418"/>
      <c r="L179" s="418"/>
      <c r="M179" s="424"/>
    </row>
    <row r="180" spans="1:13" x14ac:dyDescent="0.25">
      <c r="A180" s="462"/>
      <c r="B180" s="422"/>
      <c r="C180" s="479"/>
      <c r="D180" s="444"/>
      <c r="E180" s="480"/>
      <c r="F180" s="441"/>
      <c r="G180" s="418"/>
      <c r="H180" s="418"/>
      <c r="I180" s="418"/>
      <c r="J180" s="418"/>
      <c r="K180" s="418"/>
      <c r="L180" s="418"/>
      <c r="M180" s="424"/>
    </row>
    <row r="181" spans="1:13" x14ac:dyDescent="0.25">
      <c r="A181" s="462"/>
      <c r="B181" s="422"/>
      <c r="C181" s="533"/>
      <c r="D181" s="436"/>
      <c r="E181" s="534"/>
      <c r="F181" s="536"/>
      <c r="G181" s="418"/>
      <c r="H181" s="418"/>
      <c r="I181" s="418"/>
      <c r="J181" s="418"/>
      <c r="K181" s="418"/>
      <c r="L181" s="418"/>
      <c r="M181" s="418"/>
    </row>
    <row r="182" spans="1:13" x14ac:dyDescent="0.25">
      <c r="A182" s="462"/>
      <c r="B182" s="422"/>
      <c r="C182" s="479"/>
      <c r="D182" s="444"/>
      <c r="E182" s="480"/>
      <c r="F182" s="441"/>
      <c r="G182" s="418"/>
      <c r="H182" s="418"/>
      <c r="I182" s="418"/>
      <c r="J182" s="418"/>
      <c r="K182" s="418"/>
      <c r="L182" s="418"/>
      <c r="M182" s="424"/>
    </row>
    <row r="183" spans="1:13" x14ac:dyDescent="0.25">
      <c r="A183" s="785"/>
      <c r="B183" s="472"/>
      <c r="C183" s="170"/>
      <c r="D183" s="537"/>
      <c r="E183" s="443"/>
      <c r="F183" s="537"/>
      <c r="G183" s="537"/>
      <c r="H183" s="538"/>
      <c r="I183" s="538"/>
      <c r="J183" s="538"/>
      <c r="K183" s="538"/>
      <c r="L183" s="538"/>
      <c r="M183" s="538"/>
    </row>
    <row r="184" spans="1:13" x14ac:dyDescent="0.25">
      <c r="A184" s="785"/>
      <c r="B184" s="472"/>
      <c r="C184" s="461"/>
      <c r="D184" s="539"/>
      <c r="E184" s="540"/>
      <c r="F184" s="540"/>
      <c r="G184" s="538"/>
      <c r="H184" s="538"/>
      <c r="I184" s="538"/>
      <c r="J184" s="538"/>
      <c r="K184" s="538"/>
      <c r="L184" s="538"/>
      <c r="M184" s="538"/>
    </row>
    <row r="185" spans="1:13" x14ac:dyDescent="0.25">
      <c r="A185" s="785"/>
      <c r="B185" s="429"/>
      <c r="C185" s="170"/>
      <c r="D185" s="537"/>
      <c r="E185" s="538"/>
      <c r="F185" s="537"/>
      <c r="G185" s="537"/>
      <c r="H185" s="538"/>
      <c r="I185" s="538"/>
      <c r="J185" s="538"/>
      <c r="K185" s="538"/>
      <c r="L185" s="538"/>
      <c r="M185" s="538"/>
    </row>
    <row r="186" spans="1:13" x14ac:dyDescent="0.25">
      <c r="A186" s="473"/>
      <c r="B186" s="422"/>
      <c r="C186" s="671"/>
      <c r="D186" s="3"/>
      <c r="E186" s="423"/>
      <c r="F186" s="423"/>
      <c r="G186" s="424"/>
      <c r="H186" s="424"/>
      <c r="I186" s="424"/>
      <c r="J186" s="424"/>
      <c r="K186" s="424"/>
      <c r="L186" s="424"/>
      <c r="M186" s="467"/>
    </row>
    <row r="187" spans="1:13" x14ac:dyDescent="0.25">
      <c r="A187" s="473"/>
      <c r="B187" s="425"/>
      <c r="C187" s="426"/>
      <c r="D187" s="427"/>
      <c r="E187" s="428"/>
      <c r="F187" s="428"/>
      <c r="G187" s="424"/>
      <c r="H187" s="424"/>
      <c r="I187" s="424"/>
      <c r="J187" s="424"/>
      <c r="K187" s="424"/>
      <c r="L187" s="424"/>
      <c r="M187" s="424"/>
    </row>
    <row r="188" spans="1:13" x14ac:dyDescent="0.25">
      <c r="A188" s="473"/>
      <c r="B188" s="425"/>
      <c r="C188" s="426"/>
      <c r="D188" s="427"/>
      <c r="E188" s="428"/>
      <c r="F188" s="428"/>
      <c r="G188" s="424"/>
      <c r="H188" s="424"/>
      <c r="I188" s="424"/>
      <c r="J188" s="424"/>
      <c r="K188" s="424"/>
      <c r="L188" s="424"/>
      <c r="M188" s="424"/>
    </row>
    <row r="189" spans="1:13" x14ac:dyDescent="0.25">
      <c r="A189" s="473"/>
      <c r="B189" s="429"/>
      <c r="C189" s="426"/>
      <c r="D189" s="427"/>
      <c r="E189" s="428"/>
      <c r="F189" s="428"/>
      <c r="G189" s="424"/>
      <c r="H189" s="424"/>
      <c r="I189" s="424"/>
      <c r="J189" s="424"/>
      <c r="K189" s="424"/>
      <c r="L189" s="424"/>
      <c r="M189" s="424"/>
    </row>
    <row r="190" spans="1:13" x14ac:dyDescent="0.25">
      <c r="A190" s="474"/>
      <c r="B190" s="475"/>
      <c r="C190" s="671"/>
      <c r="D190" s="3"/>
      <c r="E190" s="431"/>
      <c r="F190" s="431"/>
      <c r="G190" s="424"/>
      <c r="H190" s="424"/>
      <c r="I190" s="424"/>
      <c r="J190" s="424"/>
      <c r="K190" s="424"/>
      <c r="L190" s="424"/>
      <c r="M190" s="467"/>
    </row>
    <row r="191" spans="1:13" ht="15.75" x14ac:dyDescent="0.3">
      <c r="A191" s="474"/>
      <c r="B191" s="475"/>
      <c r="C191" s="469"/>
      <c r="D191" s="470"/>
      <c r="E191" s="471"/>
      <c r="F191" s="471"/>
      <c r="G191" s="424"/>
      <c r="H191" s="424"/>
      <c r="I191" s="424"/>
      <c r="J191" s="424"/>
      <c r="K191" s="424"/>
      <c r="L191" s="424"/>
      <c r="M191" s="424"/>
    </row>
    <row r="192" spans="1:13" x14ac:dyDescent="0.25">
      <c r="A192" s="474"/>
      <c r="B192" s="429"/>
      <c r="C192" s="478"/>
      <c r="D192" s="427"/>
      <c r="E192" s="428"/>
      <c r="F192" s="428"/>
      <c r="G192" s="424"/>
      <c r="H192" s="424"/>
      <c r="I192" s="424"/>
      <c r="J192" s="424"/>
      <c r="K192" s="424"/>
      <c r="L192" s="424"/>
      <c r="M192" s="424"/>
    </row>
    <row r="193" spans="1:13" x14ac:dyDescent="0.25">
      <c r="A193" s="786"/>
      <c r="B193" s="787"/>
      <c r="C193" s="3"/>
      <c r="D193" s="3"/>
      <c r="E193" s="449"/>
      <c r="F193" s="467"/>
      <c r="G193" s="788"/>
      <c r="H193" s="788"/>
      <c r="I193" s="788"/>
      <c r="J193" s="788"/>
      <c r="K193" s="788"/>
      <c r="L193" s="788"/>
      <c r="M193" s="788"/>
    </row>
    <row r="194" spans="1:13" x14ac:dyDescent="0.25">
      <c r="A194" s="786"/>
      <c r="B194" s="789"/>
      <c r="C194" s="430"/>
      <c r="D194" s="427"/>
      <c r="E194" s="450"/>
      <c r="F194" s="483"/>
      <c r="G194" s="783"/>
      <c r="H194" s="783"/>
      <c r="I194" s="783"/>
      <c r="J194" s="783"/>
      <c r="K194" s="783"/>
      <c r="L194" s="783"/>
      <c r="M194" s="424"/>
    </row>
    <row r="195" spans="1:13" x14ac:dyDescent="0.25">
      <c r="A195" s="786"/>
      <c r="B195" s="422"/>
      <c r="C195" s="479"/>
      <c r="D195" s="444"/>
      <c r="E195" s="480"/>
      <c r="F195" s="441"/>
      <c r="G195" s="418"/>
      <c r="H195" s="418"/>
      <c r="I195" s="418"/>
      <c r="J195" s="418"/>
      <c r="K195" s="418"/>
      <c r="L195" s="418"/>
      <c r="M195" s="424"/>
    </row>
    <row r="196" spans="1:13" x14ac:dyDescent="0.25">
      <c r="A196" s="786"/>
      <c r="B196" s="422"/>
      <c r="C196" s="430"/>
      <c r="D196" s="427"/>
      <c r="E196" s="450"/>
      <c r="F196" s="483"/>
      <c r="G196" s="783"/>
      <c r="H196" s="783"/>
      <c r="I196" s="783"/>
      <c r="J196" s="783"/>
      <c r="K196" s="783"/>
      <c r="L196" s="418"/>
      <c r="M196" s="424"/>
    </row>
    <row r="197" spans="1:13" x14ac:dyDescent="0.25">
      <c r="A197" s="786"/>
      <c r="B197" s="422"/>
      <c r="C197" s="528"/>
      <c r="D197" s="427"/>
      <c r="E197" s="450"/>
      <c r="F197" s="483"/>
      <c r="G197" s="783"/>
      <c r="H197" s="783"/>
      <c r="I197" s="783"/>
      <c r="J197" s="783"/>
      <c r="K197" s="783"/>
      <c r="L197" s="418"/>
      <c r="M197" s="424"/>
    </row>
    <row r="198" spans="1:13" x14ac:dyDescent="0.25">
      <c r="A198" s="786"/>
      <c r="B198" s="789"/>
      <c r="C198" s="430"/>
      <c r="D198" s="427"/>
      <c r="E198" s="450"/>
      <c r="F198" s="483"/>
      <c r="G198" s="783"/>
      <c r="H198" s="783"/>
      <c r="I198" s="783"/>
      <c r="J198" s="783"/>
      <c r="K198" s="783"/>
      <c r="L198" s="418"/>
      <c r="M198" s="424"/>
    </row>
    <row r="199" spans="1:13" x14ac:dyDescent="0.25">
      <c r="A199" s="786"/>
      <c r="B199" s="429"/>
      <c r="C199" s="433"/>
      <c r="D199" s="434"/>
      <c r="E199" s="481"/>
      <c r="F199" s="482"/>
      <c r="G199" s="435"/>
      <c r="H199" s="435"/>
      <c r="I199" s="435"/>
      <c r="J199" s="435"/>
      <c r="K199" s="435"/>
      <c r="L199" s="435"/>
      <c r="M199" s="435"/>
    </row>
    <row r="200" spans="1:13" x14ac:dyDescent="0.25">
      <c r="A200" s="786"/>
      <c r="B200" s="787"/>
      <c r="C200" s="430"/>
      <c r="D200" s="427"/>
      <c r="E200" s="450"/>
      <c r="F200" s="483"/>
      <c r="G200" s="783"/>
      <c r="H200" s="783"/>
      <c r="I200" s="783"/>
      <c r="J200" s="783"/>
      <c r="K200" s="783"/>
      <c r="L200" s="783"/>
      <c r="M200" s="783"/>
    </row>
    <row r="201" spans="1:13" ht="15.75" x14ac:dyDescent="0.3">
      <c r="A201" s="790"/>
      <c r="B201" s="448"/>
      <c r="C201" s="449"/>
      <c r="D201" s="449"/>
      <c r="E201" s="450"/>
      <c r="F201" s="451"/>
      <c r="G201" s="783"/>
      <c r="H201" s="783"/>
      <c r="I201" s="783"/>
      <c r="J201" s="783"/>
      <c r="K201" s="783"/>
      <c r="L201" s="783"/>
      <c r="M201" s="783"/>
    </row>
    <row r="202" spans="1:13" ht="15.75" x14ac:dyDescent="0.3">
      <c r="A202" s="790"/>
      <c r="B202" s="452"/>
      <c r="C202" s="453"/>
      <c r="D202" s="450"/>
      <c r="E202" s="450"/>
      <c r="F202" s="450"/>
      <c r="G202" s="783"/>
      <c r="H202" s="783"/>
      <c r="I202" s="783"/>
      <c r="J202" s="783"/>
      <c r="K202" s="783"/>
      <c r="L202" s="783"/>
      <c r="M202" s="424"/>
    </row>
    <row r="203" spans="1:13" ht="15.75" x14ac:dyDescent="0.3">
      <c r="A203" s="790"/>
      <c r="B203" s="452"/>
      <c r="C203" s="453"/>
      <c r="D203" s="450"/>
      <c r="E203" s="450"/>
      <c r="F203" s="450"/>
      <c r="G203" s="783"/>
      <c r="H203" s="783"/>
      <c r="I203" s="783"/>
      <c r="J203" s="783"/>
      <c r="K203" s="783"/>
      <c r="L203" s="783"/>
      <c r="M203" s="424"/>
    </row>
    <row r="204" spans="1:13" ht="15.75" x14ac:dyDescent="0.3">
      <c r="A204" s="790"/>
      <c r="B204" s="422"/>
      <c r="C204" s="454"/>
      <c r="D204" s="450"/>
      <c r="E204" s="455"/>
      <c r="F204" s="455"/>
      <c r="G204" s="783"/>
      <c r="H204" s="418"/>
      <c r="I204" s="783"/>
      <c r="J204" s="783"/>
      <c r="K204" s="783"/>
      <c r="L204" s="783"/>
      <c r="M204" s="424"/>
    </row>
    <row r="205" spans="1:13" ht="15.75" x14ac:dyDescent="0.3">
      <c r="A205" s="790"/>
      <c r="B205" s="429"/>
      <c r="C205" s="456"/>
      <c r="D205" s="457"/>
      <c r="E205" s="457"/>
      <c r="F205" s="483"/>
      <c r="G205" s="424"/>
      <c r="H205" s="418"/>
      <c r="I205" s="418"/>
      <c r="J205" s="418"/>
      <c r="K205" s="418"/>
      <c r="L205" s="418"/>
      <c r="M205" s="418"/>
    </row>
    <row r="206" spans="1:13" ht="15.75" x14ac:dyDescent="0.3">
      <c r="A206" s="790"/>
      <c r="B206" s="429"/>
      <c r="C206" s="456"/>
      <c r="D206" s="457"/>
      <c r="E206" s="457"/>
      <c r="F206" s="483"/>
      <c r="G206" s="424"/>
      <c r="H206" s="418"/>
      <c r="I206" s="418"/>
      <c r="J206" s="418"/>
      <c r="K206" s="418"/>
      <c r="L206" s="418"/>
      <c r="M206" s="418"/>
    </row>
    <row r="207" spans="1:13" ht="15.75" x14ac:dyDescent="0.3">
      <c r="A207" s="790"/>
      <c r="B207" s="422"/>
      <c r="C207" s="453"/>
      <c r="D207" s="450"/>
      <c r="E207" s="450"/>
      <c r="F207" s="450"/>
      <c r="G207" s="783"/>
      <c r="H207" s="783"/>
      <c r="I207" s="783"/>
      <c r="J207" s="783"/>
      <c r="K207" s="783"/>
      <c r="L207" s="783"/>
      <c r="M207" s="435"/>
    </row>
    <row r="208" spans="1:13" x14ac:dyDescent="0.25">
      <c r="A208" s="438"/>
      <c r="B208" s="422"/>
      <c r="C208" s="3"/>
      <c r="D208" s="3"/>
      <c r="E208" s="449"/>
      <c r="F208" s="467"/>
      <c r="G208" s="783"/>
      <c r="H208" s="783"/>
      <c r="I208" s="783"/>
      <c r="J208" s="783"/>
      <c r="K208" s="783"/>
      <c r="L208" s="783"/>
      <c r="M208" s="783"/>
    </row>
    <row r="209" spans="1:13" x14ac:dyDescent="0.25">
      <c r="A209" s="438"/>
      <c r="B209" s="422"/>
      <c r="C209" s="430"/>
      <c r="D209" s="427"/>
      <c r="E209" s="450"/>
      <c r="F209" s="483"/>
      <c r="G209" s="783"/>
      <c r="H209" s="783"/>
      <c r="I209" s="783"/>
      <c r="J209" s="783"/>
      <c r="K209" s="783"/>
      <c r="L209" s="783"/>
      <c r="M209" s="424"/>
    </row>
    <row r="210" spans="1:13" x14ac:dyDescent="0.25">
      <c r="A210" s="438"/>
      <c r="B210" s="422"/>
      <c r="C210" s="479"/>
      <c r="D210" s="444"/>
      <c r="E210" s="480"/>
      <c r="F210" s="441"/>
      <c r="G210" s="418"/>
      <c r="H210" s="418"/>
      <c r="I210" s="418"/>
      <c r="J210" s="418"/>
      <c r="K210" s="418"/>
      <c r="L210" s="418"/>
      <c r="M210" s="424"/>
    </row>
    <row r="211" spans="1:13" x14ac:dyDescent="0.25">
      <c r="A211" s="438"/>
      <c r="B211" s="422"/>
      <c r="C211" s="430"/>
      <c r="D211" s="427"/>
      <c r="E211" s="450"/>
      <c r="F211" s="483"/>
      <c r="G211" s="783"/>
      <c r="H211" s="783"/>
      <c r="I211" s="783"/>
      <c r="J211" s="783"/>
      <c r="K211" s="783"/>
      <c r="L211" s="418"/>
      <c r="M211" s="424"/>
    </row>
    <row r="212" spans="1:13" x14ac:dyDescent="0.25">
      <c r="A212" s="438"/>
      <c r="B212" s="422"/>
      <c r="C212" s="430"/>
      <c r="D212" s="427"/>
      <c r="E212" s="450"/>
      <c r="F212" s="483"/>
      <c r="G212" s="783"/>
      <c r="H212" s="783"/>
      <c r="I212" s="783"/>
      <c r="J212" s="783"/>
      <c r="K212" s="783"/>
      <c r="L212" s="418"/>
      <c r="M212" s="424"/>
    </row>
    <row r="213" spans="1:13" x14ac:dyDescent="0.25">
      <c r="A213" s="438"/>
      <c r="B213" s="422"/>
      <c r="C213" s="430"/>
      <c r="D213" s="427"/>
      <c r="E213" s="450"/>
      <c r="F213" s="483"/>
      <c r="G213" s="783"/>
      <c r="H213" s="783"/>
      <c r="I213" s="783"/>
      <c r="J213" s="783"/>
      <c r="K213" s="783"/>
      <c r="L213" s="418"/>
      <c r="M213" s="424"/>
    </row>
    <row r="214" spans="1:13" x14ac:dyDescent="0.25">
      <c r="A214" s="438"/>
      <c r="B214" s="422"/>
      <c r="C214" s="430"/>
      <c r="D214" s="427"/>
      <c r="E214" s="450"/>
      <c r="F214" s="483"/>
      <c r="G214" s="783"/>
      <c r="H214" s="783"/>
      <c r="I214" s="783"/>
      <c r="J214" s="783"/>
      <c r="K214" s="783"/>
      <c r="L214" s="418"/>
      <c r="M214" s="424"/>
    </row>
    <row r="215" spans="1:13" x14ac:dyDescent="0.25">
      <c r="A215" s="438"/>
      <c r="B215" s="422"/>
      <c r="C215" s="430"/>
      <c r="D215" s="427"/>
      <c r="E215" s="450"/>
      <c r="F215" s="483"/>
      <c r="G215" s="783"/>
      <c r="H215" s="783"/>
      <c r="I215" s="783"/>
      <c r="J215" s="783"/>
      <c r="K215" s="783"/>
      <c r="L215" s="418"/>
      <c r="M215" s="424"/>
    </row>
    <row r="216" spans="1:13" x14ac:dyDescent="0.25">
      <c r="A216" s="438"/>
      <c r="B216" s="422"/>
      <c r="C216" s="430"/>
      <c r="D216" s="427"/>
      <c r="E216" s="791"/>
      <c r="F216" s="483"/>
      <c r="G216" s="783"/>
      <c r="H216" s="783"/>
      <c r="I216" s="783"/>
      <c r="J216" s="783"/>
      <c r="K216" s="783"/>
      <c r="L216" s="418"/>
      <c r="M216" s="424"/>
    </row>
    <row r="217" spans="1:13" x14ac:dyDescent="0.25">
      <c r="A217" s="438"/>
      <c r="B217" s="422"/>
      <c r="C217" s="430"/>
      <c r="D217" s="427"/>
      <c r="E217" s="450"/>
      <c r="F217" s="483"/>
      <c r="G217" s="783"/>
      <c r="H217" s="783"/>
      <c r="I217" s="783"/>
      <c r="J217" s="783"/>
      <c r="K217" s="783"/>
      <c r="L217" s="418"/>
      <c r="M217" s="424"/>
    </row>
    <row r="218" spans="1:13" x14ac:dyDescent="0.25">
      <c r="A218" s="438"/>
      <c r="B218" s="422"/>
      <c r="C218" s="430"/>
      <c r="D218" s="427"/>
      <c r="E218" s="450"/>
      <c r="F218" s="483"/>
      <c r="G218" s="783"/>
      <c r="H218" s="783"/>
      <c r="I218" s="783"/>
      <c r="J218" s="783"/>
      <c r="K218" s="783"/>
      <c r="L218" s="418"/>
      <c r="M218" s="424"/>
    </row>
    <row r="219" spans="1:13" x14ac:dyDescent="0.25">
      <c r="A219" s="476"/>
      <c r="B219" s="422"/>
      <c r="C219" s="671"/>
      <c r="D219" s="3"/>
      <c r="E219" s="436"/>
      <c r="F219" s="436"/>
      <c r="G219" s="788"/>
      <c r="H219" s="788"/>
      <c r="I219" s="788"/>
      <c r="J219" s="788"/>
      <c r="K219" s="788"/>
      <c r="L219" s="788"/>
      <c r="M219" s="788"/>
    </row>
    <row r="220" spans="1:13" x14ac:dyDescent="0.25">
      <c r="A220" s="476"/>
      <c r="B220" s="437"/>
      <c r="C220" s="438"/>
      <c r="D220" s="439"/>
      <c r="E220" s="440"/>
      <c r="F220" s="441"/>
      <c r="G220" s="783"/>
      <c r="H220" s="783"/>
      <c r="I220" s="783"/>
      <c r="J220" s="783"/>
      <c r="K220" s="783"/>
      <c r="L220" s="783"/>
      <c r="M220" s="424"/>
    </row>
    <row r="221" spans="1:13" x14ac:dyDescent="0.25">
      <c r="A221" s="476"/>
      <c r="B221" s="422"/>
      <c r="C221" s="430"/>
      <c r="D221" s="427"/>
      <c r="E221" s="441"/>
      <c r="F221" s="441"/>
      <c r="G221" s="783"/>
      <c r="H221" s="783"/>
      <c r="I221" s="783"/>
      <c r="J221" s="783"/>
      <c r="K221" s="783"/>
      <c r="L221" s="783"/>
      <c r="M221" s="424"/>
    </row>
    <row r="222" spans="1:13" x14ac:dyDescent="0.25">
      <c r="A222" s="476"/>
      <c r="B222" s="437"/>
      <c r="C222" s="430"/>
      <c r="D222" s="439"/>
      <c r="E222" s="441"/>
      <c r="F222" s="441"/>
      <c r="G222" s="783"/>
      <c r="H222" s="783"/>
      <c r="I222" s="783"/>
      <c r="J222" s="783"/>
      <c r="K222" s="783"/>
      <c r="L222" s="783"/>
      <c r="M222" s="424"/>
    </row>
    <row r="223" spans="1:13" x14ac:dyDescent="0.25">
      <c r="A223" s="476"/>
      <c r="B223" s="429"/>
      <c r="C223" s="438"/>
      <c r="D223" s="427"/>
      <c r="E223" s="442"/>
      <c r="F223" s="441"/>
      <c r="G223" s="783"/>
      <c r="H223" s="418"/>
      <c r="I223" s="783"/>
      <c r="J223" s="783"/>
      <c r="K223" s="783"/>
      <c r="L223" s="783"/>
      <c r="M223" s="424"/>
    </row>
    <row r="224" spans="1:13" x14ac:dyDescent="0.25">
      <c r="A224" s="476"/>
      <c r="B224" s="437"/>
      <c r="C224" s="438"/>
      <c r="D224" s="427"/>
      <c r="E224" s="443"/>
      <c r="F224" s="444"/>
      <c r="G224" s="783"/>
      <c r="H224" s="418"/>
      <c r="I224" s="783"/>
      <c r="J224" s="783"/>
      <c r="K224" s="783"/>
      <c r="L224" s="783"/>
      <c r="M224" s="424"/>
    </row>
    <row r="225" spans="1:13" x14ac:dyDescent="0.25">
      <c r="A225" s="476"/>
      <c r="B225" s="437"/>
      <c r="C225" s="438"/>
      <c r="D225" s="427"/>
      <c r="E225" s="443"/>
      <c r="F225" s="441"/>
      <c r="G225" s="783"/>
      <c r="H225" s="418"/>
      <c r="I225" s="783"/>
      <c r="J225" s="783"/>
      <c r="K225" s="783"/>
      <c r="L225" s="783"/>
      <c r="M225" s="424"/>
    </row>
    <row r="226" spans="1:13" x14ac:dyDescent="0.25">
      <c r="A226" s="476"/>
      <c r="B226" s="429"/>
      <c r="C226" s="438"/>
      <c r="D226" s="427"/>
      <c r="E226" s="445"/>
      <c r="F226" s="441"/>
      <c r="G226" s="783"/>
      <c r="H226" s="418"/>
      <c r="I226" s="783"/>
      <c r="J226" s="783"/>
      <c r="K226" s="783"/>
      <c r="L226" s="783"/>
      <c r="M226" s="424"/>
    </row>
    <row r="227" spans="1:13" x14ac:dyDescent="0.25">
      <c r="A227" s="476"/>
      <c r="B227" s="437"/>
      <c r="C227" s="426"/>
      <c r="D227" s="446"/>
      <c r="E227" s="440"/>
      <c r="F227" s="441"/>
      <c r="G227" s="783"/>
      <c r="H227" s="418"/>
      <c r="I227" s="783"/>
      <c r="J227" s="783"/>
      <c r="K227" s="783"/>
      <c r="L227" s="783"/>
      <c r="M227" s="424"/>
    </row>
    <row r="228" spans="1:13" x14ac:dyDescent="0.25">
      <c r="A228" s="476"/>
      <c r="B228" s="447"/>
      <c r="C228" s="426"/>
      <c r="D228" s="446"/>
      <c r="E228" s="445"/>
      <c r="F228" s="441"/>
      <c r="G228" s="783"/>
      <c r="H228" s="418"/>
      <c r="I228" s="783"/>
      <c r="J228" s="783"/>
      <c r="K228" s="783"/>
      <c r="L228" s="783"/>
      <c r="M228" s="424"/>
    </row>
    <row r="229" spans="1:13" x14ac:dyDescent="0.25">
      <c r="A229" s="462"/>
      <c r="B229" s="429"/>
      <c r="C229" s="46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</row>
    <row r="230" spans="1:13" x14ac:dyDescent="0.25">
      <c r="A230" s="462"/>
      <c r="B230" s="429"/>
      <c r="C230" s="459"/>
      <c r="D230" s="416"/>
      <c r="E230" s="417"/>
      <c r="F230" s="417"/>
      <c r="G230" s="170"/>
      <c r="H230" s="418"/>
      <c r="I230" s="418"/>
      <c r="J230" s="418"/>
      <c r="K230" s="418"/>
      <c r="L230" s="418"/>
      <c r="M230" s="418"/>
    </row>
    <row r="231" spans="1:13" x14ac:dyDescent="0.25">
      <c r="A231" s="462"/>
      <c r="B231" s="429"/>
      <c r="C231" s="459"/>
      <c r="D231" s="416"/>
      <c r="E231" s="417"/>
      <c r="F231" s="417"/>
      <c r="G231" s="418"/>
      <c r="H231" s="418"/>
      <c r="I231" s="418"/>
      <c r="J231" s="418"/>
      <c r="K231" s="418"/>
      <c r="L231" s="418"/>
      <c r="M231" s="418"/>
    </row>
    <row r="232" spans="1:13" x14ac:dyDescent="0.25">
      <c r="A232" s="462"/>
      <c r="B232" s="429"/>
      <c r="C232" s="461"/>
      <c r="D232" s="416"/>
      <c r="E232" s="417"/>
      <c r="F232" s="417"/>
      <c r="G232" s="418"/>
      <c r="H232" s="418"/>
      <c r="I232" s="418"/>
      <c r="J232" s="418"/>
      <c r="K232" s="418"/>
      <c r="L232" s="418"/>
      <c r="M232" s="418"/>
    </row>
    <row r="233" spans="1:13" x14ac:dyDescent="0.25">
      <c r="A233" s="462"/>
      <c r="B233" s="463"/>
      <c r="C233" s="459"/>
      <c r="D233" s="416"/>
      <c r="E233" s="417"/>
      <c r="F233" s="417"/>
      <c r="G233" s="170"/>
      <c r="H233" s="418"/>
      <c r="I233" s="418"/>
      <c r="J233" s="418"/>
      <c r="K233" s="418"/>
      <c r="L233" s="418"/>
      <c r="M233" s="418"/>
    </row>
    <row r="234" spans="1:13" x14ac:dyDescent="0.25">
      <c r="A234" s="462"/>
      <c r="B234" s="463"/>
      <c r="C234" s="459"/>
      <c r="D234" s="416"/>
      <c r="E234" s="417"/>
      <c r="F234" s="417"/>
      <c r="G234" s="418"/>
      <c r="H234" s="418"/>
      <c r="I234" s="418"/>
      <c r="J234" s="418"/>
      <c r="K234" s="418"/>
      <c r="L234" s="418"/>
      <c r="M234" s="418"/>
    </row>
    <row r="235" spans="1:13" x14ac:dyDescent="0.25">
      <c r="A235" s="792"/>
      <c r="B235" s="448"/>
      <c r="C235" s="449"/>
      <c r="D235" s="449"/>
      <c r="E235" s="450"/>
      <c r="F235" s="451"/>
      <c r="G235" s="783"/>
      <c r="H235" s="783"/>
      <c r="I235" s="783"/>
      <c r="J235" s="783"/>
      <c r="K235" s="783"/>
      <c r="L235" s="783"/>
      <c r="M235" s="783"/>
    </row>
    <row r="236" spans="1:13" x14ac:dyDescent="0.25">
      <c r="A236" s="792"/>
      <c r="B236" s="437"/>
      <c r="C236" s="453"/>
      <c r="D236" s="450"/>
      <c r="E236" s="450"/>
      <c r="F236" s="483"/>
      <c r="G236" s="783"/>
      <c r="H236" s="783"/>
      <c r="I236" s="418"/>
      <c r="J236" s="418"/>
      <c r="K236" s="783"/>
      <c r="L236" s="783"/>
      <c r="M236" s="418"/>
    </row>
    <row r="237" spans="1:13" x14ac:dyDescent="0.25">
      <c r="A237" s="792"/>
      <c r="B237" s="437"/>
      <c r="C237" s="454"/>
      <c r="D237" s="450"/>
      <c r="E237" s="450"/>
      <c r="F237" s="483"/>
      <c r="G237" s="783"/>
      <c r="H237" s="783"/>
      <c r="I237" s="783"/>
      <c r="J237" s="783"/>
      <c r="K237" s="783"/>
      <c r="L237" s="783"/>
      <c r="M237" s="418"/>
    </row>
    <row r="238" spans="1:13" x14ac:dyDescent="0.25">
      <c r="A238" s="792"/>
      <c r="B238" s="422"/>
      <c r="C238" s="453"/>
      <c r="D238" s="450"/>
      <c r="E238" s="450"/>
      <c r="F238" s="483"/>
      <c r="G238" s="783"/>
      <c r="H238" s="783"/>
      <c r="I238" s="783"/>
      <c r="J238" s="783"/>
      <c r="K238" s="783"/>
      <c r="L238" s="783"/>
      <c r="M238" s="418"/>
    </row>
    <row r="239" spans="1:13" ht="15.75" x14ac:dyDescent="0.3">
      <c r="A239" s="792"/>
      <c r="B239" s="793"/>
      <c r="C239" s="794"/>
      <c r="D239" s="439"/>
      <c r="E239" s="440"/>
      <c r="F239" s="441"/>
      <c r="G239" s="783"/>
      <c r="H239" s="783"/>
      <c r="I239" s="783"/>
      <c r="J239" s="783"/>
      <c r="K239" s="783"/>
      <c r="L239" s="783"/>
      <c r="M239" s="418"/>
    </row>
    <row r="240" spans="1:13" x14ac:dyDescent="0.25">
      <c r="A240" s="792"/>
      <c r="B240" s="484"/>
      <c r="C240" s="449"/>
      <c r="D240" s="449"/>
      <c r="E240" s="450"/>
      <c r="F240" s="451"/>
      <c r="G240" s="783"/>
      <c r="H240" s="783"/>
      <c r="I240" s="783"/>
      <c r="J240" s="783"/>
      <c r="K240" s="783"/>
      <c r="L240" s="783"/>
      <c r="M240" s="783"/>
    </row>
    <row r="241" spans="1:13" x14ac:dyDescent="0.25">
      <c r="A241" s="792"/>
      <c r="B241" s="485"/>
      <c r="C241" s="453"/>
      <c r="D241" s="450"/>
      <c r="E241" s="450"/>
      <c r="F241" s="483"/>
      <c r="G241" s="783"/>
      <c r="H241" s="783"/>
      <c r="I241" s="418"/>
      <c r="J241" s="418"/>
      <c r="K241" s="783"/>
      <c r="L241" s="783"/>
      <c r="M241" s="418"/>
    </row>
    <row r="242" spans="1:13" x14ac:dyDescent="0.25">
      <c r="A242" s="792"/>
      <c r="B242" s="485"/>
      <c r="C242" s="453"/>
      <c r="D242" s="450"/>
      <c r="E242" s="450"/>
      <c r="F242" s="483"/>
      <c r="G242" s="783"/>
      <c r="H242" s="783"/>
      <c r="I242" s="783"/>
      <c r="J242" s="783"/>
      <c r="K242" s="783"/>
      <c r="L242" s="783"/>
      <c r="M242" s="418"/>
    </row>
    <row r="243" spans="1:13" x14ac:dyDescent="0.25">
      <c r="A243" s="792"/>
      <c r="B243" s="485"/>
      <c r="C243" s="453"/>
      <c r="D243" s="450"/>
      <c r="E243" s="483"/>
      <c r="F243" s="483"/>
      <c r="G243" s="783"/>
      <c r="H243" s="783"/>
      <c r="I243" s="783"/>
      <c r="J243" s="783"/>
      <c r="K243" s="783"/>
      <c r="L243" s="783"/>
      <c r="M243" s="418"/>
    </row>
    <row r="244" spans="1:13" x14ac:dyDescent="0.25">
      <c r="A244" s="792"/>
      <c r="B244" s="450"/>
      <c r="C244" s="453"/>
      <c r="D244" s="450"/>
      <c r="E244" s="450"/>
      <c r="F244" s="483"/>
      <c r="G244" s="783"/>
      <c r="H244" s="783"/>
      <c r="I244" s="783"/>
      <c r="J244" s="783"/>
      <c r="K244" s="783"/>
      <c r="L244" s="783"/>
      <c r="M244" s="418"/>
    </row>
    <row r="245" spans="1:13" x14ac:dyDescent="0.25">
      <c r="A245" s="438"/>
      <c r="B245" s="422"/>
      <c r="C245" s="3"/>
      <c r="D245" s="3"/>
      <c r="E245" s="3"/>
      <c r="F245" s="795"/>
      <c r="G245" s="796"/>
      <c r="H245" s="796"/>
      <c r="I245" s="796"/>
      <c r="J245" s="796"/>
      <c r="K245" s="796"/>
      <c r="L245" s="796"/>
      <c r="M245" s="796"/>
    </row>
    <row r="246" spans="1:13" x14ac:dyDescent="0.25">
      <c r="A246" s="438"/>
      <c r="B246" s="422"/>
      <c r="C246" s="430"/>
      <c r="D246" s="430"/>
      <c r="E246" s="427"/>
      <c r="F246" s="483"/>
      <c r="G246" s="797"/>
      <c r="H246" s="797"/>
      <c r="I246" s="797"/>
      <c r="J246" s="797"/>
      <c r="K246" s="797"/>
      <c r="L246" s="797"/>
      <c r="M246" s="418"/>
    </row>
    <row r="247" spans="1:13" x14ac:dyDescent="0.25">
      <c r="A247" s="438"/>
      <c r="B247" s="422"/>
      <c r="C247" s="430"/>
      <c r="D247" s="427"/>
      <c r="E247" s="427"/>
      <c r="F247" s="483"/>
      <c r="G247" s="797"/>
      <c r="H247" s="797"/>
      <c r="I247" s="797"/>
      <c r="J247" s="797"/>
      <c r="K247" s="797"/>
      <c r="L247" s="797"/>
      <c r="M247" s="418"/>
    </row>
    <row r="248" spans="1:13" x14ac:dyDescent="0.25">
      <c r="A248" s="438"/>
      <c r="B248" s="437"/>
      <c r="C248" s="3"/>
      <c r="D248" s="3"/>
      <c r="E248" s="3"/>
      <c r="F248" s="451"/>
      <c r="G248" s="796"/>
      <c r="H248" s="796"/>
      <c r="I248" s="796"/>
      <c r="J248" s="796"/>
      <c r="K248" s="796"/>
      <c r="L248" s="796"/>
      <c r="M248" s="796"/>
    </row>
    <row r="249" spans="1:13" x14ac:dyDescent="0.25">
      <c r="A249" s="438"/>
      <c r="B249" s="782"/>
      <c r="C249" s="528"/>
      <c r="D249" s="427"/>
      <c r="E249" s="798"/>
      <c r="F249" s="483"/>
      <c r="G249" s="797"/>
      <c r="H249" s="797"/>
      <c r="I249" s="418"/>
      <c r="J249" s="418"/>
      <c r="K249" s="783"/>
      <c r="L249" s="783"/>
      <c r="M249" s="418"/>
    </row>
    <row r="250" spans="1:13" x14ac:dyDescent="0.25">
      <c r="A250" s="438"/>
      <c r="B250" s="782"/>
      <c r="C250" s="528"/>
      <c r="D250" s="427"/>
      <c r="E250" s="427"/>
      <c r="F250" s="483"/>
      <c r="G250" s="783"/>
      <c r="H250" s="783"/>
      <c r="I250" s="783"/>
      <c r="J250" s="783"/>
      <c r="K250" s="783"/>
      <c r="L250" s="783"/>
      <c r="M250" s="418"/>
    </row>
    <row r="251" spans="1:13" x14ac:dyDescent="0.25">
      <c r="A251" s="438"/>
      <c r="B251" s="422"/>
      <c r="C251" s="528"/>
      <c r="D251" s="427"/>
      <c r="E251" s="427"/>
      <c r="F251" s="483"/>
      <c r="G251" s="783"/>
      <c r="H251" s="783"/>
      <c r="I251" s="783"/>
      <c r="J251" s="783"/>
      <c r="K251" s="783"/>
      <c r="L251" s="783"/>
      <c r="M251" s="418"/>
    </row>
    <row r="252" spans="1:13" x14ac:dyDescent="0.25">
      <c r="A252" s="782"/>
      <c r="B252" s="437"/>
      <c r="C252" s="465"/>
      <c r="D252" s="3"/>
      <c r="E252" s="467"/>
      <c r="F252" s="467"/>
      <c r="G252" s="467"/>
      <c r="H252" s="467"/>
      <c r="I252" s="467"/>
      <c r="J252" s="467"/>
      <c r="K252" s="467"/>
      <c r="L252" s="467"/>
      <c r="M252" s="467"/>
    </row>
    <row r="253" spans="1:13" x14ac:dyDescent="0.25">
      <c r="A253" s="782"/>
      <c r="B253" s="437"/>
      <c r="C253" s="430"/>
      <c r="D253" s="526"/>
      <c r="E253" s="445"/>
      <c r="F253" s="445"/>
      <c r="G253" s="424"/>
      <c r="H253" s="424"/>
      <c r="I253" s="424"/>
      <c r="J253" s="424"/>
      <c r="K253" s="424"/>
      <c r="L253" s="424"/>
      <c r="M253" s="418"/>
    </row>
    <row r="254" spans="1:13" x14ac:dyDescent="0.25">
      <c r="A254" s="782"/>
      <c r="B254" s="437"/>
      <c r="C254" s="527"/>
      <c r="D254" s="427"/>
      <c r="E254" s="784"/>
      <c r="F254" s="424"/>
      <c r="G254" s="424"/>
      <c r="H254" s="424"/>
      <c r="I254" s="424"/>
      <c r="J254" s="424"/>
      <c r="K254" s="424"/>
      <c r="L254" s="424"/>
      <c r="M254" s="418"/>
    </row>
    <row r="255" spans="1:13" x14ac:dyDescent="0.25">
      <c r="A255" s="782"/>
      <c r="B255" s="437"/>
      <c r="C255" s="527"/>
      <c r="D255" s="427"/>
      <c r="E255" s="784"/>
      <c r="F255" s="424"/>
      <c r="G255" s="424"/>
      <c r="H255" s="424"/>
      <c r="I255" s="424"/>
      <c r="J255" s="424"/>
      <c r="K255" s="424"/>
      <c r="L255" s="424"/>
      <c r="M255" s="418"/>
    </row>
    <row r="256" spans="1:13" x14ac:dyDescent="0.25">
      <c r="A256" s="782"/>
      <c r="B256" s="437"/>
      <c r="C256" s="527"/>
      <c r="D256" s="427"/>
      <c r="E256" s="424"/>
      <c r="F256" s="424"/>
      <c r="G256" s="424"/>
      <c r="H256" s="424"/>
      <c r="I256" s="424"/>
      <c r="J256" s="424"/>
      <c r="K256" s="424"/>
      <c r="L256" s="424"/>
      <c r="M256" s="418"/>
    </row>
    <row r="257" spans="1:13" x14ac:dyDescent="0.25">
      <c r="A257" s="782"/>
      <c r="B257" s="437"/>
      <c r="C257" s="3"/>
      <c r="D257" s="3"/>
      <c r="E257" s="467"/>
      <c r="F257" s="467"/>
      <c r="G257" s="467"/>
      <c r="H257" s="467"/>
      <c r="I257" s="467"/>
      <c r="J257" s="467"/>
      <c r="K257" s="467"/>
      <c r="L257" s="467"/>
      <c r="M257" s="467"/>
    </row>
    <row r="258" spans="1:13" x14ac:dyDescent="0.25">
      <c r="A258" s="782"/>
      <c r="B258" s="437"/>
      <c r="C258" s="430"/>
      <c r="D258" s="526"/>
      <c r="E258" s="445"/>
      <c r="F258" s="441"/>
      <c r="G258" s="424"/>
      <c r="H258" s="424"/>
      <c r="I258" s="424"/>
      <c r="J258" s="424"/>
      <c r="K258" s="424"/>
      <c r="L258" s="424"/>
      <c r="M258" s="418"/>
    </row>
    <row r="259" spans="1:13" x14ac:dyDescent="0.25">
      <c r="A259" s="782"/>
      <c r="B259" s="437"/>
      <c r="C259" s="527"/>
      <c r="D259" s="427"/>
      <c r="E259" s="784"/>
      <c r="F259" s="483"/>
      <c r="G259" s="424"/>
      <c r="H259" s="424"/>
      <c r="I259" s="424"/>
      <c r="J259" s="424"/>
      <c r="K259" s="424"/>
      <c r="L259" s="424"/>
      <c r="M259" s="418"/>
    </row>
    <row r="260" spans="1:13" x14ac:dyDescent="0.25">
      <c r="A260" s="782"/>
      <c r="B260" s="437"/>
      <c r="C260" s="527"/>
      <c r="D260" s="427"/>
      <c r="E260" s="784"/>
      <c r="F260" s="483"/>
      <c r="G260" s="424"/>
      <c r="H260" s="424"/>
      <c r="I260" s="424"/>
      <c r="J260" s="424"/>
      <c r="K260" s="424"/>
      <c r="L260" s="424"/>
      <c r="M260" s="418"/>
    </row>
    <row r="261" spans="1:13" x14ac:dyDescent="0.25">
      <c r="A261" s="782"/>
      <c r="B261" s="437"/>
      <c r="C261" s="527"/>
      <c r="D261" s="427"/>
      <c r="E261" s="424"/>
      <c r="F261" s="424"/>
      <c r="G261" s="424"/>
      <c r="H261" s="424"/>
      <c r="I261" s="424"/>
      <c r="J261" s="424"/>
      <c r="K261" s="424"/>
      <c r="L261" s="424"/>
      <c r="M261" s="418"/>
    </row>
    <row r="262" spans="1:13" x14ac:dyDescent="0.25">
      <c r="A262" s="427"/>
      <c r="B262" s="429"/>
      <c r="C262" s="459"/>
      <c r="D262" s="416"/>
      <c r="E262" s="417"/>
      <c r="F262" s="417"/>
      <c r="G262" s="418"/>
      <c r="H262" s="418"/>
      <c r="I262" s="418"/>
      <c r="J262" s="418"/>
      <c r="K262" s="418"/>
      <c r="L262" s="418"/>
      <c r="M262" s="418"/>
    </row>
    <row r="263" spans="1:13" x14ac:dyDescent="0.25">
      <c r="A263" s="462"/>
      <c r="B263" s="463"/>
      <c r="C263" s="430"/>
      <c r="D263" s="464"/>
      <c r="E263" s="417"/>
      <c r="F263" s="417"/>
      <c r="G263" s="418"/>
      <c r="H263" s="418"/>
      <c r="I263" s="170"/>
      <c r="J263" s="170"/>
      <c r="K263" s="170"/>
      <c r="L263" s="170"/>
      <c r="M263" s="418"/>
    </row>
    <row r="264" spans="1:13" x14ac:dyDescent="0.25">
      <c r="A264" s="462"/>
      <c r="B264" s="463"/>
      <c r="C264" s="461"/>
      <c r="D264" s="464"/>
      <c r="E264" s="417"/>
      <c r="F264" s="417"/>
      <c r="G264" s="418"/>
      <c r="H264" s="170"/>
      <c r="I264" s="170"/>
      <c r="J264" s="170"/>
      <c r="K264" s="170"/>
      <c r="L264" s="170"/>
      <c r="M264" s="418"/>
    </row>
    <row r="265" spans="1:13" x14ac:dyDescent="0.25">
      <c r="A265" s="462"/>
      <c r="B265" s="437"/>
      <c r="C265" s="438"/>
      <c r="D265" s="464"/>
      <c r="E265" s="428"/>
      <c r="F265" s="458"/>
      <c r="G265" s="170"/>
      <c r="H265" s="170"/>
      <c r="I265" s="418"/>
      <c r="J265" s="418"/>
      <c r="K265" s="418"/>
      <c r="L265" s="424"/>
      <c r="M265" s="424"/>
    </row>
    <row r="266" spans="1:13" x14ac:dyDescent="0.25">
      <c r="A266" s="462"/>
      <c r="B266" s="437"/>
      <c r="C266" s="438"/>
      <c r="D266" s="464"/>
      <c r="E266" s="428"/>
      <c r="F266" s="458"/>
      <c r="G266" s="170"/>
      <c r="H266" s="170"/>
      <c r="I266" s="418"/>
      <c r="J266" s="418"/>
      <c r="K266" s="418"/>
      <c r="L266" s="418"/>
      <c r="M266" s="424"/>
    </row>
    <row r="267" spans="1:13" x14ac:dyDescent="0.25">
      <c r="A267" s="462"/>
      <c r="B267" s="437"/>
      <c r="C267" s="438"/>
      <c r="D267" s="464"/>
      <c r="E267" s="428"/>
      <c r="F267" s="458"/>
      <c r="G267" s="170"/>
      <c r="H267" s="170"/>
      <c r="I267" s="418"/>
      <c r="J267" s="418"/>
      <c r="K267" s="418"/>
      <c r="L267" s="424"/>
      <c r="M267" s="424"/>
    </row>
    <row r="268" spans="1:13" x14ac:dyDescent="0.25">
      <c r="A268" s="462"/>
      <c r="B268" s="437"/>
      <c r="C268" s="438"/>
      <c r="D268" s="464"/>
      <c r="E268" s="428"/>
      <c r="F268" s="417"/>
      <c r="G268" s="418"/>
      <c r="H268" s="418"/>
      <c r="I268" s="418"/>
      <c r="J268" s="418"/>
      <c r="K268" s="418"/>
      <c r="L268" s="424"/>
      <c r="M268" s="424"/>
    </row>
    <row r="269" spans="1:13" x14ac:dyDescent="0.25">
      <c r="A269" s="462"/>
      <c r="B269" s="437"/>
      <c r="C269" s="528"/>
      <c r="D269" s="529"/>
      <c r="E269" s="530"/>
      <c r="F269" s="428"/>
      <c r="G269" s="424"/>
      <c r="H269" s="424"/>
      <c r="I269" s="424"/>
      <c r="J269" s="424"/>
      <c r="K269" s="424"/>
      <c r="L269" s="424"/>
      <c r="M269" s="424"/>
    </row>
    <row r="270" spans="1:13" x14ac:dyDescent="0.25">
      <c r="A270" s="462"/>
      <c r="B270" s="465"/>
      <c r="C270" s="432"/>
      <c r="D270" s="531"/>
      <c r="E270" s="532"/>
      <c r="F270" s="423"/>
      <c r="G270" s="467"/>
      <c r="H270" s="467"/>
      <c r="I270" s="467"/>
      <c r="J270" s="467"/>
      <c r="K270" s="467"/>
      <c r="L270" s="467"/>
      <c r="M270" s="467"/>
    </row>
    <row r="271" spans="1:13" x14ac:dyDescent="0.25">
      <c r="A271" s="799"/>
      <c r="B271" s="800"/>
      <c r="C271" s="799"/>
      <c r="D271" s="799"/>
      <c r="E271" s="799"/>
      <c r="F271" s="799"/>
      <c r="G271" s="801"/>
      <c r="H271" s="801"/>
      <c r="I271" s="801"/>
      <c r="J271" s="801"/>
      <c r="K271" s="801"/>
      <c r="L271" s="801"/>
      <c r="M271" s="801"/>
    </row>
    <row r="272" spans="1:13" x14ac:dyDescent="0.25">
      <c r="A272" s="419"/>
      <c r="B272" s="420"/>
      <c r="C272" s="468"/>
      <c r="D272" s="421"/>
      <c r="E272" s="421"/>
      <c r="F272" s="421"/>
      <c r="G272" s="421"/>
      <c r="H272" s="421"/>
      <c r="I272" s="421"/>
      <c r="J272" s="421"/>
      <c r="K272" s="421"/>
      <c r="L272" s="421"/>
      <c r="M272" s="421"/>
    </row>
    <row r="273" spans="1:13" x14ac:dyDescent="0.25">
      <c r="A273" s="462"/>
      <c r="B273" s="422"/>
      <c r="C273" s="533"/>
      <c r="D273" s="436"/>
      <c r="E273" s="534"/>
      <c r="F273" s="535"/>
      <c r="G273" s="418"/>
      <c r="H273" s="418"/>
      <c r="I273" s="418"/>
      <c r="J273" s="418"/>
      <c r="K273" s="418"/>
      <c r="L273" s="418"/>
      <c r="M273" s="418"/>
    </row>
    <row r="274" spans="1:13" x14ac:dyDescent="0.25">
      <c r="A274" s="462"/>
      <c r="B274" s="422"/>
      <c r="C274" s="479"/>
      <c r="D274" s="444"/>
      <c r="E274" s="480"/>
      <c r="F274" s="441"/>
      <c r="G274" s="418"/>
      <c r="H274" s="418"/>
      <c r="I274" s="418"/>
      <c r="J274" s="418"/>
      <c r="K274" s="418"/>
      <c r="L274" s="418"/>
      <c r="M274" s="424"/>
    </row>
    <row r="275" spans="1:13" x14ac:dyDescent="0.25">
      <c r="A275" s="462"/>
      <c r="B275" s="422"/>
      <c r="C275" s="479"/>
      <c r="D275" s="444"/>
      <c r="E275" s="480"/>
      <c r="F275" s="441"/>
      <c r="G275" s="418"/>
      <c r="H275" s="418"/>
      <c r="I275" s="418"/>
      <c r="J275" s="418"/>
      <c r="K275" s="418"/>
      <c r="L275" s="418"/>
      <c r="M275" s="424"/>
    </row>
    <row r="276" spans="1:13" x14ac:dyDescent="0.25">
      <c r="A276" s="462"/>
      <c r="B276" s="422"/>
      <c r="C276" s="479"/>
      <c r="D276" s="444"/>
      <c r="E276" s="480"/>
      <c r="F276" s="441"/>
      <c r="G276" s="418"/>
      <c r="H276" s="418"/>
      <c r="I276" s="418"/>
      <c r="J276" s="418"/>
      <c r="K276" s="418"/>
      <c r="L276" s="418"/>
      <c r="M276" s="424"/>
    </row>
    <row r="277" spans="1:13" x14ac:dyDescent="0.25">
      <c r="A277" s="462"/>
      <c r="B277" s="422"/>
      <c r="C277" s="533"/>
      <c r="D277" s="436"/>
      <c r="E277" s="534"/>
      <c r="F277" s="536"/>
      <c r="G277" s="418"/>
      <c r="H277" s="418"/>
      <c r="I277" s="418"/>
      <c r="J277" s="418"/>
      <c r="K277" s="418"/>
      <c r="L277" s="418"/>
      <c r="M277" s="418"/>
    </row>
    <row r="278" spans="1:13" x14ac:dyDescent="0.25">
      <c r="A278" s="462"/>
      <c r="B278" s="422"/>
      <c r="C278" s="479"/>
      <c r="D278" s="444"/>
      <c r="E278" s="480"/>
      <c r="F278" s="441"/>
      <c r="G278" s="418"/>
      <c r="H278" s="418"/>
      <c r="I278" s="418"/>
      <c r="J278" s="418"/>
      <c r="K278" s="418"/>
      <c r="L278" s="418"/>
      <c r="M278" s="424"/>
    </row>
    <row r="279" spans="1:13" x14ac:dyDescent="0.25">
      <c r="A279" s="785"/>
      <c r="B279" s="472"/>
      <c r="C279" s="170"/>
      <c r="D279" s="537"/>
      <c r="E279" s="443"/>
      <c r="F279" s="537"/>
      <c r="G279" s="537"/>
      <c r="H279" s="538"/>
      <c r="I279" s="538"/>
      <c r="J279" s="538"/>
      <c r="K279" s="538"/>
      <c r="L279" s="538"/>
      <c r="M279" s="538"/>
    </row>
    <row r="280" spans="1:13" x14ac:dyDescent="0.25">
      <c r="A280" s="785"/>
      <c r="B280" s="472"/>
      <c r="C280" s="461"/>
      <c r="D280" s="539"/>
      <c r="E280" s="540"/>
      <c r="F280" s="540"/>
      <c r="G280" s="538"/>
      <c r="H280" s="538"/>
      <c r="I280" s="538"/>
      <c r="J280" s="538"/>
      <c r="K280" s="538"/>
      <c r="L280" s="538"/>
      <c r="M280" s="538"/>
    </row>
    <row r="281" spans="1:13" x14ac:dyDescent="0.25">
      <c r="A281" s="785"/>
      <c r="B281" s="429"/>
      <c r="C281" s="170"/>
      <c r="D281" s="537"/>
      <c r="E281" s="538"/>
      <c r="F281" s="537"/>
      <c r="G281" s="537"/>
      <c r="H281" s="538"/>
      <c r="I281" s="538"/>
      <c r="J281" s="538"/>
      <c r="K281" s="538"/>
      <c r="L281" s="538"/>
      <c r="M281" s="538"/>
    </row>
    <row r="282" spans="1:13" x14ac:dyDescent="0.25">
      <c r="A282" s="473"/>
      <c r="B282" s="422"/>
      <c r="C282" s="671"/>
      <c r="D282" s="3"/>
      <c r="E282" s="423"/>
      <c r="F282" s="423"/>
      <c r="G282" s="424"/>
      <c r="H282" s="424"/>
      <c r="I282" s="424"/>
      <c r="J282" s="424"/>
      <c r="K282" s="424"/>
      <c r="L282" s="424"/>
      <c r="M282" s="467"/>
    </row>
    <row r="283" spans="1:13" x14ac:dyDescent="0.25">
      <c r="A283" s="473"/>
      <c r="B283" s="425"/>
      <c r="C283" s="426"/>
      <c r="D283" s="427"/>
      <c r="E283" s="428"/>
      <c r="F283" s="428"/>
      <c r="G283" s="424"/>
      <c r="H283" s="424"/>
      <c r="I283" s="424"/>
      <c r="J283" s="424"/>
      <c r="K283" s="424"/>
      <c r="L283" s="424"/>
      <c r="M283" s="424"/>
    </row>
    <row r="284" spans="1:13" x14ac:dyDescent="0.25">
      <c r="A284" s="473"/>
      <c r="B284" s="425"/>
      <c r="C284" s="426"/>
      <c r="D284" s="427"/>
      <c r="E284" s="428"/>
      <c r="F284" s="428"/>
      <c r="G284" s="424"/>
      <c r="H284" s="424"/>
      <c r="I284" s="424"/>
      <c r="J284" s="424"/>
      <c r="K284" s="424"/>
      <c r="L284" s="424"/>
      <c r="M284" s="424"/>
    </row>
    <row r="285" spans="1:13" x14ac:dyDescent="0.25">
      <c r="A285" s="473"/>
      <c r="B285" s="429"/>
      <c r="C285" s="426"/>
      <c r="D285" s="427"/>
      <c r="E285" s="428"/>
      <c r="F285" s="428"/>
      <c r="G285" s="424"/>
      <c r="H285" s="424"/>
      <c r="I285" s="424"/>
      <c r="J285" s="424"/>
      <c r="K285" s="424"/>
      <c r="L285" s="424"/>
      <c r="M285" s="424"/>
    </row>
    <row r="286" spans="1:13" x14ac:dyDescent="0.25">
      <c r="A286" s="474"/>
      <c r="B286" s="475"/>
      <c r="C286" s="671"/>
      <c r="D286" s="3"/>
      <c r="E286" s="431"/>
      <c r="F286" s="431"/>
      <c r="G286" s="424"/>
      <c r="H286" s="424"/>
      <c r="I286" s="424"/>
      <c r="J286" s="424"/>
      <c r="K286" s="424"/>
      <c r="L286" s="424"/>
      <c r="M286" s="467"/>
    </row>
    <row r="287" spans="1:13" ht="15.75" x14ac:dyDescent="0.3">
      <c r="A287" s="474"/>
      <c r="B287" s="475"/>
      <c r="C287" s="469"/>
      <c r="D287" s="470"/>
      <c r="E287" s="471"/>
      <c r="F287" s="471"/>
      <c r="G287" s="424"/>
      <c r="H287" s="424"/>
      <c r="I287" s="424"/>
      <c r="J287" s="424"/>
      <c r="K287" s="424"/>
      <c r="L287" s="424"/>
      <c r="M287" s="424"/>
    </row>
    <row r="288" spans="1:13" x14ac:dyDescent="0.25">
      <c r="A288" s="474"/>
      <c r="B288" s="429"/>
      <c r="C288" s="478"/>
      <c r="D288" s="427"/>
      <c r="E288" s="428"/>
      <c r="F288" s="428"/>
      <c r="G288" s="424"/>
      <c r="H288" s="424"/>
      <c r="I288" s="424"/>
      <c r="J288" s="424"/>
      <c r="K288" s="424"/>
      <c r="L288" s="424"/>
      <c r="M288" s="424"/>
    </row>
    <row r="289" spans="1:13" x14ac:dyDescent="0.25">
      <c r="A289" s="786"/>
      <c r="B289" s="787"/>
      <c r="C289" s="3"/>
      <c r="D289" s="3"/>
      <c r="E289" s="449"/>
      <c r="F289" s="467"/>
      <c r="G289" s="788"/>
      <c r="H289" s="788"/>
      <c r="I289" s="788"/>
      <c r="J289" s="788"/>
      <c r="K289" s="788"/>
      <c r="L289" s="788"/>
      <c r="M289" s="788"/>
    </row>
    <row r="290" spans="1:13" x14ac:dyDescent="0.25">
      <c r="A290" s="786"/>
      <c r="B290" s="789"/>
      <c r="C290" s="430"/>
      <c r="D290" s="427"/>
      <c r="E290" s="450"/>
      <c r="F290" s="483"/>
      <c r="G290" s="783"/>
      <c r="H290" s="783"/>
      <c r="I290" s="783"/>
      <c r="J290" s="783"/>
      <c r="K290" s="783"/>
      <c r="L290" s="783"/>
      <c r="M290" s="424"/>
    </row>
    <row r="291" spans="1:13" x14ac:dyDescent="0.25">
      <c r="A291" s="786"/>
      <c r="B291" s="422"/>
      <c r="C291" s="479"/>
      <c r="D291" s="444"/>
      <c r="E291" s="480"/>
      <c r="F291" s="441"/>
      <c r="G291" s="418"/>
      <c r="H291" s="418"/>
      <c r="I291" s="418"/>
      <c r="J291" s="418"/>
      <c r="K291" s="418"/>
      <c r="L291" s="418"/>
      <c r="M291" s="424"/>
    </row>
    <row r="292" spans="1:13" x14ac:dyDescent="0.25">
      <c r="A292" s="786"/>
      <c r="B292" s="422"/>
      <c r="C292" s="430"/>
      <c r="D292" s="427"/>
      <c r="E292" s="450"/>
      <c r="F292" s="483"/>
      <c r="G292" s="783"/>
      <c r="H292" s="783"/>
      <c r="I292" s="783"/>
      <c r="J292" s="783"/>
      <c r="K292" s="783"/>
      <c r="L292" s="418"/>
      <c r="M292" s="424"/>
    </row>
    <row r="293" spans="1:13" x14ac:dyDescent="0.25">
      <c r="A293" s="786"/>
      <c r="B293" s="422"/>
      <c r="C293" s="528"/>
      <c r="D293" s="427"/>
      <c r="E293" s="450"/>
      <c r="F293" s="483"/>
      <c r="G293" s="783"/>
      <c r="H293" s="783"/>
      <c r="I293" s="783"/>
      <c r="J293" s="783"/>
      <c r="K293" s="783"/>
      <c r="L293" s="418"/>
      <c r="M293" s="424"/>
    </row>
    <row r="294" spans="1:13" x14ac:dyDescent="0.25">
      <c r="A294" s="786"/>
      <c r="B294" s="789"/>
      <c r="C294" s="430"/>
      <c r="D294" s="427"/>
      <c r="E294" s="450"/>
      <c r="F294" s="483"/>
      <c r="G294" s="783"/>
      <c r="H294" s="783"/>
      <c r="I294" s="783"/>
      <c r="J294" s="783"/>
      <c r="K294" s="783"/>
      <c r="L294" s="418"/>
      <c r="M294" s="424"/>
    </row>
    <row r="295" spans="1:13" x14ac:dyDescent="0.25">
      <c r="A295" s="786"/>
      <c r="B295" s="429"/>
      <c r="C295" s="433"/>
      <c r="D295" s="434"/>
      <c r="E295" s="481"/>
      <c r="F295" s="482"/>
      <c r="G295" s="435"/>
      <c r="H295" s="435"/>
      <c r="I295" s="435"/>
      <c r="J295" s="435"/>
      <c r="K295" s="435"/>
      <c r="L295" s="435"/>
      <c r="M295" s="435"/>
    </row>
    <row r="296" spans="1:13" x14ac:dyDescent="0.25">
      <c r="A296" s="786"/>
      <c r="B296" s="787"/>
      <c r="C296" s="430"/>
      <c r="D296" s="427"/>
      <c r="E296" s="450"/>
      <c r="F296" s="483"/>
      <c r="G296" s="783"/>
      <c r="H296" s="783"/>
      <c r="I296" s="783"/>
      <c r="J296" s="783"/>
      <c r="K296" s="783"/>
      <c r="L296" s="783"/>
      <c r="M296" s="783"/>
    </row>
    <row r="297" spans="1:13" ht="15.75" x14ac:dyDescent="0.3">
      <c r="A297" s="790"/>
      <c r="B297" s="448"/>
      <c r="C297" s="449"/>
      <c r="D297" s="449"/>
      <c r="E297" s="450"/>
      <c r="F297" s="451"/>
      <c r="G297" s="783"/>
      <c r="H297" s="783"/>
      <c r="I297" s="783"/>
      <c r="J297" s="783"/>
      <c r="K297" s="783"/>
      <c r="L297" s="783"/>
      <c r="M297" s="783"/>
    </row>
    <row r="298" spans="1:13" ht="15.75" x14ac:dyDescent="0.3">
      <c r="A298" s="790"/>
      <c r="B298" s="452"/>
      <c r="C298" s="453"/>
      <c r="D298" s="450"/>
      <c r="E298" s="450"/>
      <c r="F298" s="450"/>
      <c r="G298" s="783"/>
      <c r="H298" s="783"/>
      <c r="I298" s="783"/>
      <c r="J298" s="783"/>
      <c r="K298" s="783"/>
      <c r="L298" s="783"/>
      <c r="M298" s="424"/>
    </row>
    <row r="299" spans="1:13" ht="15.75" x14ac:dyDescent="0.3">
      <c r="A299" s="790"/>
      <c r="B299" s="452"/>
      <c r="C299" s="453"/>
      <c r="D299" s="450"/>
      <c r="E299" s="450"/>
      <c r="F299" s="450"/>
      <c r="G299" s="783"/>
      <c r="H299" s="783"/>
      <c r="I299" s="783"/>
      <c r="J299" s="783"/>
      <c r="K299" s="783"/>
      <c r="L299" s="783"/>
      <c r="M299" s="424"/>
    </row>
    <row r="300" spans="1:13" ht="15.75" x14ac:dyDescent="0.3">
      <c r="A300" s="790"/>
      <c r="B300" s="422"/>
      <c r="C300" s="454"/>
      <c r="D300" s="450"/>
      <c r="E300" s="455"/>
      <c r="F300" s="455"/>
      <c r="G300" s="783"/>
      <c r="H300" s="418"/>
      <c r="I300" s="783"/>
      <c r="J300" s="783"/>
      <c r="K300" s="783"/>
      <c r="L300" s="783"/>
      <c r="M300" s="424"/>
    </row>
    <row r="301" spans="1:13" ht="15.75" x14ac:dyDescent="0.3">
      <c r="A301" s="790"/>
      <c r="B301" s="429"/>
      <c r="C301" s="456"/>
      <c r="D301" s="457"/>
      <c r="E301" s="457"/>
      <c r="F301" s="483"/>
      <c r="G301" s="424"/>
      <c r="H301" s="418"/>
      <c r="I301" s="418"/>
      <c r="J301" s="418"/>
      <c r="K301" s="418"/>
      <c r="L301" s="418"/>
      <c r="M301" s="418"/>
    </row>
    <row r="302" spans="1:13" ht="15.75" x14ac:dyDescent="0.3">
      <c r="A302" s="790"/>
      <c r="B302" s="429"/>
      <c r="C302" s="456"/>
      <c r="D302" s="457"/>
      <c r="E302" s="457"/>
      <c r="F302" s="483"/>
      <c r="G302" s="424"/>
      <c r="H302" s="418"/>
      <c r="I302" s="418"/>
      <c r="J302" s="418"/>
      <c r="K302" s="418"/>
      <c r="L302" s="418"/>
      <c r="M302" s="418"/>
    </row>
    <row r="303" spans="1:13" ht="15.75" x14ac:dyDescent="0.3">
      <c r="A303" s="790"/>
      <c r="B303" s="422"/>
      <c r="C303" s="453"/>
      <c r="D303" s="450"/>
      <c r="E303" s="450"/>
      <c r="F303" s="450"/>
      <c r="G303" s="783"/>
      <c r="H303" s="783"/>
      <c r="I303" s="783"/>
      <c r="J303" s="783"/>
      <c r="K303" s="783"/>
      <c r="L303" s="783"/>
      <c r="M303" s="435"/>
    </row>
    <row r="304" spans="1:13" ht="15.75" x14ac:dyDescent="0.3">
      <c r="A304" s="790"/>
      <c r="B304" s="448"/>
      <c r="C304" s="449"/>
      <c r="D304" s="449"/>
      <c r="E304" s="450"/>
      <c r="F304" s="451"/>
      <c r="G304" s="783"/>
      <c r="H304" s="783"/>
      <c r="I304" s="783"/>
      <c r="J304" s="783"/>
      <c r="K304" s="783"/>
      <c r="L304" s="783"/>
      <c r="M304" s="783"/>
    </row>
    <row r="305" spans="1:13" ht="15.75" x14ac:dyDescent="0.3">
      <c r="A305" s="790"/>
      <c r="B305" s="452"/>
      <c r="C305" s="453"/>
      <c r="D305" s="450"/>
      <c r="E305" s="450"/>
      <c r="F305" s="450"/>
      <c r="G305" s="783"/>
      <c r="H305" s="783"/>
      <c r="I305" s="783"/>
      <c r="J305" s="783"/>
      <c r="K305" s="783"/>
      <c r="L305" s="783"/>
      <c r="M305" s="424"/>
    </row>
    <row r="306" spans="1:13" ht="15.75" x14ac:dyDescent="0.3">
      <c r="A306" s="790"/>
      <c r="B306" s="452"/>
      <c r="C306" s="453"/>
      <c r="D306" s="450"/>
      <c r="E306" s="450"/>
      <c r="F306" s="450"/>
      <c r="G306" s="783"/>
      <c r="H306" s="783"/>
      <c r="I306" s="783"/>
      <c r="J306" s="783"/>
      <c r="K306" s="783"/>
      <c r="L306" s="783"/>
      <c r="M306" s="424"/>
    </row>
    <row r="307" spans="1:13" ht="15.75" x14ac:dyDescent="0.3">
      <c r="A307" s="790"/>
      <c r="B307" s="422"/>
      <c r="C307" s="454"/>
      <c r="D307" s="450"/>
      <c r="E307" s="455"/>
      <c r="F307" s="455"/>
      <c r="G307" s="783"/>
      <c r="H307" s="418"/>
      <c r="I307" s="783"/>
      <c r="J307" s="783"/>
      <c r="K307" s="783"/>
      <c r="L307" s="783"/>
      <c r="M307" s="424"/>
    </row>
    <row r="308" spans="1:13" ht="15.75" x14ac:dyDescent="0.3">
      <c r="A308" s="790"/>
      <c r="B308" s="429"/>
      <c r="C308" s="456"/>
      <c r="D308" s="457"/>
      <c r="E308" s="457"/>
      <c r="F308" s="483"/>
      <c r="G308" s="424"/>
      <c r="H308" s="418"/>
      <c r="I308" s="418"/>
      <c r="J308" s="418"/>
      <c r="K308" s="418"/>
      <c r="L308" s="418"/>
      <c r="M308" s="418"/>
    </row>
    <row r="309" spans="1:13" ht="15.75" x14ac:dyDescent="0.3">
      <c r="A309" s="790"/>
      <c r="B309" s="429"/>
      <c r="C309" s="456"/>
      <c r="D309" s="457"/>
      <c r="E309" s="457"/>
      <c r="F309" s="483"/>
      <c r="G309" s="424"/>
      <c r="H309" s="418"/>
      <c r="I309" s="418"/>
      <c r="J309" s="418"/>
      <c r="K309" s="418"/>
      <c r="L309" s="418"/>
      <c r="M309" s="418"/>
    </row>
    <row r="310" spans="1:13" ht="15.75" x14ac:dyDescent="0.3">
      <c r="A310" s="790"/>
      <c r="B310" s="422"/>
      <c r="C310" s="453"/>
      <c r="D310" s="450"/>
      <c r="E310" s="450"/>
      <c r="F310" s="450"/>
      <c r="G310" s="783"/>
      <c r="H310" s="783"/>
      <c r="I310" s="783"/>
      <c r="J310" s="783"/>
      <c r="K310" s="783"/>
      <c r="L310" s="783"/>
      <c r="M310" s="435"/>
    </row>
    <row r="311" spans="1:13" x14ac:dyDescent="0.25">
      <c r="A311" s="438"/>
      <c r="B311" s="422"/>
      <c r="C311" s="3"/>
      <c r="D311" s="3"/>
      <c r="E311" s="449"/>
      <c r="F311" s="467"/>
      <c r="G311" s="783"/>
      <c r="H311" s="783"/>
      <c r="I311" s="783"/>
      <c r="J311" s="783"/>
      <c r="K311" s="783"/>
      <c r="L311" s="783"/>
      <c r="M311" s="783"/>
    </row>
    <row r="312" spans="1:13" x14ac:dyDescent="0.25">
      <c r="A312" s="438"/>
      <c r="B312" s="422"/>
      <c r="C312" s="430"/>
      <c r="D312" s="427"/>
      <c r="E312" s="450"/>
      <c r="F312" s="483"/>
      <c r="G312" s="783"/>
      <c r="H312" s="783"/>
      <c r="I312" s="783"/>
      <c r="J312" s="783"/>
      <c r="K312" s="783"/>
      <c r="L312" s="783"/>
      <c r="M312" s="424"/>
    </row>
    <row r="313" spans="1:13" x14ac:dyDescent="0.25">
      <c r="A313" s="438"/>
      <c r="B313" s="422"/>
      <c r="C313" s="479"/>
      <c r="D313" s="444"/>
      <c r="E313" s="480"/>
      <c r="F313" s="441"/>
      <c r="G313" s="418"/>
      <c r="H313" s="418"/>
      <c r="I313" s="418"/>
      <c r="J313" s="418"/>
      <c r="K313" s="418"/>
      <c r="L313" s="418"/>
      <c r="M313" s="424"/>
    </row>
    <row r="314" spans="1:13" x14ac:dyDescent="0.25">
      <c r="A314" s="438"/>
      <c r="B314" s="422"/>
      <c r="C314" s="430"/>
      <c r="D314" s="427"/>
      <c r="E314" s="450"/>
      <c r="F314" s="483"/>
      <c r="G314" s="783"/>
      <c r="H314" s="783"/>
      <c r="I314" s="783"/>
      <c r="J314" s="783"/>
      <c r="K314" s="783"/>
      <c r="L314" s="418"/>
      <c r="M314" s="424"/>
    </row>
    <row r="315" spans="1:13" x14ac:dyDescent="0.25">
      <c r="A315" s="438"/>
      <c r="B315" s="422"/>
      <c r="C315" s="430"/>
      <c r="D315" s="427"/>
      <c r="E315" s="450"/>
      <c r="F315" s="483"/>
      <c r="G315" s="783"/>
      <c r="H315" s="783"/>
      <c r="I315" s="783"/>
      <c r="J315" s="783"/>
      <c r="K315" s="783"/>
      <c r="L315" s="418"/>
      <c r="M315" s="424"/>
    </row>
    <row r="316" spans="1:13" x14ac:dyDescent="0.25">
      <c r="A316" s="438"/>
      <c r="B316" s="422"/>
      <c r="C316" s="430"/>
      <c r="D316" s="427"/>
      <c r="E316" s="450"/>
      <c r="F316" s="483"/>
      <c r="G316" s="783"/>
      <c r="H316" s="783"/>
      <c r="I316" s="783"/>
      <c r="J316" s="783"/>
      <c r="K316" s="783"/>
      <c r="L316" s="418"/>
      <c r="M316" s="424"/>
    </row>
    <row r="317" spans="1:13" x14ac:dyDescent="0.25">
      <c r="A317" s="438"/>
      <c r="B317" s="422"/>
      <c r="C317" s="430"/>
      <c r="D317" s="427"/>
      <c r="E317" s="450"/>
      <c r="F317" s="483"/>
      <c r="G317" s="783"/>
      <c r="H317" s="783"/>
      <c r="I317" s="783"/>
      <c r="J317" s="783"/>
      <c r="K317" s="783"/>
      <c r="L317" s="418"/>
      <c r="M317" s="424"/>
    </row>
    <row r="318" spans="1:13" x14ac:dyDescent="0.25">
      <c r="A318" s="438"/>
      <c r="B318" s="422"/>
      <c r="C318" s="430"/>
      <c r="D318" s="427"/>
      <c r="E318" s="450"/>
      <c r="F318" s="483"/>
      <c r="G318" s="783"/>
      <c r="H318" s="783"/>
      <c r="I318" s="783"/>
      <c r="J318" s="783"/>
      <c r="K318" s="783"/>
      <c r="L318" s="418"/>
      <c r="M318" s="424"/>
    </row>
    <row r="319" spans="1:13" x14ac:dyDescent="0.25">
      <c r="A319" s="438"/>
      <c r="B319" s="422"/>
      <c r="C319" s="430"/>
      <c r="D319" s="427"/>
      <c r="E319" s="791"/>
      <c r="F319" s="483"/>
      <c r="G319" s="783"/>
      <c r="H319" s="783"/>
      <c r="I319" s="783"/>
      <c r="J319" s="783"/>
      <c r="K319" s="783"/>
      <c r="L319" s="418"/>
      <c r="M319" s="424"/>
    </row>
    <row r="320" spans="1:13" x14ac:dyDescent="0.25">
      <c r="A320" s="438"/>
      <c r="B320" s="422"/>
      <c r="C320" s="430"/>
      <c r="D320" s="427"/>
      <c r="E320" s="450"/>
      <c r="F320" s="483"/>
      <c r="G320" s="783"/>
      <c r="H320" s="783"/>
      <c r="I320" s="783"/>
      <c r="J320" s="783"/>
      <c r="K320" s="783"/>
      <c r="L320" s="418"/>
      <c r="M320" s="424"/>
    </row>
    <row r="321" spans="1:13" x14ac:dyDescent="0.25">
      <c r="A321" s="438"/>
      <c r="B321" s="422"/>
      <c r="C321" s="430"/>
      <c r="D321" s="427"/>
      <c r="E321" s="450"/>
      <c r="F321" s="483"/>
      <c r="G321" s="783"/>
      <c r="H321" s="783"/>
      <c r="I321" s="783"/>
      <c r="J321" s="783"/>
      <c r="K321" s="783"/>
      <c r="L321" s="418"/>
      <c r="M321" s="424"/>
    </row>
    <row r="322" spans="1:13" x14ac:dyDescent="0.25">
      <c r="A322" s="476"/>
      <c r="B322" s="422"/>
      <c r="C322" s="671"/>
      <c r="D322" s="3"/>
      <c r="E322" s="436"/>
      <c r="F322" s="436"/>
      <c r="G322" s="788"/>
      <c r="H322" s="788"/>
      <c r="I322" s="788"/>
      <c r="J322" s="788"/>
      <c r="K322" s="788"/>
      <c r="L322" s="788"/>
      <c r="M322" s="788"/>
    </row>
    <row r="323" spans="1:13" x14ac:dyDescent="0.25">
      <c r="A323" s="476"/>
      <c r="B323" s="437"/>
      <c r="C323" s="438"/>
      <c r="D323" s="439"/>
      <c r="E323" s="440"/>
      <c r="F323" s="441"/>
      <c r="G323" s="783"/>
      <c r="H323" s="783"/>
      <c r="I323" s="783"/>
      <c r="J323" s="783"/>
      <c r="K323" s="783"/>
      <c r="L323" s="783"/>
      <c r="M323" s="424"/>
    </row>
    <row r="324" spans="1:13" x14ac:dyDescent="0.25">
      <c r="A324" s="476"/>
      <c r="B324" s="422"/>
      <c r="C324" s="430"/>
      <c r="D324" s="427"/>
      <c r="E324" s="441"/>
      <c r="F324" s="441"/>
      <c r="G324" s="783"/>
      <c r="H324" s="783"/>
      <c r="I324" s="783"/>
      <c r="J324" s="783"/>
      <c r="K324" s="783"/>
      <c r="L324" s="783"/>
      <c r="M324" s="424"/>
    </row>
    <row r="325" spans="1:13" x14ac:dyDescent="0.25">
      <c r="A325" s="476"/>
      <c r="B325" s="437"/>
      <c r="C325" s="430"/>
      <c r="D325" s="439"/>
      <c r="E325" s="441"/>
      <c r="F325" s="441"/>
      <c r="G325" s="783"/>
      <c r="H325" s="783"/>
      <c r="I325" s="783"/>
      <c r="J325" s="783"/>
      <c r="K325" s="783"/>
      <c r="L325" s="783"/>
      <c r="M325" s="424"/>
    </row>
    <row r="326" spans="1:13" x14ac:dyDescent="0.25">
      <c r="A326" s="476"/>
      <c r="B326" s="429"/>
      <c r="C326" s="438"/>
      <c r="D326" s="427"/>
      <c r="E326" s="442"/>
      <c r="F326" s="441"/>
      <c r="G326" s="783"/>
      <c r="H326" s="418"/>
      <c r="I326" s="783"/>
      <c r="J326" s="783"/>
      <c r="K326" s="783"/>
      <c r="L326" s="783"/>
      <c r="M326" s="424"/>
    </row>
    <row r="327" spans="1:13" x14ac:dyDescent="0.25">
      <c r="A327" s="476"/>
      <c r="B327" s="437"/>
      <c r="C327" s="438"/>
      <c r="D327" s="427"/>
      <c r="E327" s="443"/>
      <c r="F327" s="444"/>
      <c r="G327" s="783"/>
      <c r="H327" s="418"/>
      <c r="I327" s="783"/>
      <c r="J327" s="783"/>
      <c r="K327" s="783"/>
      <c r="L327" s="783"/>
      <c r="M327" s="424"/>
    </row>
    <row r="328" spans="1:13" x14ac:dyDescent="0.25">
      <c r="A328" s="476"/>
      <c r="B328" s="437"/>
      <c r="C328" s="438"/>
      <c r="D328" s="427"/>
      <c r="E328" s="443"/>
      <c r="F328" s="441"/>
      <c r="G328" s="783"/>
      <c r="H328" s="418"/>
      <c r="I328" s="783"/>
      <c r="J328" s="783"/>
      <c r="K328" s="783"/>
      <c r="L328" s="783"/>
      <c r="M328" s="424"/>
    </row>
    <row r="329" spans="1:13" x14ac:dyDescent="0.25">
      <c r="A329" s="476"/>
      <c r="B329" s="429"/>
      <c r="C329" s="438"/>
      <c r="D329" s="427"/>
      <c r="E329" s="445"/>
      <c r="F329" s="441"/>
      <c r="G329" s="783"/>
      <c r="H329" s="418"/>
      <c r="I329" s="783"/>
      <c r="J329" s="783"/>
      <c r="K329" s="783"/>
      <c r="L329" s="783"/>
      <c r="M329" s="424"/>
    </row>
    <row r="330" spans="1:13" x14ac:dyDescent="0.25">
      <c r="A330" s="476"/>
      <c r="B330" s="437"/>
      <c r="C330" s="426"/>
      <c r="D330" s="446"/>
      <c r="E330" s="440"/>
      <c r="F330" s="441"/>
      <c r="G330" s="783"/>
      <c r="H330" s="418"/>
      <c r="I330" s="783"/>
      <c r="J330" s="783"/>
      <c r="K330" s="783"/>
      <c r="L330" s="783"/>
      <c r="M330" s="424"/>
    </row>
    <row r="331" spans="1:13" x14ac:dyDescent="0.25">
      <c r="A331" s="476"/>
      <c r="B331" s="447"/>
      <c r="C331" s="426"/>
      <c r="D331" s="446"/>
      <c r="E331" s="445"/>
      <c r="F331" s="441"/>
      <c r="G331" s="783"/>
      <c r="H331" s="418"/>
      <c r="I331" s="783"/>
      <c r="J331" s="783"/>
      <c r="K331" s="783"/>
      <c r="L331" s="783"/>
      <c r="M331" s="424"/>
    </row>
    <row r="332" spans="1:13" x14ac:dyDescent="0.25">
      <c r="A332" s="462"/>
      <c r="B332" s="429"/>
      <c r="C332" s="460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</row>
    <row r="333" spans="1:13" x14ac:dyDescent="0.25">
      <c r="A333" s="462"/>
      <c r="B333" s="429"/>
      <c r="C333" s="459"/>
      <c r="D333" s="416"/>
      <c r="E333" s="417"/>
      <c r="F333" s="417"/>
      <c r="G333" s="170"/>
      <c r="H333" s="418"/>
      <c r="I333" s="418"/>
      <c r="J333" s="418"/>
      <c r="K333" s="418"/>
      <c r="L333" s="418"/>
      <c r="M333" s="418"/>
    </row>
    <row r="334" spans="1:13" x14ac:dyDescent="0.25">
      <c r="A334" s="462"/>
      <c r="B334" s="429"/>
      <c r="C334" s="459"/>
      <c r="D334" s="416"/>
      <c r="E334" s="417"/>
      <c r="F334" s="417"/>
      <c r="G334" s="418"/>
      <c r="H334" s="418"/>
      <c r="I334" s="418"/>
      <c r="J334" s="418"/>
      <c r="K334" s="418"/>
      <c r="L334" s="418"/>
      <c r="M334" s="418"/>
    </row>
    <row r="335" spans="1:13" x14ac:dyDescent="0.25">
      <c r="A335" s="462"/>
      <c r="B335" s="429"/>
      <c r="C335" s="461"/>
      <c r="D335" s="416"/>
      <c r="E335" s="417"/>
      <c r="F335" s="417"/>
      <c r="G335" s="418"/>
      <c r="H335" s="418"/>
      <c r="I335" s="418"/>
      <c r="J335" s="418"/>
      <c r="K335" s="418"/>
      <c r="L335" s="418"/>
      <c r="M335" s="418"/>
    </row>
    <row r="336" spans="1:13" x14ac:dyDescent="0.25">
      <c r="A336" s="462"/>
      <c r="B336" s="463"/>
      <c r="C336" s="459"/>
      <c r="D336" s="416"/>
      <c r="E336" s="417"/>
      <c r="F336" s="417"/>
      <c r="G336" s="170"/>
      <c r="H336" s="418"/>
      <c r="I336" s="418"/>
      <c r="J336" s="418"/>
      <c r="K336" s="418"/>
      <c r="L336" s="418"/>
      <c r="M336" s="418"/>
    </row>
    <row r="337" spans="1:13" x14ac:dyDescent="0.25">
      <c r="A337" s="462"/>
      <c r="B337" s="463"/>
      <c r="C337" s="459"/>
      <c r="D337" s="416"/>
      <c r="E337" s="417"/>
      <c r="F337" s="417"/>
      <c r="G337" s="418"/>
      <c r="H337" s="418"/>
      <c r="I337" s="418"/>
      <c r="J337" s="418"/>
      <c r="K337" s="418"/>
      <c r="L337" s="418"/>
      <c r="M337" s="418"/>
    </row>
    <row r="338" spans="1:13" x14ac:dyDescent="0.25">
      <c r="A338" s="792"/>
      <c r="B338" s="448"/>
      <c r="C338" s="449"/>
      <c r="D338" s="449"/>
      <c r="E338" s="450"/>
      <c r="F338" s="451"/>
      <c r="G338" s="783"/>
      <c r="H338" s="783"/>
      <c r="I338" s="783"/>
      <c r="J338" s="783"/>
      <c r="K338" s="783"/>
      <c r="L338" s="783"/>
      <c r="M338" s="783"/>
    </row>
    <row r="339" spans="1:13" x14ac:dyDescent="0.25">
      <c r="A339" s="792"/>
      <c r="B339" s="437"/>
      <c r="C339" s="453"/>
      <c r="D339" s="450"/>
      <c r="E339" s="450"/>
      <c r="F339" s="483"/>
      <c r="G339" s="783"/>
      <c r="H339" s="783"/>
      <c r="I339" s="418"/>
      <c r="J339" s="418"/>
      <c r="K339" s="783"/>
      <c r="L339" s="783"/>
      <c r="M339" s="418"/>
    </row>
    <row r="340" spans="1:13" x14ac:dyDescent="0.25">
      <c r="A340" s="792"/>
      <c r="B340" s="437"/>
      <c r="C340" s="454"/>
      <c r="D340" s="450"/>
      <c r="E340" s="450"/>
      <c r="F340" s="483"/>
      <c r="G340" s="783"/>
      <c r="H340" s="783"/>
      <c r="I340" s="783"/>
      <c r="J340" s="783"/>
      <c r="K340" s="783"/>
      <c r="L340" s="783"/>
      <c r="M340" s="418"/>
    </row>
    <row r="341" spans="1:13" x14ac:dyDescent="0.25">
      <c r="A341" s="792"/>
      <c r="B341" s="422"/>
      <c r="C341" s="453"/>
      <c r="D341" s="450"/>
      <c r="E341" s="450"/>
      <c r="F341" s="483"/>
      <c r="G341" s="783"/>
      <c r="H341" s="783"/>
      <c r="I341" s="783"/>
      <c r="J341" s="783"/>
      <c r="K341" s="783"/>
      <c r="L341" s="783"/>
      <c r="M341" s="418"/>
    </row>
    <row r="342" spans="1:13" ht="15.75" x14ac:dyDescent="0.3">
      <c r="A342" s="792"/>
      <c r="B342" s="793"/>
      <c r="C342" s="794"/>
      <c r="D342" s="439"/>
      <c r="E342" s="440"/>
      <c r="F342" s="441"/>
      <c r="G342" s="783"/>
      <c r="H342" s="783"/>
      <c r="I342" s="783"/>
      <c r="J342" s="783"/>
      <c r="K342" s="783"/>
      <c r="L342" s="783"/>
      <c r="M342" s="418"/>
    </row>
    <row r="343" spans="1:13" x14ac:dyDescent="0.25">
      <c r="A343" s="792"/>
      <c r="B343" s="484"/>
      <c r="C343" s="449"/>
      <c r="D343" s="449"/>
      <c r="E343" s="450"/>
      <c r="F343" s="451"/>
      <c r="G343" s="783"/>
      <c r="H343" s="783"/>
      <c r="I343" s="783"/>
      <c r="J343" s="783"/>
      <c r="K343" s="783"/>
      <c r="L343" s="783"/>
      <c r="M343" s="783"/>
    </row>
    <row r="344" spans="1:13" x14ac:dyDescent="0.25">
      <c r="A344" s="792"/>
      <c r="B344" s="485"/>
      <c r="C344" s="453"/>
      <c r="D344" s="450"/>
      <c r="E344" s="450"/>
      <c r="F344" s="483"/>
      <c r="G344" s="783"/>
      <c r="H344" s="783"/>
      <c r="I344" s="418"/>
      <c r="J344" s="418"/>
      <c r="K344" s="783"/>
      <c r="L344" s="783"/>
      <c r="M344" s="418"/>
    </row>
    <row r="345" spans="1:13" x14ac:dyDescent="0.25">
      <c r="A345" s="792"/>
      <c r="B345" s="485"/>
      <c r="C345" s="453"/>
      <c r="D345" s="450"/>
      <c r="E345" s="450"/>
      <c r="F345" s="483"/>
      <c r="G345" s="783"/>
      <c r="H345" s="783"/>
      <c r="I345" s="783"/>
      <c r="J345" s="783"/>
      <c r="K345" s="783"/>
      <c r="L345" s="783"/>
      <c r="M345" s="418"/>
    </row>
    <row r="346" spans="1:13" x14ac:dyDescent="0.25">
      <c r="A346" s="792"/>
      <c r="B346" s="485"/>
      <c r="C346" s="453"/>
      <c r="D346" s="450"/>
      <c r="E346" s="483"/>
      <c r="F346" s="483"/>
      <c r="G346" s="783"/>
      <c r="H346" s="783"/>
      <c r="I346" s="783"/>
      <c r="J346" s="783"/>
      <c r="K346" s="783"/>
      <c r="L346" s="783"/>
      <c r="M346" s="418"/>
    </row>
    <row r="347" spans="1:13" x14ac:dyDescent="0.25">
      <c r="A347" s="792"/>
      <c r="B347" s="450"/>
      <c r="C347" s="453"/>
      <c r="D347" s="450"/>
      <c r="E347" s="450"/>
      <c r="F347" s="483"/>
      <c r="G347" s="783"/>
      <c r="H347" s="783"/>
      <c r="I347" s="783"/>
      <c r="J347" s="783"/>
      <c r="K347" s="783"/>
      <c r="L347" s="783"/>
      <c r="M347" s="418"/>
    </row>
    <row r="348" spans="1:13" x14ac:dyDescent="0.25">
      <c r="A348" s="438"/>
      <c r="B348" s="422"/>
      <c r="C348" s="3"/>
      <c r="D348" s="3"/>
      <c r="E348" s="3"/>
      <c r="F348" s="795"/>
      <c r="G348" s="796"/>
      <c r="H348" s="796"/>
      <c r="I348" s="796"/>
      <c r="J348" s="796"/>
      <c r="K348" s="796"/>
      <c r="L348" s="796"/>
      <c r="M348" s="796"/>
    </row>
    <row r="349" spans="1:13" x14ac:dyDescent="0.25">
      <c r="A349" s="438"/>
      <c r="B349" s="422"/>
      <c r="C349" s="430"/>
      <c r="D349" s="430"/>
      <c r="E349" s="427"/>
      <c r="F349" s="483"/>
      <c r="G349" s="797"/>
      <c r="H349" s="797"/>
      <c r="I349" s="797"/>
      <c r="J349" s="797"/>
      <c r="K349" s="797"/>
      <c r="L349" s="797"/>
      <c r="M349" s="418"/>
    </row>
    <row r="350" spans="1:13" x14ac:dyDescent="0.25">
      <c r="A350" s="438"/>
      <c r="B350" s="422"/>
      <c r="C350" s="430"/>
      <c r="D350" s="427"/>
      <c r="E350" s="427"/>
      <c r="F350" s="483"/>
      <c r="G350" s="797"/>
      <c r="H350" s="797"/>
      <c r="I350" s="797"/>
      <c r="J350" s="797"/>
      <c r="K350" s="797"/>
      <c r="L350" s="797"/>
      <c r="M350" s="418"/>
    </row>
    <row r="351" spans="1:13" x14ac:dyDescent="0.25">
      <c r="A351" s="438"/>
      <c r="B351" s="437"/>
      <c r="C351" s="3"/>
      <c r="D351" s="3"/>
      <c r="E351" s="3"/>
      <c r="F351" s="451"/>
      <c r="G351" s="796"/>
      <c r="H351" s="796"/>
      <c r="I351" s="796"/>
      <c r="J351" s="796"/>
      <c r="K351" s="796"/>
      <c r="L351" s="796"/>
      <c r="M351" s="796"/>
    </row>
    <row r="352" spans="1:13" x14ac:dyDescent="0.25">
      <c r="A352" s="438"/>
      <c r="B352" s="782"/>
      <c r="C352" s="528"/>
      <c r="D352" s="427"/>
      <c r="E352" s="798"/>
      <c r="F352" s="483"/>
      <c r="G352" s="797"/>
      <c r="H352" s="797"/>
      <c r="I352" s="418"/>
      <c r="J352" s="418"/>
      <c r="K352" s="783"/>
      <c r="L352" s="783"/>
      <c r="M352" s="418"/>
    </row>
    <row r="353" spans="1:13" x14ac:dyDescent="0.25">
      <c r="A353" s="438"/>
      <c r="B353" s="782"/>
      <c r="C353" s="528"/>
      <c r="D353" s="427"/>
      <c r="E353" s="427"/>
      <c r="F353" s="483"/>
      <c r="G353" s="783"/>
      <c r="H353" s="783"/>
      <c r="I353" s="783"/>
      <c r="J353" s="783"/>
      <c r="K353" s="783"/>
      <c r="L353" s="783"/>
      <c r="M353" s="418"/>
    </row>
    <row r="354" spans="1:13" x14ac:dyDescent="0.25">
      <c r="A354" s="438"/>
      <c r="B354" s="422"/>
      <c r="C354" s="528"/>
      <c r="D354" s="427"/>
      <c r="E354" s="427"/>
      <c r="F354" s="483"/>
      <c r="G354" s="783"/>
      <c r="H354" s="783"/>
      <c r="I354" s="783"/>
      <c r="J354" s="783"/>
      <c r="K354" s="783"/>
      <c r="L354" s="783"/>
      <c r="M354" s="418"/>
    </row>
    <row r="355" spans="1:13" x14ac:dyDescent="0.25">
      <c r="A355" s="782"/>
      <c r="B355" s="437"/>
      <c r="C355" s="465"/>
      <c r="D355" s="3"/>
      <c r="E355" s="467"/>
      <c r="F355" s="467"/>
      <c r="G355" s="467"/>
      <c r="H355" s="467"/>
      <c r="I355" s="467"/>
      <c r="J355" s="467"/>
      <c r="K355" s="467"/>
      <c r="L355" s="467"/>
      <c r="M355" s="467"/>
    </row>
    <row r="356" spans="1:13" x14ac:dyDescent="0.25">
      <c r="A356" s="782"/>
      <c r="B356" s="437"/>
      <c r="C356" s="430"/>
      <c r="D356" s="526"/>
      <c r="E356" s="445"/>
      <c r="F356" s="445"/>
      <c r="G356" s="424"/>
      <c r="H356" s="424"/>
      <c r="I356" s="424"/>
      <c r="J356" s="424"/>
      <c r="K356" s="424"/>
      <c r="L356" s="424"/>
      <c r="M356" s="418"/>
    </row>
    <row r="357" spans="1:13" x14ac:dyDescent="0.25">
      <c r="A357" s="782"/>
      <c r="B357" s="437"/>
      <c r="C357" s="527"/>
      <c r="D357" s="427"/>
      <c r="E357" s="784"/>
      <c r="F357" s="424"/>
      <c r="G357" s="424"/>
      <c r="H357" s="424"/>
      <c r="I357" s="424"/>
      <c r="J357" s="424"/>
      <c r="K357" s="424"/>
      <c r="L357" s="424"/>
      <c r="M357" s="418"/>
    </row>
    <row r="358" spans="1:13" x14ac:dyDescent="0.25">
      <c r="A358" s="782"/>
      <c r="B358" s="437"/>
      <c r="C358" s="527"/>
      <c r="D358" s="427"/>
      <c r="E358" s="784"/>
      <c r="F358" s="424"/>
      <c r="G358" s="424"/>
      <c r="H358" s="424"/>
      <c r="I358" s="424"/>
      <c r="J358" s="424"/>
      <c r="K358" s="424"/>
      <c r="L358" s="424"/>
      <c r="M358" s="418"/>
    </row>
    <row r="359" spans="1:13" x14ac:dyDescent="0.25">
      <c r="A359" s="782"/>
      <c r="B359" s="437"/>
      <c r="C359" s="527"/>
      <c r="D359" s="427"/>
      <c r="E359" s="424"/>
      <c r="F359" s="424"/>
      <c r="G359" s="424"/>
      <c r="H359" s="424"/>
      <c r="I359" s="424"/>
      <c r="J359" s="424"/>
      <c r="K359" s="424"/>
      <c r="L359" s="424"/>
      <c r="M359" s="418"/>
    </row>
    <row r="360" spans="1:13" x14ac:dyDescent="0.25">
      <c r="A360" s="782"/>
      <c r="B360" s="437"/>
      <c r="C360" s="3"/>
      <c r="D360" s="3"/>
      <c r="E360" s="467"/>
      <c r="F360" s="467"/>
      <c r="G360" s="467"/>
      <c r="H360" s="467"/>
      <c r="I360" s="467"/>
      <c r="J360" s="467"/>
      <c r="K360" s="467"/>
      <c r="L360" s="467"/>
      <c r="M360" s="467"/>
    </row>
    <row r="361" spans="1:13" x14ac:dyDescent="0.25">
      <c r="A361" s="782"/>
      <c r="B361" s="437"/>
      <c r="C361" s="430"/>
      <c r="D361" s="526"/>
      <c r="E361" s="445"/>
      <c r="F361" s="441"/>
      <c r="G361" s="424"/>
      <c r="H361" s="424"/>
      <c r="I361" s="424"/>
      <c r="J361" s="424"/>
      <c r="K361" s="424"/>
      <c r="L361" s="424"/>
      <c r="M361" s="418"/>
    </row>
    <row r="362" spans="1:13" x14ac:dyDescent="0.25">
      <c r="A362" s="782"/>
      <c r="B362" s="437"/>
      <c r="C362" s="527"/>
      <c r="D362" s="427"/>
      <c r="E362" s="784"/>
      <c r="F362" s="483"/>
      <c r="G362" s="424"/>
      <c r="H362" s="424"/>
      <c r="I362" s="424"/>
      <c r="J362" s="424"/>
      <c r="K362" s="424"/>
      <c r="L362" s="424"/>
      <c r="M362" s="418"/>
    </row>
    <row r="363" spans="1:13" x14ac:dyDescent="0.25">
      <c r="A363" s="782"/>
      <c r="B363" s="437"/>
      <c r="C363" s="527"/>
      <c r="D363" s="427"/>
      <c r="E363" s="784"/>
      <c r="F363" s="483"/>
      <c r="G363" s="424"/>
      <c r="H363" s="424"/>
      <c r="I363" s="424"/>
      <c r="J363" s="424"/>
      <c r="K363" s="424"/>
      <c r="L363" s="424"/>
      <c r="M363" s="418"/>
    </row>
    <row r="364" spans="1:13" x14ac:dyDescent="0.25">
      <c r="A364" s="782"/>
      <c r="B364" s="437"/>
      <c r="C364" s="527"/>
      <c r="D364" s="427"/>
      <c r="E364" s="424"/>
      <c r="F364" s="424"/>
      <c r="G364" s="424"/>
      <c r="H364" s="424"/>
      <c r="I364" s="424"/>
      <c r="J364" s="424"/>
      <c r="K364" s="424"/>
      <c r="L364" s="424"/>
      <c r="M364" s="418"/>
    </row>
    <row r="365" spans="1:13" x14ac:dyDescent="0.25">
      <c r="A365" s="427"/>
      <c r="B365" s="429"/>
      <c r="C365" s="459"/>
      <c r="D365" s="416"/>
      <c r="E365" s="417"/>
      <c r="F365" s="417"/>
      <c r="G365" s="418"/>
      <c r="H365" s="418"/>
      <c r="I365" s="418"/>
      <c r="J365" s="418"/>
      <c r="K365" s="418"/>
      <c r="L365" s="418"/>
      <c r="M365" s="418"/>
    </row>
    <row r="366" spans="1:13" x14ac:dyDescent="0.25">
      <c r="A366" s="462"/>
      <c r="B366" s="463"/>
      <c r="C366" s="430"/>
      <c r="D366" s="464"/>
      <c r="E366" s="417"/>
      <c r="F366" s="417"/>
      <c r="G366" s="418"/>
      <c r="H366" s="418"/>
      <c r="I366" s="170"/>
      <c r="J366" s="170"/>
      <c r="K366" s="170"/>
      <c r="L366" s="170"/>
      <c r="M366" s="418"/>
    </row>
    <row r="367" spans="1:13" x14ac:dyDescent="0.25">
      <c r="A367" s="462"/>
      <c r="B367" s="463"/>
      <c r="C367" s="461"/>
      <c r="D367" s="464"/>
      <c r="E367" s="417"/>
      <c r="F367" s="417"/>
      <c r="G367" s="418"/>
      <c r="H367" s="170"/>
      <c r="I367" s="170"/>
      <c r="J367" s="170"/>
      <c r="K367" s="170"/>
      <c r="L367" s="170"/>
      <c r="M367" s="418"/>
    </row>
    <row r="368" spans="1:13" x14ac:dyDescent="0.25">
      <c r="A368" s="462"/>
      <c r="B368" s="437"/>
      <c r="C368" s="438"/>
      <c r="D368" s="464"/>
      <c r="E368" s="428"/>
      <c r="F368" s="458"/>
      <c r="G368" s="170"/>
      <c r="H368" s="170"/>
      <c r="I368" s="418"/>
      <c r="J368" s="418"/>
      <c r="K368" s="418"/>
      <c r="L368" s="424"/>
      <c r="M368" s="424"/>
    </row>
    <row r="369" spans="1:13" x14ac:dyDescent="0.25">
      <c r="A369" s="462"/>
      <c r="B369" s="437"/>
      <c r="C369" s="438"/>
      <c r="D369" s="464"/>
      <c r="E369" s="428"/>
      <c r="F369" s="458"/>
      <c r="G369" s="170"/>
      <c r="H369" s="170"/>
      <c r="I369" s="418"/>
      <c r="J369" s="418"/>
      <c r="K369" s="418"/>
      <c r="L369" s="418"/>
      <c r="M369" s="424"/>
    </row>
    <row r="370" spans="1:13" x14ac:dyDescent="0.25">
      <c r="A370" s="462"/>
      <c r="B370" s="437"/>
      <c r="C370" s="438"/>
      <c r="D370" s="464"/>
      <c r="E370" s="428"/>
      <c r="F370" s="458"/>
      <c r="G370" s="170"/>
      <c r="H370" s="170"/>
      <c r="I370" s="418"/>
      <c r="J370" s="418"/>
      <c r="K370" s="418"/>
      <c r="L370" s="424"/>
      <c r="M370" s="424"/>
    </row>
    <row r="371" spans="1:13" x14ac:dyDescent="0.25">
      <c r="A371" s="462"/>
      <c r="B371" s="437"/>
      <c r="C371" s="438"/>
      <c r="D371" s="464"/>
      <c r="E371" s="428"/>
      <c r="F371" s="417"/>
      <c r="G371" s="418"/>
      <c r="H371" s="418"/>
      <c r="I371" s="418"/>
      <c r="J371" s="418"/>
      <c r="K371" s="418"/>
      <c r="L371" s="424"/>
      <c r="M371" s="424"/>
    </row>
    <row r="372" spans="1:13" x14ac:dyDescent="0.25">
      <c r="A372" s="462"/>
      <c r="B372" s="437"/>
      <c r="C372" s="528"/>
      <c r="D372" s="529"/>
      <c r="E372" s="530"/>
      <c r="F372" s="428"/>
      <c r="G372" s="424"/>
      <c r="H372" s="424"/>
      <c r="I372" s="424"/>
      <c r="J372" s="424"/>
      <c r="K372" s="424"/>
      <c r="L372" s="424"/>
      <c r="M372" s="424"/>
    </row>
    <row r="373" spans="1:13" x14ac:dyDescent="0.25">
      <c r="A373" s="462"/>
      <c r="B373" s="465"/>
      <c r="C373" s="432"/>
      <c r="D373" s="531"/>
      <c r="E373" s="532"/>
      <c r="F373" s="423"/>
      <c r="G373" s="467"/>
      <c r="H373" s="467"/>
      <c r="I373" s="467"/>
      <c r="J373" s="467"/>
      <c r="K373" s="467"/>
      <c r="L373" s="467"/>
      <c r="M373" s="467"/>
    </row>
    <row r="374" spans="1:13" x14ac:dyDescent="0.25">
      <c r="A374" s="802"/>
      <c r="B374" s="803"/>
      <c r="C374" s="466"/>
      <c r="D374" s="802"/>
      <c r="E374" s="802"/>
      <c r="F374" s="802"/>
      <c r="G374" s="804"/>
      <c r="H374" s="804"/>
      <c r="I374" s="804"/>
      <c r="J374" s="804"/>
      <c r="K374" s="804"/>
      <c r="L374" s="804"/>
      <c r="M374" s="804"/>
    </row>
    <row r="375" spans="1:13" x14ac:dyDescent="0.25">
      <c r="A375" s="799"/>
      <c r="B375" s="800"/>
      <c r="C375" s="799"/>
      <c r="D375" s="799"/>
      <c r="E375" s="799"/>
      <c r="F375" s="799"/>
      <c r="G375" s="801"/>
      <c r="H375" s="801"/>
      <c r="I375" s="801"/>
      <c r="J375" s="801"/>
      <c r="K375" s="801"/>
      <c r="L375" s="801"/>
      <c r="M375" s="801"/>
    </row>
    <row r="376" spans="1:13" x14ac:dyDescent="0.25">
      <c r="A376" s="799"/>
      <c r="B376" s="800"/>
      <c r="C376" s="799"/>
      <c r="D376" s="799"/>
      <c r="E376" s="799"/>
      <c r="F376" s="799"/>
      <c r="G376" s="801"/>
      <c r="H376" s="801"/>
      <c r="I376" s="801"/>
      <c r="J376" s="801"/>
      <c r="K376" s="801"/>
      <c r="L376" s="801"/>
      <c r="M376" s="801"/>
    </row>
    <row r="377" spans="1:13" x14ac:dyDescent="0.25">
      <c r="A377" s="799"/>
      <c r="B377" s="800"/>
      <c r="C377" s="799"/>
      <c r="D377" s="799"/>
      <c r="E377" s="799"/>
      <c r="F377" s="799"/>
      <c r="G377" s="801"/>
      <c r="H377" s="801"/>
      <c r="I377" s="801"/>
      <c r="J377" s="801"/>
      <c r="K377" s="801"/>
      <c r="L377" s="801"/>
      <c r="M377" s="801"/>
    </row>
    <row r="378" spans="1:13" x14ac:dyDescent="0.25">
      <c r="A378" s="799"/>
      <c r="B378" s="800"/>
      <c r="C378" s="805"/>
      <c r="D378" s="799"/>
      <c r="E378" s="799"/>
      <c r="F378" s="799"/>
      <c r="G378" s="801"/>
      <c r="H378" s="801"/>
      <c r="I378" s="801"/>
      <c r="J378" s="801"/>
      <c r="K378" s="801"/>
      <c r="L378" s="801"/>
      <c r="M378" s="801"/>
    </row>
    <row r="379" spans="1:13" x14ac:dyDescent="0.25">
      <c r="A379" s="799"/>
      <c r="B379" s="800"/>
      <c r="C379" s="799"/>
      <c r="D379" s="799"/>
      <c r="E379" s="799"/>
      <c r="F379" s="799"/>
      <c r="G379" s="801"/>
      <c r="H379" s="801"/>
      <c r="I379" s="801"/>
      <c r="J379" s="801"/>
      <c r="K379" s="801"/>
      <c r="L379" s="801"/>
      <c r="M379" s="801"/>
    </row>
    <row r="380" spans="1:13" x14ac:dyDescent="0.25">
      <c r="A380" s="799"/>
      <c r="B380" s="800"/>
      <c r="C380" s="799"/>
      <c r="D380" s="799"/>
      <c r="E380" s="799"/>
      <c r="F380" s="799"/>
      <c r="G380" s="801"/>
      <c r="H380" s="801"/>
      <c r="I380" s="801"/>
      <c r="J380" s="801"/>
      <c r="K380" s="801"/>
      <c r="L380" s="801"/>
      <c r="M380" s="801"/>
    </row>
    <row r="381" spans="1:13" x14ac:dyDescent="0.25">
      <c r="A381" s="799"/>
      <c r="B381" s="800"/>
      <c r="C381" s="799"/>
      <c r="D381" s="799"/>
      <c r="E381" s="799"/>
      <c r="F381" s="799"/>
      <c r="G381" s="801"/>
      <c r="H381" s="801"/>
      <c r="I381" s="801"/>
      <c r="J381" s="801"/>
      <c r="K381" s="801"/>
      <c r="L381" s="801"/>
      <c r="M381" s="801"/>
    </row>
    <row r="382" spans="1:13" x14ac:dyDescent="0.25">
      <c r="A382" s="799"/>
      <c r="B382" s="800"/>
      <c r="C382" s="799"/>
      <c r="D382" s="799"/>
      <c r="E382" s="799"/>
      <c r="F382" s="799"/>
      <c r="G382" s="801"/>
      <c r="H382" s="801"/>
      <c r="I382" s="801"/>
      <c r="J382" s="801"/>
      <c r="K382" s="801"/>
      <c r="L382" s="801"/>
      <c r="M382" s="801"/>
    </row>
    <row r="383" spans="1:13" x14ac:dyDescent="0.25">
      <c r="A383" s="799"/>
      <c r="B383" s="800"/>
      <c r="C383" s="799"/>
      <c r="D383" s="799"/>
      <c r="E383" s="799"/>
      <c r="F383" s="799"/>
      <c r="G383" s="801"/>
      <c r="H383" s="801"/>
      <c r="I383" s="801"/>
      <c r="J383" s="801"/>
      <c r="K383" s="801"/>
      <c r="L383" s="801"/>
      <c r="M383" s="801"/>
    </row>
    <row r="384" spans="1:13" x14ac:dyDescent="0.25">
      <c r="A384" s="799"/>
      <c r="B384" s="800"/>
      <c r="C384" s="799"/>
      <c r="D384" s="799"/>
      <c r="E384" s="799"/>
      <c r="F384" s="799"/>
      <c r="G384" s="801"/>
      <c r="H384" s="801"/>
      <c r="I384" s="801"/>
      <c r="J384" s="801"/>
      <c r="K384" s="801"/>
      <c r="L384" s="801"/>
      <c r="M384" s="801"/>
    </row>
    <row r="385" spans="1:13" x14ac:dyDescent="0.25">
      <c r="A385" s="799"/>
      <c r="B385" s="800"/>
      <c r="C385" s="799"/>
      <c r="D385" s="799"/>
      <c r="E385" s="799"/>
      <c r="F385" s="799"/>
      <c r="G385" s="801"/>
      <c r="H385" s="801"/>
      <c r="I385" s="801"/>
      <c r="J385" s="801"/>
      <c r="K385" s="801"/>
      <c r="L385" s="801"/>
      <c r="M385" s="801"/>
    </row>
    <row r="386" spans="1:13" x14ac:dyDescent="0.25">
      <c r="A386" s="799"/>
      <c r="B386" s="800"/>
      <c r="C386" s="799"/>
      <c r="D386" s="799"/>
      <c r="E386" s="799"/>
      <c r="F386" s="799"/>
      <c r="G386" s="801"/>
      <c r="H386" s="801"/>
      <c r="I386" s="801"/>
      <c r="J386" s="801"/>
      <c r="K386" s="801"/>
      <c r="L386" s="801"/>
      <c r="M386" s="801"/>
    </row>
    <row r="387" spans="1:13" x14ac:dyDescent="0.25">
      <c r="A387" s="799"/>
      <c r="B387" s="800"/>
      <c r="C387" s="799"/>
      <c r="D387" s="799"/>
      <c r="E387" s="799"/>
      <c r="F387" s="799"/>
      <c r="G387" s="801"/>
      <c r="H387" s="801"/>
      <c r="I387" s="801"/>
      <c r="J387" s="801"/>
      <c r="K387" s="801"/>
      <c r="L387" s="801"/>
      <c r="M387" s="801"/>
    </row>
    <row r="388" spans="1:13" x14ac:dyDescent="0.25">
      <c r="A388" s="799"/>
      <c r="B388" s="800"/>
      <c r="C388" s="799"/>
      <c r="D388" s="799"/>
      <c r="E388" s="799"/>
      <c r="F388" s="799"/>
      <c r="G388" s="801"/>
      <c r="H388" s="801"/>
      <c r="I388" s="801"/>
      <c r="J388" s="801"/>
      <c r="K388" s="801"/>
      <c r="L388" s="801"/>
      <c r="M388" s="801"/>
    </row>
    <row r="389" spans="1:13" x14ac:dyDescent="0.25">
      <c r="A389" s="799"/>
      <c r="B389" s="800"/>
      <c r="C389" s="799"/>
      <c r="D389" s="799"/>
      <c r="E389" s="799"/>
      <c r="F389" s="799"/>
      <c r="G389" s="801"/>
      <c r="H389" s="801"/>
      <c r="I389" s="801"/>
      <c r="J389" s="801"/>
      <c r="K389" s="801"/>
      <c r="L389" s="801"/>
      <c r="M389" s="801"/>
    </row>
    <row r="390" spans="1:13" x14ac:dyDescent="0.25">
      <c r="A390" s="799"/>
      <c r="B390" s="800"/>
      <c r="C390" s="799"/>
      <c r="D390" s="799"/>
      <c r="E390" s="799"/>
      <c r="F390" s="799"/>
      <c r="G390" s="801"/>
      <c r="H390" s="801"/>
      <c r="I390" s="801"/>
      <c r="J390" s="801"/>
      <c r="K390" s="801"/>
      <c r="L390" s="801"/>
      <c r="M390" s="801"/>
    </row>
    <row r="391" spans="1:13" x14ac:dyDescent="0.25">
      <c r="A391" s="799"/>
      <c r="B391" s="800"/>
      <c r="C391" s="799"/>
      <c r="D391" s="799"/>
      <c r="E391" s="799"/>
      <c r="F391" s="799"/>
      <c r="G391" s="801"/>
      <c r="H391" s="801"/>
      <c r="I391" s="801"/>
      <c r="J391" s="801"/>
      <c r="K391" s="801"/>
      <c r="L391" s="801"/>
      <c r="M391" s="801"/>
    </row>
    <row r="392" spans="1:13" x14ac:dyDescent="0.25">
      <c r="A392" s="799"/>
      <c r="B392" s="800"/>
      <c r="C392" s="799"/>
      <c r="D392" s="799"/>
      <c r="E392" s="799"/>
      <c r="F392" s="799"/>
      <c r="G392" s="801"/>
      <c r="H392" s="801"/>
      <c r="I392" s="801"/>
      <c r="J392" s="801"/>
      <c r="K392" s="801"/>
      <c r="L392" s="801"/>
      <c r="M392" s="801"/>
    </row>
    <row r="393" spans="1:13" x14ac:dyDescent="0.25">
      <c r="A393" s="799"/>
      <c r="B393" s="800"/>
      <c r="C393" s="799"/>
      <c r="D393" s="799"/>
      <c r="E393" s="799"/>
      <c r="F393" s="799"/>
      <c r="G393" s="801"/>
      <c r="H393" s="801"/>
      <c r="I393" s="801"/>
      <c r="J393" s="801"/>
      <c r="K393" s="801"/>
      <c r="L393" s="801"/>
      <c r="M393" s="801"/>
    </row>
    <row r="394" spans="1:13" x14ac:dyDescent="0.25">
      <c r="A394" s="799"/>
      <c r="B394" s="800"/>
      <c r="C394" s="799"/>
      <c r="D394" s="799"/>
      <c r="E394" s="799"/>
      <c r="F394" s="799"/>
      <c r="G394" s="801"/>
      <c r="H394" s="801"/>
      <c r="I394" s="801"/>
      <c r="J394" s="801"/>
      <c r="K394" s="801"/>
      <c r="L394" s="801"/>
      <c r="M394" s="801"/>
    </row>
    <row r="395" spans="1:13" x14ac:dyDescent="0.25">
      <c r="A395" s="799"/>
      <c r="B395" s="800"/>
      <c r="C395" s="799"/>
      <c r="D395" s="799"/>
      <c r="E395" s="799"/>
      <c r="F395" s="799"/>
      <c r="G395" s="801"/>
      <c r="H395" s="801"/>
      <c r="I395" s="801"/>
      <c r="J395" s="801"/>
      <c r="K395" s="801"/>
      <c r="L395" s="801"/>
      <c r="M395" s="801"/>
    </row>
    <row r="396" spans="1:13" x14ac:dyDescent="0.25">
      <c r="A396" s="799"/>
      <c r="B396" s="800"/>
      <c r="C396" s="799"/>
      <c r="D396" s="799"/>
      <c r="E396" s="799"/>
      <c r="F396" s="799"/>
      <c r="G396" s="801"/>
      <c r="H396" s="801"/>
      <c r="I396" s="801"/>
      <c r="J396" s="801"/>
      <c r="K396" s="801"/>
      <c r="L396" s="801"/>
      <c r="M396" s="801"/>
    </row>
    <row r="397" spans="1:13" x14ac:dyDescent="0.25">
      <c r="A397" s="799"/>
      <c r="B397" s="800"/>
      <c r="C397" s="799"/>
      <c r="D397" s="799"/>
      <c r="E397" s="799"/>
      <c r="F397" s="799"/>
      <c r="G397" s="801"/>
      <c r="H397" s="801"/>
      <c r="I397" s="801"/>
      <c r="J397" s="801"/>
      <c r="K397" s="801"/>
      <c r="L397" s="801"/>
      <c r="M397" s="801"/>
    </row>
    <row r="398" spans="1:13" x14ac:dyDescent="0.25">
      <c r="A398" s="799"/>
      <c r="B398" s="800"/>
      <c r="C398" s="799"/>
      <c r="D398" s="799"/>
      <c r="E398" s="799"/>
      <c r="F398" s="799"/>
      <c r="G398" s="801"/>
      <c r="H398" s="801"/>
      <c r="I398" s="801"/>
      <c r="J398" s="801"/>
      <c r="K398" s="801"/>
      <c r="L398" s="801"/>
      <c r="M398" s="801"/>
    </row>
    <row r="399" spans="1:13" x14ac:dyDescent="0.25">
      <c r="A399" s="799"/>
      <c r="B399" s="800"/>
      <c r="C399" s="799"/>
      <c r="D399" s="799"/>
      <c r="E399" s="799"/>
      <c r="F399" s="799"/>
      <c r="G399" s="801"/>
      <c r="H399" s="801"/>
      <c r="I399" s="801"/>
      <c r="J399" s="801"/>
      <c r="K399" s="801"/>
      <c r="L399" s="801"/>
      <c r="M399" s="801"/>
    </row>
    <row r="400" spans="1:13" x14ac:dyDescent="0.25">
      <c r="A400" s="799"/>
      <c r="B400" s="800"/>
      <c r="C400" s="799"/>
      <c r="D400" s="799"/>
      <c r="E400" s="799"/>
      <c r="F400" s="799"/>
      <c r="G400" s="801"/>
      <c r="H400" s="801"/>
      <c r="I400" s="801"/>
      <c r="J400" s="801"/>
      <c r="K400" s="801"/>
      <c r="L400" s="801"/>
      <c r="M400" s="801"/>
    </row>
    <row r="401" spans="1:13" x14ac:dyDescent="0.25">
      <c r="A401" s="799"/>
      <c r="B401" s="800"/>
      <c r="C401" s="799"/>
      <c r="D401" s="799"/>
      <c r="E401" s="799"/>
      <c r="F401" s="799"/>
      <c r="G401" s="801"/>
      <c r="H401" s="801"/>
      <c r="I401" s="801"/>
      <c r="J401" s="801"/>
      <c r="K401" s="801"/>
      <c r="L401" s="801"/>
      <c r="M401" s="801"/>
    </row>
    <row r="402" spans="1:13" x14ac:dyDescent="0.25">
      <c r="A402" s="799"/>
      <c r="B402" s="800"/>
      <c r="C402" s="799"/>
      <c r="D402" s="799"/>
      <c r="E402" s="799"/>
      <c r="F402" s="799"/>
      <c r="G402" s="801"/>
      <c r="H402" s="801"/>
      <c r="I402" s="801"/>
      <c r="J402" s="801"/>
      <c r="K402" s="801"/>
      <c r="L402" s="801"/>
      <c r="M402" s="801"/>
    </row>
    <row r="403" spans="1:13" x14ac:dyDescent="0.25">
      <c r="A403" s="799"/>
      <c r="B403" s="800"/>
      <c r="C403" s="799"/>
      <c r="D403" s="799"/>
      <c r="E403" s="799"/>
      <c r="F403" s="799"/>
      <c r="G403" s="801"/>
      <c r="H403" s="801"/>
      <c r="I403" s="801"/>
      <c r="J403" s="801"/>
      <c r="K403" s="801"/>
      <c r="L403" s="801"/>
      <c r="M403" s="801"/>
    </row>
    <row r="404" spans="1:13" x14ac:dyDescent="0.25">
      <c r="A404" s="799"/>
      <c r="B404" s="800"/>
      <c r="C404" s="799"/>
      <c r="D404" s="799"/>
      <c r="E404" s="799"/>
      <c r="F404" s="799"/>
      <c r="G404" s="801"/>
      <c r="H404" s="801"/>
      <c r="I404" s="801"/>
      <c r="J404" s="801"/>
      <c r="K404" s="801"/>
      <c r="L404" s="801"/>
      <c r="M404" s="801"/>
    </row>
    <row r="405" spans="1:13" x14ac:dyDescent="0.25">
      <c r="A405" s="799"/>
      <c r="B405" s="800"/>
      <c r="C405" s="799"/>
      <c r="D405" s="799"/>
      <c r="E405" s="799"/>
      <c r="F405" s="799"/>
      <c r="G405" s="801"/>
      <c r="H405" s="801"/>
      <c r="I405" s="801"/>
      <c r="J405" s="801"/>
      <c r="K405" s="801"/>
      <c r="L405" s="801"/>
      <c r="M405" s="801"/>
    </row>
    <row r="406" spans="1:13" x14ac:dyDescent="0.25">
      <c r="A406" s="799"/>
      <c r="B406" s="800"/>
      <c r="C406" s="799"/>
      <c r="D406" s="799"/>
      <c r="E406" s="799"/>
      <c r="F406" s="799"/>
      <c r="G406" s="801"/>
      <c r="H406" s="801"/>
      <c r="I406" s="801"/>
      <c r="J406" s="801"/>
      <c r="K406" s="801"/>
      <c r="L406" s="801"/>
      <c r="M406" s="801"/>
    </row>
    <row r="407" spans="1:13" x14ac:dyDescent="0.25">
      <c r="A407" s="799"/>
      <c r="B407" s="800"/>
      <c r="C407" s="799"/>
      <c r="D407" s="799"/>
      <c r="E407" s="799"/>
      <c r="F407" s="799"/>
      <c r="G407" s="801"/>
      <c r="H407" s="801"/>
      <c r="I407" s="801"/>
      <c r="J407" s="801"/>
      <c r="K407" s="801"/>
      <c r="L407" s="801"/>
      <c r="M407" s="801"/>
    </row>
    <row r="408" spans="1:13" x14ac:dyDescent="0.25">
      <c r="A408" s="799"/>
      <c r="B408" s="800"/>
      <c r="C408" s="799"/>
      <c r="D408" s="799"/>
      <c r="E408" s="799"/>
      <c r="F408" s="799"/>
      <c r="G408" s="801"/>
      <c r="H408" s="801"/>
      <c r="I408" s="801"/>
      <c r="J408" s="801"/>
      <c r="K408" s="801"/>
      <c r="L408" s="801"/>
      <c r="M408" s="801"/>
    </row>
    <row r="409" spans="1:13" x14ac:dyDescent="0.25">
      <c r="A409" s="799"/>
      <c r="B409" s="800"/>
      <c r="C409" s="799"/>
      <c r="D409" s="799"/>
      <c r="E409" s="799"/>
      <c r="F409" s="799"/>
      <c r="G409" s="801"/>
      <c r="H409" s="801"/>
      <c r="I409" s="801"/>
      <c r="J409" s="801"/>
      <c r="K409" s="801"/>
      <c r="L409" s="801"/>
      <c r="M409" s="801"/>
    </row>
    <row r="410" spans="1:13" x14ac:dyDescent="0.25">
      <c r="A410" s="799"/>
      <c r="B410" s="800"/>
      <c r="C410" s="799"/>
      <c r="D410" s="799"/>
      <c r="E410" s="799"/>
      <c r="F410" s="799"/>
      <c r="G410" s="801"/>
      <c r="H410" s="801"/>
      <c r="I410" s="801"/>
      <c r="J410" s="801"/>
      <c r="K410" s="801"/>
      <c r="L410" s="801"/>
      <c r="M410" s="801"/>
    </row>
    <row r="411" spans="1:13" x14ac:dyDescent="0.25">
      <c r="A411" s="799"/>
      <c r="B411" s="800"/>
      <c r="C411" s="799"/>
      <c r="D411" s="799"/>
      <c r="E411" s="799"/>
      <c r="F411" s="799"/>
      <c r="G411" s="801"/>
      <c r="H411" s="801"/>
      <c r="I411" s="801"/>
      <c r="J411" s="801"/>
      <c r="K411" s="801"/>
      <c r="L411" s="801"/>
      <c r="M411" s="801"/>
    </row>
    <row r="412" spans="1:13" x14ac:dyDescent="0.25">
      <c r="A412" s="799"/>
      <c r="B412" s="800"/>
      <c r="C412" s="799"/>
      <c r="D412" s="799"/>
      <c r="E412" s="799"/>
      <c r="F412" s="799"/>
      <c r="G412" s="801"/>
      <c r="H412" s="801"/>
      <c r="I412" s="801"/>
      <c r="J412" s="801"/>
      <c r="K412" s="801"/>
      <c r="L412" s="801"/>
      <c r="M412" s="801"/>
    </row>
    <row r="413" spans="1:13" x14ac:dyDescent="0.25">
      <c r="A413" s="799"/>
      <c r="B413" s="800"/>
      <c r="C413" s="799"/>
      <c r="D413" s="799"/>
      <c r="E413" s="799"/>
      <c r="F413" s="799"/>
      <c r="G413" s="801"/>
      <c r="H413" s="801"/>
      <c r="I413" s="801"/>
      <c r="J413" s="801"/>
      <c r="K413" s="801"/>
      <c r="L413" s="801"/>
      <c r="M413" s="801"/>
    </row>
    <row r="414" spans="1:13" x14ac:dyDescent="0.25">
      <c r="A414" s="799"/>
      <c r="B414" s="800"/>
      <c r="C414" s="799"/>
      <c r="D414" s="799"/>
      <c r="E414" s="799"/>
      <c r="F414" s="799"/>
      <c r="G414" s="801"/>
      <c r="H414" s="801"/>
      <c r="I414" s="801"/>
      <c r="J414" s="801"/>
      <c r="K414" s="801"/>
      <c r="L414" s="801"/>
      <c r="M414" s="801"/>
    </row>
    <row r="415" spans="1:13" x14ac:dyDescent="0.25">
      <c r="A415" s="799"/>
      <c r="B415" s="800"/>
      <c r="C415" s="799"/>
      <c r="D415" s="799"/>
      <c r="E415" s="799"/>
      <c r="F415" s="799"/>
      <c r="G415" s="801"/>
      <c r="H415" s="801"/>
      <c r="I415" s="801"/>
      <c r="J415" s="801"/>
      <c r="K415" s="801"/>
      <c r="L415" s="801"/>
      <c r="M415" s="801"/>
    </row>
    <row r="416" spans="1:13" x14ac:dyDescent="0.25">
      <c r="A416" s="799"/>
      <c r="B416" s="800"/>
      <c r="C416" s="799"/>
      <c r="D416" s="799"/>
      <c r="E416" s="799"/>
      <c r="F416" s="799"/>
      <c r="G416" s="801"/>
      <c r="H416" s="801"/>
      <c r="I416" s="801"/>
      <c r="J416" s="801"/>
      <c r="K416" s="801"/>
      <c r="L416" s="801"/>
      <c r="M416" s="801"/>
    </row>
    <row r="417" spans="1:13" x14ac:dyDescent="0.25">
      <c r="A417" s="799"/>
      <c r="B417" s="800"/>
      <c r="C417" s="799"/>
      <c r="D417" s="799"/>
      <c r="E417" s="799"/>
      <c r="F417" s="799"/>
      <c r="G417" s="801"/>
      <c r="H417" s="801"/>
      <c r="I417" s="801"/>
      <c r="J417" s="801"/>
      <c r="K417" s="801"/>
      <c r="L417" s="801"/>
      <c r="M417" s="801"/>
    </row>
    <row r="418" spans="1:13" x14ac:dyDescent="0.25">
      <c r="A418" s="799"/>
      <c r="B418" s="800"/>
      <c r="C418" s="799"/>
      <c r="D418" s="799"/>
      <c r="E418" s="799"/>
      <c r="F418" s="799"/>
      <c r="G418" s="801"/>
      <c r="H418" s="801"/>
      <c r="I418" s="801"/>
      <c r="J418" s="801"/>
      <c r="K418" s="801"/>
      <c r="L418" s="801"/>
      <c r="M418" s="801"/>
    </row>
    <row r="419" spans="1:13" x14ac:dyDescent="0.25">
      <c r="A419" s="799"/>
      <c r="B419" s="800"/>
      <c r="C419" s="799"/>
      <c r="D419" s="799"/>
      <c r="E419" s="799"/>
      <c r="F419" s="799"/>
      <c r="G419" s="801"/>
      <c r="H419" s="801"/>
      <c r="I419" s="801"/>
      <c r="J419" s="801"/>
      <c r="K419" s="801"/>
      <c r="L419" s="801"/>
      <c r="M419" s="801"/>
    </row>
    <row r="420" spans="1:13" x14ac:dyDescent="0.25">
      <c r="A420" s="799"/>
      <c r="B420" s="800"/>
      <c r="C420" s="799"/>
      <c r="D420" s="799"/>
      <c r="E420" s="799"/>
      <c r="F420" s="799"/>
      <c r="G420" s="801"/>
      <c r="H420" s="801"/>
      <c r="I420" s="801"/>
      <c r="J420" s="801"/>
      <c r="K420" s="801"/>
      <c r="L420" s="801"/>
      <c r="M420" s="801"/>
    </row>
    <row r="421" spans="1:13" x14ac:dyDescent="0.25">
      <c r="A421" s="799"/>
      <c r="B421" s="800"/>
      <c r="C421" s="799"/>
      <c r="D421" s="799"/>
      <c r="E421" s="799"/>
      <c r="F421" s="799"/>
      <c r="G421" s="801"/>
      <c r="H421" s="801"/>
      <c r="I421" s="801"/>
      <c r="J421" s="801"/>
      <c r="K421" s="801"/>
      <c r="L421" s="801"/>
      <c r="M421" s="801"/>
    </row>
    <row r="422" spans="1:13" x14ac:dyDescent="0.25">
      <c r="A422" s="799"/>
      <c r="B422" s="800"/>
      <c r="C422" s="799"/>
      <c r="D422" s="799"/>
      <c r="E422" s="799"/>
      <c r="F422" s="799"/>
      <c r="G422" s="801"/>
      <c r="H422" s="801"/>
      <c r="I422" s="801"/>
      <c r="J422" s="801"/>
      <c r="K422" s="801"/>
      <c r="L422" s="801"/>
      <c r="M422" s="801"/>
    </row>
    <row r="423" spans="1:13" x14ac:dyDescent="0.25">
      <c r="A423" s="799"/>
      <c r="B423" s="800"/>
      <c r="C423" s="799"/>
      <c r="D423" s="799"/>
      <c r="E423" s="799"/>
      <c r="F423" s="799"/>
      <c r="G423" s="801"/>
      <c r="H423" s="801"/>
      <c r="I423" s="801"/>
      <c r="J423" s="801"/>
      <c r="K423" s="801"/>
      <c r="L423" s="801"/>
      <c r="M423" s="801"/>
    </row>
    <row r="424" spans="1:13" x14ac:dyDescent="0.25">
      <c r="A424" s="799"/>
      <c r="B424" s="800"/>
      <c r="C424" s="799"/>
      <c r="D424" s="799"/>
      <c r="E424" s="799"/>
      <c r="F424" s="799"/>
      <c r="G424" s="801"/>
      <c r="H424" s="801"/>
      <c r="I424" s="801"/>
      <c r="J424" s="801"/>
      <c r="K424" s="801"/>
      <c r="L424" s="801"/>
      <c r="M424" s="801"/>
    </row>
    <row r="425" spans="1:13" x14ac:dyDescent="0.25">
      <c r="A425" s="799"/>
      <c r="B425" s="800"/>
      <c r="C425" s="799"/>
      <c r="D425" s="799"/>
      <c r="E425" s="799"/>
      <c r="F425" s="799"/>
      <c r="G425" s="801"/>
      <c r="H425" s="801"/>
      <c r="I425" s="801"/>
      <c r="J425" s="801"/>
      <c r="K425" s="801"/>
      <c r="L425" s="801"/>
      <c r="M425" s="801"/>
    </row>
    <row r="426" spans="1:13" x14ac:dyDescent="0.25">
      <c r="A426" s="799"/>
      <c r="B426" s="800"/>
      <c r="C426" s="799"/>
      <c r="D426" s="799"/>
      <c r="E426" s="799"/>
      <c r="F426" s="799"/>
      <c r="G426" s="801"/>
      <c r="H426" s="801"/>
      <c r="I426" s="801"/>
      <c r="J426" s="801"/>
      <c r="K426" s="801"/>
      <c r="L426" s="801"/>
      <c r="M426" s="801"/>
    </row>
    <row r="427" spans="1:13" x14ac:dyDescent="0.25">
      <c r="A427" s="799"/>
      <c r="B427" s="800"/>
      <c r="C427" s="799"/>
      <c r="D427" s="799"/>
      <c r="E427" s="799"/>
      <c r="F427" s="799"/>
      <c r="G427" s="801"/>
      <c r="H427" s="801"/>
      <c r="I427" s="801"/>
      <c r="J427" s="801"/>
      <c r="K427" s="801"/>
      <c r="L427" s="801"/>
      <c r="M427" s="801"/>
    </row>
    <row r="428" spans="1:13" x14ac:dyDescent="0.25">
      <c r="A428" s="799"/>
      <c r="B428" s="800"/>
      <c r="C428" s="799"/>
      <c r="D428" s="799"/>
      <c r="E428" s="799"/>
      <c r="F428" s="799"/>
      <c r="G428" s="801"/>
      <c r="H428" s="801"/>
      <c r="I428" s="801"/>
      <c r="J428" s="801"/>
      <c r="K428" s="801"/>
      <c r="L428" s="801"/>
      <c r="M428" s="801"/>
    </row>
    <row r="429" spans="1:13" x14ac:dyDescent="0.25">
      <c r="A429" s="799"/>
      <c r="B429" s="800"/>
      <c r="C429" s="799"/>
      <c r="D429" s="799"/>
      <c r="E429" s="799"/>
      <c r="F429" s="799"/>
      <c r="G429" s="801"/>
      <c r="H429" s="801"/>
      <c r="I429" s="801"/>
      <c r="J429" s="801"/>
      <c r="K429" s="801"/>
      <c r="L429" s="801"/>
      <c r="M429" s="801"/>
    </row>
    <row r="430" spans="1:13" x14ac:dyDescent="0.25">
      <c r="A430" s="799"/>
      <c r="B430" s="800"/>
      <c r="C430" s="799"/>
      <c r="D430" s="799"/>
      <c r="E430" s="799"/>
      <c r="F430" s="799"/>
      <c r="G430" s="801"/>
      <c r="H430" s="801"/>
      <c r="I430" s="801"/>
      <c r="J430" s="801"/>
      <c r="K430" s="801"/>
      <c r="L430" s="801"/>
      <c r="M430" s="801"/>
    </row>
    <row r="431" spans="1:13" x14ac:dyDescent="0.25">
      <c r="A431" s="799"/>
      <c r="B431" s="800"/>
      <c r="C431" s="799"/>
      <c r="D431" s="799"/>
      <c r="E431" s="799"/>
      <c r="F431" s="799"/>
      <c r="G431" s="801"/>
      <c r="H431" s="801"/>
      <c r="I431" s="801"/>
      <c r="J431" s="801"/>
      <c r="K431" s="801"/>
      <c r="L431" s="801"/>
      <c r="M431" s="801"/>
    </row>
    <row r="432" spans="1:13" x14ac:dyDescent="0.25">
      <c r="A432" s="799"/>
      <c r="B432" s="800"/>
      <c r="C432" s="799"/>
      <c r="D432" s="799"/>
      <c r="E432" s="799"/>
      <c r="F432" s="799"/>
      <c r="G432" s="801"/>
      <c r="H432" s="801"/>
      <c r="I432" s="801"/>
      <c r="J432" s="801"/>
      <c r="K432" s="801"/>
      <c r="L432" s="801"/>
      <c r="M432" s="801"/>
    </row>
    <row r="433" spans="1:13" x14ac:dyDescent="0.25">
      <c r="A433" s="799"/>
      <c r="B433" s="800"/>
      <c r="C433" s="799"/>
      <c r="D433" s="799"/>
      <c r="E433" s="799"/>
      <c r="F433" s="799"/>
      <c r="G433" s="801"/>
      <c r="H433" s="801"/>
      <c r="I433" s="801"/>
      <c r="J433" s="801"/>
      <c r="K433" s="801"/>
      <c r="L433" s="801"/>
      <c r="M433" s="801"/>
    </row>
    <row r="434" spans="1:13" x14ac:dyDescent="0.25">
      <c r="A434" s="799"/>
      <c r="B434" s="800"/>
      <c r="C434" s="799"/>
      <c r="D434" s="799"/>
      <c r="E434" s="799"/>
      <c r="F434" s="799"/>
      <c r="G434" s="801"/>
      <c r="H434" s="801"/>
      <c r="I434" s="801"/>
      <c r="J434" s="801"/>
      <c r="K434" s="801"/>
      <c r="L434" s="801"/>
      <c r="M434" s="801"/>
    </row>
    <row r="435" spans="1:13" x14ac:dyDescent="0.25">
      <c r="A435" s="799"/>
      <c r="B435" s="800"/>
      <c r="C435" s="799"/>
      <c r="D435" s="799"/>
      <c r="E435" s="799"/>
      <c r="F435" s="799"/>
      <c r="G435" s="801"/>
      <c r="H435" s="801"/>
      <c r="I435" s="801"/>
      <c r="J435" s="801"/>
      <c r="K435" s="801"/>
      <c r="L435" s="801"/>
      <c r="M435" s="801"/>
    </row>
    <row r="436" spans="1:13" x14ac:dyDescent="0.25">
      <c r="A436" s="799"/>
      <c r="B436" s="800"/>
      <c r="C436" s="799"/>
      <c r="D436" s="799"/>
      <c r="E436" s="799"/>
      <c r="F436" s="799"/>
      <c r="G436" s="801"/>
      <c r="H436" s="801"/>
      <c r="I436" s="801"/>
      <c r="J436" s="801"/>
      <c r="K436" s="801"/>
      <c r="L436" s="801"/>
      <c r="M436" s="801"/>
    </row>
    <row r="437" spans="1:13" x14ac:dyDescent="0.25">
      <c r="A437" s="799"/>
      <c r="B437" s="800"/>
      <c r="C437" s="799"/>
      <c r="D437" s="799"/>
      <c r="E437" s="799"/>
      <c r="F437" s="799"/>
      <c r="G437" s="801"/>
      <c r="H437" s="801"/>
      <c r="I437" s="801"/>
      <c r="J437" s="801"/>
      <c r="K437" s="801"/>
      <c r="L437" s="801"/>
      <c r="M437" s="801"/>
    </row>
    <row r="438" spans="1:13" x14ac:dyDescent="0.25">
      <c r="A438" s="799"/>
      <c r="B438" s="800"/>
      <c r="C438" s="799"/>
      <c r="D438" s="799"/>
      <c r="E438" s="799"/>
      <c r="F438" s="799"/>
      <c r="G438" s="801"/>
      <c r="H438" s="801"/>
      <c r="I438" s="801"/>
      <c r="J438" s="801"/>
      <c r="K438" s="801"/>
      <c r="L438" s="801"/>
      <c r="M438" s="801"/>
    </row>
    <row r="439" spans="1:13" x14ac:dyDescent="0.25">
      <c r="A439" s="799"/>
      <c r="B439" s="800"/>
      <c r="C439" s="799"/>
      <c r="D439" s="799"/>
      <c r="E439" s="799"/>
      <c r="F439" s="799"/>
      <c r="G439" s="801"/>
      <c r="H439" s="801"/>
      <c r="I439" s="801"/>
      <c r="J439" s="801"/>
      <c r="K439" s="801"/>
      <c r="L439" s="801"/>
      <c r="M439" s="801"/>
    </row>
    <row r="440" spans="1:13" x14ac:dyDescent="0.25">
      <c r="A440" s="799"/>
      <c r="B440" s="800"/>
      <c r="C440" s="799"/>
      <c r="D440" s="799"/>
      <c r="E440" s="799"/>
      <c r="F440" s="799"/>
      <c r="G440" s="801"/>
      <c r="H440" s="801"/>
      <c r="I440" s="801"/>
      <c r="J440" s="801"/>
      <c r="K440" s="801"/>
      <c r="L440" s="801"/>
      <c r="M440" s="801"/>
    </row>
    <row r="441" spans="1:13" x14ac:dyDescent="0.25">
      <c r="A441" s="799"/>
      <c r="B441" s="800"/>
      <c r="C441" s="799"/>
      <c r="D441" s="799"/>
      <c r="E441" s="799"/>
      <c r="F441" s="799"/>
      <c r="G441" s="801"/>
      <c r="H441" s="801"/>
      <c r="I441" s="801"/>
      <c r="J441" s="801"/>
      <c r="K441" s="801"/>
      <c r="L441" s="801"/>
      <c r="M441" s="801"/>
    </row>
    <row r="442" spans="1:13" x14ac:dyDescent="0.25">
      <c r="A442" s="799"/>
      <c r="B442" s="800"/>
      <c r="C442" s="799"/>
      <c r="D442" s="799"/>
      <c r="E442" s="799"/>
      <c r="F442" s="799"/>
      <c r="G442" s="801"/>
      <c r="H442" s="801"/>
      <c r="I442" s="801"/>
      <c r="J442" s="801"/>
      <c r="K442" s="801"/>
      <c r="L442" s="801"/>
      <c r="M442" s="801"/>
    </row>
    <row r="443" spans="1:13" x14ac:dyDescent="0.25">
      <c r="A443" s="799"/>
      <c r="B443" s="800"/>
      <c r="C443" s="799"/>
      <c r="D443" s="799"/>
      <c r="E443" s="799"/>
      <c r="F443" s="799"/>
      <c r="G443" s="801"/>
      <c r="H443" s="801"/>
      <c r="I443" s="801"/>
      <c r="J443" s="801"/>
      <c r="K443" s="801"/>
      <c r="L443" s="801"/>
      <c r="M443" s="801"/>
    </row>
    <row r="444" spans="1:13" x14ac:dyDescent="0.25">
      <c r="A444" s="799"/>
      <c r="B444" s="800"/>
      <c r="C444" s="799"/>
      <c r="D444" s="799"/>
      <c r="E444" s="799"/>
      <c r="F444" s="799"/>
      <c r="G444" s="801"/>
      <c r="H444" s="801"/>
      <c r="I444" s="801"/>
      <c r="J444" s="801"/>
      <c r="K444" s="801"/>
      <c r="L444" s="801"/>
      <c r="M444" s="801"/>
    </row>
    <row r="445" spans="1:13" x14ac:dyDescent="0.25">
      <c r="A445" s="799"/>
      <c r="B445" s="800"/>
      <c r="C445" s="799"/>
      <c r="D445" s="799"/>
      <c r="E445" s="799"/>
      <c r="F445" s="799"/>
      <c r="G445" s="801"/>
      <c r="H445" s="801"/>
      <c r="I445" s="801"/>
      <c r="J445" s="801"/>
      <c r="K445" s="801"/>
      <c r="L445" s="801"/>
      <c r="M445" s="801"/>
    </row>
    <row r="446" spans="1:13" x14ac:dyDescent="0.25">
      <c r="A446" s="799"/>
      <c r="B446" s="800"/>
      <c r="C446" s="799"/>
      <c r="D446" s="799"/>
      <c r="E446" s="799"/>
      <c r="F446" s="799"/>
      <c r="G446" s="801"/>
      <c r="H446" s="801"/>
      <c r="I446" s="801"/>
      <c r="J446" s="801"/>
      <c r="K446" s="801"/>
      <c r="L446" s="801"/>
      <c r="M446" s="801"/>
    </row>
    <row r="447" spans="1:13" x14ac:dyDescent="0.25">
      <c r="A447" s="799"/>
      <c r="B447" s="800"/>
      <c r="C447" s="799"/>
      <c r="D447" s="799"/>
      <c r="E447" s="799"/>
      <c r="F447" s="799"/>
      <c r="G447" s="801"/>
      <c r="H447" s="801"/>
      <c r="I447" s="801"/>
      <c r="J447" s="801"/>
      <c r="K447" s="801"/>
      <c r="L447" s="801"/>
      <c r="M447" s="801"/>
    </row>
    <row r="448" spans="1:13" x14ac:dyDescent="0.25">
      <c r="A448" s="799"/>
      <c r="B448" s="800"/>
      <c r="C448" s="799"/>
      <c r="D448" s="799"/>
      <c r="E448" s="799"/>
      <c r="F448" s="799"/>
      <c r="G448" s="801"/>
      <c r="H448" s="801"/>
      <c r="I448" s="801"/>
      <c r="J448" s="801"/>
      <c r="K448" s="801"/>
      <c r="L448" s="801"/>
      <c r="M448" s="801"/>
    </row>
    <row r="449" spans="1:13" x14ac:dyDescent="0.25">
      <c r="A449" s="799"/>
      <c r="B449" s="800"/>
      <c r="C449" s="799"/>
      <c r="D449" s="799"/>
      <c r="E449" s="799"/>
      <c r="F449" s="799"/>
      <c r="G449" s="801"/>
      <c r="H449" s="801"/>
      <c r="I449" s="801"/>
      <c r="J449" s="801"/>
      <c r="K449" s="801"/>
      <c r="L449" s="801"/>
      <c r="M449" s="801"/>
    </row>
    <row r="450" spans="1:13" x14ac:dyDescent="0.25">
      <c r="A450" s="799"/>
      <c r="B450" s="800"/>
      <c r="C450" s="799"/>
      <c r="D450" s="799"/>
      <c r="E450" s="799"/>
      <c r="F450" s="799"/>
      <c r="G450" s="801"/>
      <c r="H450" s="801"/>
      <c r="I450" s="801"/>
      <c r="J450" s="801"/>
      <c r="K450" s="801"/>
      <c r="L450" s="801"/>
      <c r="M450" s="801"/>
    </row>
    <row r="451" spans="1:13" x14ac:dyDescent="0.25">
      <c r="A451" s="799"/>
      <c r="B451" s="800"/>
      <c r="C451" s="799"/>
      <c r="D451" s="799"/>
      <c r="E451" s="799"/>
      <c r="F451" s="799"/>
      <c r="G451" s="801"/>
      <c r="H451" s="801"/>
      <c r="I451" s="801"/>
      <c r="J451" s="801"/>
      <c r="K451" s="801"/>
      <c r="L451" s="801"/>
      <c r="M451" s="801"/>
    </row>
    <row r="452" spans="1:13" x14ac:dyDescent="0.25">
      <c r="A452" s="799"/>
      <c r="B452" s="800"/>
      <c r="C452" s="799"/>
      <c r="D452" s="799"/>
      <c r="E452" s="799"/>
      <c r="F452" s="799"/>
      <c r="G452" s="801"/>
      <c r="H452" s="801"/>
      <c r="I452" s="801"/>
      <c r="J452" s="801"/>
      <c r="K452" s="801"/>
      <c r="L452" s="801"/>
      <c r="M452" s="801"/>
    </row>
    <row r="453" spans="1:13" x14ac:dyDescent="0.25">
      <c r="A453" s="799"/>
      <c r="B453" s="800"/>
      <c r="C453" s="799"/>
      <c r="D453" s="799"/>
      <c r="E453" s="799"/>
      <c r="F453" s="799"/>
      <c r="G453" s="801"/>
      <c r="H453" s="801"/>
      <c r="I453" s="801"/>
      <c r="J453" s="801"/>
      <c r="K453" s="801"/>
      <c r="L453" s="801"/>
      <c r="M453" s="801"/>
    </row>
    <row r="454" spans="1:13" x14ac:dyDescent="0.25">
      <c r="A454" s="799"/>
      <c r="B454" s="800"/>
      <c r="C454" s="799"/>
      <c r="D454" s="799"/>
      <c r="E454" s="799"/>
      <c r="F454" s="799"/>
      <c r="G454" s="801"/>
      <c r="H454" s="801"/>
      <c r="I454" s="801"/>
      <c r="J454" s="801"/>
      <c r="K454" s="801"/>
      <c r="L454" s="801"/>
      <c r="M454" s="801"/>
    </row>
    <row r="455" spans="1:13" x14ac:dyDescent="0.25">
      <c r="A455" s="799"/>
      <c r="B455" s="800"/>
      <c r="C455" s="799"/>
      <c r="D455" s="799"/>
      <c r="E455" s="799"/>
      <c r="F455" s="799"/>
      <c r="G455" s="801"/>
      <c r="H455" s="801"/>
      <c r="I455" s="801"/>
      <c r="J455" s="801"/>
      <c r="K455" s="801"/>
      <c r="L455" s="801"/>
      <c r="M455" s="801"/>
    </row>
    <row r="456" spans="1:13" x14ac:dyDescent="0.25">
      <c r="A456" s="799"/>
      <c r="B456" s="800"/>
      <c r="C456" s="799"/>
      <c r="D456" s="799"/>
      <c r="E456" s="799"/>
      <c r="F456" s="799"/>
      <c r="G456" s="801"/>
      <c r="H456" s="801"/>
      <c r="I456" s="801"/>
      <c r="J456" s="801"/>
      <c r="K456" s="801"/>
      <c r="L456" s="801"/>
      <c r="M456" s="801"/>
    </row>
    <row r="457" spans="1:13" x14ac:dyDescent="0.25">
      <c r="A457" s="799"/>
      <c r="B457" s="800"/>
      <c r="C457" s="799"/>
      <c r="D457" s="799"/>
      <c r="E457" s="799"/>
      <c r="F457" s="799"/>
      <c r="G457" s="801"/>
      <c r="H457" s="801"/>
      <c r="I457" s="801"/>
      <c r="J457" s="801"/>
      <c r="K457" s="801"/>
      <c r="L457" s="801"/>
      <c r="M457" s="801"/>
    </row>
    <row r="458" spans="1:13" x14ac:dyDescent="0.25">
      <c r="A458" s="799"/>
      <c r="B458" s="800"/>
      <c r="C458" s="799"/>
      <c r="D458" s="799"/>
      <c r="E458" s="799"/>
      <c r="F458" s="799"/>
      <c r="G458" s="801"/>
      <c r="H458" s="801"/>
      <c r="I458" s="801"/>
      <c r="J458" s="801"/>
      <c r="K458" s="801"/>
      <c r="L458" s="801"/>
      <c r="M458" s="801"/>
    </row>
    <row r="459" spans="1:13" x14ac:dyDescent="0.25">
      <c r="A459" s="799"/>
      <c r="B459" s="800"/>
      <c r="C459" s="799"/>
      <c r="D459" s="799"/>
      <c r="E459" s="799"/>
      <c r="F459" s="799"/>
      <c r="G459" s="801"/>
      <c r="H459" s="801"/>
      <c r="I459" s="801"/>
      <c r="J459" s="801"/>
      <c r="K459" s="801"/>
      <c r="L459" s="801"/>
      <c r="M459" s="801"/>
    </row>
    <row r="460" spans="1:13" x14ac:dyDescent="0.25">
      <c r="A460" s="799"/>
      <c r="B460" s="800"/>
      <c r="C460" s="799"/>
      <c r="D460" s="799"/>
      <c r="E460" s="799"/>
      <c r="F460" s="799"/>
      <c r="G460" s="801"/>
      <c r="H460" s="801"/>
      <c r="I460" s="801"/>
      <c r="J460" s="801"/>
      <c r="K460" s="801"/>
      <c r="L460" s="801"/>
      <c r="M460" s="801"/>
    </row>
    <row r="461" spans="1:13" x14ac:dyDescent="0.25">
      <c r="A461" s="799"/>
      <c r="B461" s="800"/>
      <c r="C461" s="799"/>
      <c r="D461" s="799"/>
      <c r="E461" s="799"/>
      <c r="F461" s="799"/>
      <c r="G461" s="801"/>
      <c r="H461" s="801"/>
      <c r="I461" s="801"/>
      <c r="J461" s="801"/>
      <c r="K461" s="801"/>
      <c r="L461" s="801"/>
      <c r="M461" s="801"/>
    </row>
    <row r="462" spans="1:13" x14ac:dyDescent="0.25">
      <c r="A462" s="799"/>
      <c r="B462" s="800"/>
      <c r="C462" s="799"/>
      <c r="D462" s="799"/>
      <c r="E462" s="799"/>
      <c r="F462" s="799"/>
      <c r="G462" s="801"/>
      <c r="H462" s="801"/>
      <c r="I462" s="801"/>
      <c r="J462" s="801"/>
      <c r="K462" s="801"/>
      <c r="L462" s="801"/>
      <c r="M462" s="801"/>
    </row>
    <row r="463" spans="1:13" x14ac:dyDescent="0.25">
      <c r="A463" s="799"/>
      <c r="B463" s="800"/>
      <c r="C463" s="799"/>
      <c r="D463" s="799"/>
      <c r="E463" s="799"/>
      <c r="F463" s="799"/>
      <c r="G463" s="801"/>
      <c r="H463" s="801"/>
      <c r="I463" s="801"/>
      <c r="J463" s="801"/>
      <c r="K463" s="801"/>
      <c r="L463" s="801"/>
      <c r="M463" s="801"/>
    </row>
    <row r="464" spans="1:13" x14ac:dyDescent="0.25">
      <c r="A464" s="799"/>
      <c r="B464" s="800"/>
      <c r="C464" s="799"/>
      <c r="D464" s="799"/>
      <c r="E464" s="799"/>
      <c r="F464" s="799"/>
      <c r="G464" s="801"/>
      <c r="H464" s="801"/>
      <c r="I464" s="801"/>
      <c r="J464" s="801"/>
      <c r="K464" s="801"/>
      <c r="L464" s="801"/>
      <c r="M464" s="801"/>
    </row>
    <row r="465" spans="1:13" x14ac:dyDescent="0.25">
      <c r="A465" s="799"/>
      <c r="B465" s="800"/>
      <c r="C465" s="799"/>
      <c r="D465" s="799"/>
      <c r="E465" s="799"/>
      <c r="F465" s="799"/>
      <c r="G465" s="801"/>
      <c r="H465" s="801"/>
      <c r="I465" s="801"/>
      <c r="J465" s="801"/>
      <c r="K465" s="801"/>
      <c r="L465" s="801"/>
      <c r="M465" s="801"/>
    </row>
    <row r="466" spans="1:13" x14ac:dyDescent="0.25">
      <c r="A466" s="799"/>
      <c r="B466" s="800"/>
      <c r="C466" s="799"/>
      <c r="D466" s="799"/>
      <c r="E466" s="799"/>
      <c r="F466" s="799"/>
      <c r="G466" s="801"/>
      <c r="H466" s="801"/>
      <c r="I466" s="801"/>
      <c r="J466" s="801"/>
      <c r="K466" s="801"/>
      <c r="L466" s="801"/>
      <c r="M466" s="801"/>
    </row>
    <row r="467" spans="1:13" x14ac:dyDescent="0.25">
      <c r="A467" s="799"/>
      <c r="B467" s="800"/>
      <c r="C467" s="799"/>
      <c r="D467" s="799"/>
      <c r="E467" s="799"/>
      <c r="F467" s="799"/>
      <c r="G467" s="801"/>
      <c r="H467" s="801"/>
      <c r="I467" s="801"/>
      <c r="J467" s="801"/>
      <c r="K467" s="801"/>
      <c r="L467" s="801"/>
      <c r="M467" s="801"/>
    </row>
    <row r="468" spans="1:13" x14ac:dyDescent="0.25">
      <c r="A468" s="799"/>
      <c r="B468" s="800"/>
      <c r="C468" s="799"/>
      <c r="D468" s="799"/>
      <c r="E468" s="799"/>
      <c r="F468" s="799"/>
      <c r="G468" s="801"/>
      <c r="H468" s="801"/>
      <c r="I468" s="801"/>
      <c r="J468" s="801"/>
      <c r="K468" s="801"/>
      <c r="L468" s="801"/>
      <c r="M468" s="801"/>
    </row>
    <row r="469" spans="1:13" x14ac:dyDescent="0.25">
      <c r="A469" s="799"/>
      <c r="B469" s="800"/>
      <c r="C469" s="799"/>
      <c r="D469" s="799"/>
      <c r="E469" s="799"/>
      <c r="F469" s="799"/>
      <c r="G469" s="801"/>
      <c r="H469" s="801"/>
      <c r="I469" s="801"/>
      <c r="J469" s="801"/>
      <c r="K469" s="801"/>
      <c r="L469" s="801"/>
      <c r="M469" s="801"/>
    </row>
    <row r="470" spans="1:13" x14ac:dyDescent="0.25">
      <c r="A470" s="799"/>
      <c r="B470" s="800"/>
      <c r="C470" s="799"/>
      <c r="D470" s="799"/>
      <c r="E470" s="799"/>
      <c r="F470" s="799"/>
      <c r="G470" s="801"/>
      <c r="H470" s="801"/>
      <c r="I470" s="801"/>
      <c r="J470" s="801"/>
      <c r="K470" s="801"/>
      <c r="L470" s="801"/>
      <c r="M470" s="801"/>
    </row>
    <row r="471" spans="1:13" x14ac:dyDescent="0.25">
      <c r="A471" s="799"/>
      <c r="B471" s="800"/>
      <c r="C471" s="799"/>
      <c r="D471" s="799"/>
      <c r="E471" s="799"/>
      <c r="F471" s="799"/>
      <c r="G471" s="801"/>
      <c r="H471" s="801"/>
      <c r="I471" s="801"/>
      <c r="J471" s="801"/>
      <c r="K471" s="801"/>
      <c r="L471" s="801"/>
      <c r="M471" s="801"/>
    </row>
    <row r="472" spans="1:13" x14ac:dyDescent="0.25">
      <c r="A472" s="799"/>
      <c r="B472" s="800"/>
      <c r="C472" s="799"/>
      <c r="D472" s="799"/>
      <c r="E472" s="799"/>
      <c r="F472" s="799"/>
      <c r="G472" s="801"/>
      <c r="H472" s="801"/>
      <c r="I472" s="801"/>
      <c r="J472" s="801"/>
      <c r="K472" s="801"/>
      <c r="L472" s="801"/>
      <c r="M472" s="801"/>
    </row>
    <row r="473" spans="1:13" x14ac:dyDescent="0.25">
      <c r="A473" s="799"/>
      <c r="B473" s="800"/>
      <c r="C473" s="799"/>
      <c r="D473" s="799"/>
      <c r="E473" s="799"/>
      <c r="F473" s="799"/>
      <c r="G473" s="801"/>
      <c r="H473" s="801"/>
      <c r="I473" s="801"/>
      <c r="J473" s="801"/>
      <c r="K473" s="801"/>
      <c r="L473" s="801"/>
      <c r="M473" s="801"/>
    </row>
    <row r="474" spans="1:13" x14ac:dyDescent="0.25">
      <c r="A474" s="799"/>
      <c r="B474" s="800"/>
      <c r="C474" s="799"/>
      <c r="D474" s="799"/>
      <c r="E474" s="799"/>
      <c r="F474" s="799"/>
      <c r="G474" s="801"/>
      <c r="H474" s="801"/>
      <c r="I474" s="801"/>
      <c r="J474" s="801"/>
      <c r="K474" s="801"/>
      <c r="L474" s="801"/>
      <c r="M474" s="801"/>
    </row>
    <row r="475" spans="1:13" x14ac:dyDescent="0.25">
      <c r="A475" s="799"/>
      <c r="B475" s="800"/>
      <c r="C475" s="799"/>
      <c r="D475" s="799"/>
      <c r="E475" s="799"/>
      <c r="F475" s="799"/>
      <c r="G475" s="801"/>
      <c r="H475" s="801"/>
      <c r="I475" s="801"/>
      <c r="J475" s="801"/>
      <c r="K475" s="801"/>
      <c r="L475" s="801"/>
      <c r="M475" s="801"/>
    </row>
    <row r="476" spans="1:13" x14ac:dyDescent="0.25">
      <c r="A476" s="799"/>
      <c r="B476" s="800"/>
      <c r="C476" s="799"/>
      <c r="D476" s="799"/>
      <c r="E476" s="799"/>
      <c r="F476" s="799"/>
      <c r="G476" s="801"/>
      <c r="H476" s="801"/>
      <c r="I476" s="801"/>
      <c r="J476" s="801"/>
      <c r="K476" s="801"/>
      <c r="L476" s="801"/>
      <c r="M476" s="801"/>
    </row>
    <row r="477" spans="1:13" x14ac:dyDescent="0.25">
      <c r="A477" s="799"/>
      <c r="B477" s="800"/>
      <c r="C477" s="799"/>
      <c r="D477" s="799"/>
      <c r="E477" s="799"/>
      <c r="F477" s="799"/>
      <c r="G477" s="801"/>
      <c r="H477" s="801"/>
      <c r="I477" s="801"/>
      <c r="J477" s="801"/>
      <c r="K477" s="801"/>
      <c r="L477" s="801"/>
      <c r="M477" s="801"/>
    </row>
    <row r="478" spans="1:13" x14ac:dyDescent="0.25">
      <c r="A478" s="799"/>
      <c r="B478" s="800"/>
      <c r="C478" s="799"/>
      <c r="D478" s="799"/>
      <c r="E478" s="799"/>
      <c r="F478" s="799"/>
      <c r="G478" s="801"/>
      <c r="H478" s="801"/>
      <c r="I478" s="801"/>
      <c r="J478" s="801"/>
      <c r="K478" s="801"/>
      <c r="L478" s="801"/>
      <c r="M478" s="801"/>
    </row>
    <row r="479" spans="1:13" x14ac:dyDescent="0.25">
      <c r="A479" s="799"/>
      <c r="B479" s="800"/>
      <c r="C479" s="799"/>
      <c r="D479" s="799"/>
      <c r="E479" s="799"/>
      <c r="F479" s="799"/>
      <c r="G479" s="801"/>
      <c r="H479" s="801"/>
      <c r="I479" s="801"/>
      <c r="J479" s="801"/>
      <c r="K479" s="801"/>
      <c r="L479" s="801"/>
      <c r="M479" s="801"/>
    </row>
    <row r="480" spans="1:13" x14ac:dyDescent="0.25">
      <c r="A480" s="799"/>
      <c r="B480" s="800"/>
      <c r="C480" s="799"/>
      <c r="D480" s="799"/>
      <c r="E480" s="799"/>
      <c r="F480" s="799"/>
      <c r="G480" s="801"/>
      <c r="H480" s="801"/>
      <c r="I480" s="801"/>
      <c r="J480" s="801"/>
      <c r="K480" s="801"/>
      <c r="L480" s="801"/>
      <c r="M480" s="801"/>
    </row>
    <row r="481" spans="1:13" x14ac:dyDescent="0.25">
      <c r="A481" s="799"/>
      <c r="B481" s="800"/>
      <c r="C481" s="799"/>
      <c r="D481" s="799"/>
      <c r="E481" s="799"/>
      <c r="F481" s="799"/>
      <c r="G481" s="801"/>
      <c r="H481" s="801"/>
      <c r="I481" s="801"/>
      <c r="J481" s="801"/>
      <c r="K481" s="801"/>
      <c r="L481" s="801"/>
      <c r="M481" s="801"/>
    </row>
    <row r="482" spans="1:13" x14ac:dyDescent="0.25">
      <c r="A482" s="799"/>
      <c r="B482" s="800"/>
      <c r="C482" s="799"/>
      <c r="D482" s="799"/>
      <c r="E482" s="799"/>
      <c r="F482" s="799"/>
      <c r="G482" s="801"/>
      <c r="H482" s="801"/>
      <c r="I482" s="801"/>
      <c r="J482" s="801"/>
      <c r="K482" s="801"/>
      <c r="L482" s="801"/>
      <c r="M482" s="801"/>
    </row>
    <row r="483" spans="1:13" x14ac:dyDescent="0.25">
      <c r="A483" s="799"/>
      <c r="B483" s="800"/>
      <c r="C483" s="799"/>
      <c r="D483" s="799"/>
      <c r="E483" s="799"/>
      <c r="F483" s="799"/>
      <c r="G483" s="801"/>
      <c r="H483" s="801"/>
      <c r="I483" s="801"/>
      <c r="J483" s="801"/>
      <c r="K483" s="801"/>
      <c r="L483" s="801"/>
      <c r="M483" s="801"/>
    </row>
    <row r="484" spans="1:13" x14ac:dyDescent="0.25">
      <c r="A484" s="799"/>
      <c r="B484" s="800"/>
      <c r="C484" s="799"/>
      <c r="D484" s="799"/>
      <c r="E484" s="799"/>
      <c r="F484" s="799"/>
      <c r="G484" s="801"/>
      <c r="H484" s="801"/>
      <c r="I484" s="801"/>
      <c r="J484" s="801"/>
      <c r="K484" s="801"/>
      <c r="L484" s="801"/>
      <c r="M484" s="801"/>
    </row>
    <row r="485" spans="1:13" x14ac:dyDescent="0.25">
      <c r="A485" s="799"/>
      <c r="B485" s="800"/>
      <c r="C485" s="799"/>
      <c r="D485" s="799"/>
      <c r="E485" s="799"/>
      <c r="F485" s="799"/>
      <c r="G485" s="801"/>
      <c r="H485" s="801"/>
      <c r="I485" s="801"/>
      <c r="J485" s="801"/>
      <c r="K485" s="801"/>
      <c r="L485" s="801"/>
      <c r="M485" s="801"/>
    </row>
    <row r="486" spans="1:13" x14ac:dyDescent="0.25">
      <c r="A486" s="799"/>
      <c r="B486" s="800"/>
      <c r="C486" s="799"/>
      <c r="D486" s="799"/>
      <c r="E486" s="799"/>
      <c r="F486" s="799"/>
      <c r="G486" s="801"/>
      <c r="H486" s="801"/>
      <c r="I486" s="801"/>
      <c r="J486" s="801"/>
      <c r="K486" s="801"/>
      <c r="L486" s="801"/>
      <c r="M486" s="801"/>
    </row>
    <row r="487" spans="1:13" x14ac:dyDescent="0.25">
      <c r="A487" s="799"/>
      <c r="B487" s="800"/>
      <c r="C487" s="799"/>
      <c r="D487" s="799"/>
      <c r="E487" s="799"/>
      <c r="F487" s="799"/>
      <c r="G487" s="801"/>
      <c r="H487" s="801"/>
      <c r="I487" s="801"/>
      <c r="J487" s="801"/>
      <c r="K487" s="801"/>
      <c r="L487" s="801"/>
      <c r="M487" s="801"/>
    </row>
    <row r="488" spans="1:13" x14ac:dyDescent="0.25">
      <c r="A488" s="799"/>
      <c r="B488" s="800"/>
      <c r="C488" s="799"/>
      <c r="D488" s="799"/>
      <c r="E488" s="799"/>
      <c r="F488" s="799"/>
      <c r="G488" s="801"/>
      <c r="H488" s="801"/>
      <c r="I488" s="801"/>
      <c r="J488" s="801"/>
      <c r="K488" s="801"/>
      <c r="L488" s="801"/>
      <c r="M488" s="801"/>
    </row>
    <row r="489" spans="1:13" x14ac:dyDescent="0.25">
      <c r="A489" s="799"/>
      <c r="B489" s="800"/>
      <c r="C489" s="799"/>
      <c r="D489" s="799"/>
      <c r="E489" s="799"/>
      <c r="F489" s="799"/>
      <c r="G489" s="801"/>
      <c r="H489" s="801"/>
      <c r="I489" s="801"/>
      <c r="J489" s="801"/>
      <c r="K489" s="801"/>
      <c r="L489" s="801"/>
      <c r="M489" s="801"/>
    </row>
    <row r="490" spans="1:13" x14ac:dyDescent="0.25">
      <c r="A490" s="799"/>
      <c r="B490" s="800"/>
      <c r="C490" s="799"/>
      <c r="D490" s="799"/>
      <c r="E490" s="799"/>
      <c r="F490" s="799"/>
      <c r="G490" s="801"/>
      <c r="H490" s="801"/>
      <c r="I490" s="801"/>
      <c r="J490" s="801"/>
      <c r="K490" s="801"/>
      <c r="L490" s="801"/>
      <c r="M490" s="801"/>
    </row>
    <row r="491" spans="1:13" x14ac:dyDescent="0.25">
      <c r="A491" s="799"/>
      <c r="B491" s="800"/>
      <c r="C491" s="799"/>
      <c r="D491" s="799"/>
      <c r="E491" s="799"/>
      <c r="F491" s="799"/>
      <c r="G491" s="801"/>
      <c r="H491" s="801"/>
      <c r="I491" s="801"/>
      <c r="J491" s="801"/>
      <c r="K491" s="801"/>
      <c r="L491" s="801"/>
      <c r="M491" s="801"/>
    </row>
    <row r="492" spans="1:13" x14ac:dyDescent="0.25">
      <c r="A492" s="799"/>
      <c r="B492" s="800"/>
      <c r="C492" s="799"/>
      <c r="D492" s="799"/>
      <c r="E492" s="799"/>
      <c r="F492" s="799"/>
      <c r="G492" s="801"/>
      <c r="H492" s="801"/>
      <c r="I492" s="801"/>
      <c r="J492" s="801"/>
      <c r="K492" s="801"/>
      <c r="L492" s="801"/>
      <c r="M492" s="801"/>
    </row>
    <row r="493" spans="1:13" x14ac:dyDescent="0.25">
      <c r="A493" s="799"/>
      <c r="B493" s="800"/>
      <c r="C493" s="799"/>
      <c r="D493" s="799"/>
      <c r="E493" s="799"/>
      <c r="F493" s="799"/>
      <c r="G493" s="801"/>
      <c r="H493" s="801"/>
      <c r="I493" s="801"/>
      <c r="J493" s="801"/>
      <c r="K493" s="801"/>
      <c r="L493" s="801"/>
      <c r="M493" s="801"/>
    </row>
    <row r="494" spans="1:13" x14ac:dyDescent="0.25">
      <c r="A494" s="799"/>
      <c r="B494" s="800"/>
      <c r="C494" s="799"/>
      <c r="D494" s="799"/>
      <c r="E494" s="799"/>
      <c r="F494" s="799"/>
      <c r="G494" s="801"/>
      <c r="H494" s="801"/>
      <c r="I494" s="801"/>
      <c r="J494" s="801"/>
      <c r="K494" s="801"/>
      <c r="L494" s="801"/>
      <c r="M494" s="801"/>
    </row>
    <row r="495" spans="1:13" x14ac:dyDescent="0.25">
      <c r="A495" s="799"/>
      <c r="B495" s="800"/>
      <c r="C495" s="799"/>
      <c r="D495" s="799"/>
      <c r="E495" s="799"/>
      <c r="F495" s="799"/>
      <c r="G495" s="801"/>
      <c r="H495" s="801"/>
      <c r="I495" s="801"/>
      <c r="J495" s="801"/>
      <c r="K495" s="801"/>
      <c r="L495" s="801"/>
      <c r="M495" s="801"/>
    </row>
    <row r="496" spans="1:13" x14ac:dyDescent="0.25">
      <c r="A496" s="799"/>
      <c r="B496" s="800"/>
      <c r="C496" s="799"/>
      <c r="D496" s="799"/>
      <c r="E496" s="799"/>
      <c r="F496" s="799"/>
      <c r="G496" s="801"/>
      <c r="H496" s="801"/>
      <c r="I496" s="801"/>
      <c r="J496" s="801"/>
      <c r="K496" s="801"/>
      <c r="L496" s="801"/>
      <c r="M496" s="801"/>
    </row>
    <row r="497" spans="1:13" x14ac:dyDescent="0.25">
      <c r="A497" s="799"/>
      <c r="B497" s="800"/>
      <c r="C497" s="799"/>
      <c r="D497" s="799"/>
      <c r="E497" s="799"/>
      <c r="F497" s="799"/>
      <c r="G497" s="801"/>
      <c r="H497" s="801"/>
      <c r="I497" s="801"/>
      <c r="J497" s="801"/>
      <c r="K497" s="801"/>
      <c r="L497" s="801"/>
      <c r="M497" s="801"/>
    </row>
    <row r="498" spans="1:13" x14ac:dyDescent="0.25">
      <c r="A498" s="799"/>
      <c r="B498" s="800"/>
      <c r="C498" s="799"/>
      <c r="D498" s="799"/>
      <c r="E498" s="799"/>
      <c r="F498" s="799"/>
      <c r="G498" s="801"/>
      <c r="H498" s="801"/>
      <c r="I498" s="801"/>
      <c r="J498" s="801"/>
      <c r="K498" s="801"/>
      <c r="L498" s="801"/>
      <c r="M498" s="801"/>
    </row>
    <row r="499" spans="1:13" x14ac:dyDescent="0.25">
      <c r="A499" s="799"/>
      <c r="B499" s="800"/>
      <c r="C499" s="799"/>
      <c r="D499" s="799"/>
      <c r="E499" s="799"/>
      <c r="F499" s="799"/>
      <c r="G499" s="801"/>
      <c r="H499" s="801"/>
      <c r="I499" s="801"/>
      <c r="J499" s="801"/>
      <c r="K499" s="801"/>
      <c r="L499" s="801"/>
      <c r="M499" s="801"/>
    </row>
    <row r="500" spans="1:13" x14ac:dyDescent="0.25">
      <c r="A500" s="799"/>
      <c r="B500" s="800"/>
      <c r="C500" s="799"/>
      <c r="D500" s="799"/>
      <c r="E500" s="799"/>
      <c r="F500" s="799"/>
      <c r="G500" s="801"/>
      <c r="H500" s="801"/>
      <c r="I500" s="801"/>
      <c r="J500" s="801"/>
      <c r="K500" s="801"/>
      <c r="L500" s="801"/>
      <c r="M500" s="801"/>
    </row>
    <row r="501" spans="1:13" x14ac:dyDescent="0.25">
      <c r="A501" s="799"/>
      <c r="B501" s="800"/>
      <c r="C501" s="799"/>
      <c r="D501" s="799"/>
      <c r="E501" s="799"/>
      <c r="F501" s="799"/>
      <c r="G501" s="801"/>
      <c r="H501" s="801"/>
      <c r="I501" s="801"/>
      <c r="J501" s="801"/>
      <c r="K501" s="801"/>
      <c r="L501" s="801"/>
      <c r="M501" s="801"/>
    </row>
    <row r="502" spans="1:13" x14ac:dyDescent="0.25">
      <c r="A502" s="799"/>
      <c r="B502" s="800"/>
      <c r="C502" s="799"/>
      <c r="D502" s="799"/>
      <c r="E502" s="799"/>
      <c r="F502" s="799"/>
      <c r="G502" s="801"/>
      <c r="H502" s="801"/>
      <c r="I502" s="801"/>
      <c r="J502" s="801"/>
      <c r="K502" s="801"/>
      <c r="L502" s="801"/>
      <c r="M502" s="801"/>
    </row>
    <row r="503" spans="1:13" x14ac:dyDescent="0.25">
      <c r="A503" s="799"/>
      <c r="B503" s="800"/>
      <c r="C503" s="799"/>
      <c r="D503" s="799"/>
      <c r="E503" s="799"/>
      <c r="F503" s="799"/>
      <c r="G503" s="801"/>
      <c r="H503" s="801"/>
      <c r="I503" s="801"/>
      <c r="J503" s="801"/>
      <c r="K503" s="801"/>
      <c r="L503" s="801"/>
      <c r="M503" s="801"/>
    </row>
    <row r="504" spans="1:13" x14ac:dyDescent="0.25">
      <c r="A504" s="799"/>
      <c r="B504" s="800"/>
      <c r="C504" s="799"/>
      <c r="D504" s="799"/>
      <c r="E504" s="799"/>
      <c r="F504" s="799"/>
      <c r="G504" s="801"/>
      <c r="H504" s="801"/>
      <c r="I504" s="801"/>
      <c r="J504" s="801"/>
      <c r="K504" s="801"/>
      <c r="L504" s="801"/>
      <c r="M504" s="801"/>
    </row>
    <row r="505" spans="1:13" x14ac:dyDescent="0.25">
      <c r="A505" s="799"/>
      <c r="B505" s="800"/>
      <c r="C505" s="799"/>
      <c r="D505" s="799"/>
      <c r="E505" s="799"/>
      <c r="F505" s="799"/>
      <c r="G505" s="801"/>
      <c r="H505" s="801"/>
      <c r="I505" s="801"/>
      <c r="J505" s="801"/>
      <c r="K505" s="801"/>
      <c r="L505" s="801"/>
      <c r="M505" s="801"/>
    </row>
    <row r="506" spans="1:13" x14ac:dyDescent="0.25">
      <c r="A506" s="799"/>
      <c r="B506" s="800"/>
      <c r="C506" s="799"/>
      <c r="D506" s="799"/>
      <c r="E506" s="799"/>
      <c r="F506" s="799"/>
      <c r="G506" s="801"/>
      <c r="H506" s="801"/>
      <c r="I506" s="801"/>
      <c r="J506" s="801"/>
      <c r="K506" s="801"/>
      <c r="L506" s="801"/>
      <c r="M506" s="801"/>
    </row>
    <row r="507" spans="1:13" x14ac:dyDescent="0.25">
      <c r="A507" s="799"/>
      <c r="B507" s="800"/>
      <c r="C507" s="799"/>
      <c r="D507" s="799"/>
      <c r="E507" s="799"/>
      <c r="F507" s="799"/>
      <c r="G507" s="801"/>
      <c r="H507" s="801"/>
      <c r="I507" s="801"/>
      <c r="J507" s="801"/>
      <c r="K507" s="801"/>
      <c r="L507" s="801"/>
      <c r="M507" s="801"/>
    </row>
    <row r="508" spans="1:13" x14ac:dyDescent="0.25">
      <c r="A508" s="799"/>
      <c r="B508" s="800"/>
      <c r="C508" s="799"/>
      <c r="D508" s="799"/>
      <c r="E508" s="799"/>
      <c r="F508" s="799"/>
      <c r="G508" s="801"/>
      <c r="H508" s="801"/>
      <c r="I508" s="801"/>
      <c r="J508" s="801"/>
      <c r="K508" s="801"/>
      <c r="L508" s="801"/>
      <c r="M508" s="801"/>
    </row>
    <row r="509" spans="1:13" x14ac:dyDescent="0.25">
      <c r="A509" s="799"/>
      <c r="B509" s="800"/>
      <c r="C509" s="799"/>
      <c r="D509" s="799"/>
      <c r="E509" s="799"/>
      <c r="F509" s="799"/>
      <c r="G509" s="801"/>
      <c r="H509" s="801"/>
      <c r="I509" s="801"/>
      <c r="J509" s="801"/>
      <c r="K509" s="801"/>
      <c r="L509" s="801"/>
      <c r="M509" s="801"/>
    </row>
    <row r="510" spans="1:13" x14ac:dyDescent="0.25">
      <c r="A510" s="799"/>
      <c r="B510" s="800"/>
      <c r="C510" s="799"/>
      <c r="D510" s="799"/>
      <c r="E510" s="799"/>
      <c r="F510" s="799"/>
      <c r="G510" s="801"/>
      <c r="H510" s="801"/>
      <c r="I510" s="801"/>
      <c r="J510" s="801"/>
      <c r="K510" s="801"/>
      <c r="L510" s="801"/>
      <c r="M510" s="801"/>
    </row>
    <row r="511" spans="1:13" x14ac:dyDescent="0.25">
      <c r="A511" s="799"/>
      <c r="B511" s="800"/>
      <c r="C511" s="799"/>
      <c r="D511" s="799"/>
      <c r="E511" s="799"/>
      <c r="F511" s="799"/>
      <c r="G511" s="801"/>
      <c r="H511" s="801"/>
      <c r="I511" s="801"/>
      <c r="J511" s="801"/>
      <c r="K511" s="801"/>
      <c r="L511" s="801"/>
      <c r="M511" s="801"/>
    </row>
    <row r="512" spans="1:13" x14ac:dyDescent="0.25">
      <c r="A512" s="799"/>
      <c r="B512" s="800"/>
      <c r="C512" s="799"/>
      <c r="D512" s="799"/>
      <c r="E512" s="799"/>
      <c r="F512" s="799"/>
      <c r="G512" s="801"/>
      <c r="H512" s="801"/>
      <c r="I512" s="801"/>
      <c r="J512" s="801"/>
      <c r="K512" s="801"/>
      <c r="L512" s="801"/>
      <c r="M512" s="801"/>
    </row>
    <row r="513" spans="1:13" x14ac:dyDescent="0.25">
      <c r="A513" s="799"/>
      <c r="B513" s="800"/>
      <c r="C513" s="799"/>
      <c r="D513" s="799"/>
      <c r="E513" s="799"/>
      <c r="F513" s="799"/>
      <c r="G513" s="801"/>
      <c r="H513" s="801"/>
      <c r="I513" s="801"/>
      <c r="J513" s="801"/>
      <c r="K513" s="801"/>
      <c r="L513" s="801"/>
      <c r="M513" s="801"/>
    </row>
    <row r="514" spans="1:13" x14ac:dyDescent="0.25">
      <c r="A514" s="799"/>
      <c r="B514" s="800"/>
      <c r="C514" s="799"/>
      <c r="D514" s="799"/>
      <c r="E514" s="799"/>
      <c r="F514" s="799"/>
      <c r="G514" s="801"/>
      <c r="H514" s="801"/>
      <c r="I514" s="801"/>
      <c r="J514" s="801"/>
      <c r="K514" s="801"/>
      <c r="L514" s="801"/>
      <c r="M514" s="801"/>
    </row>
    <row r="515" spans="1:13" x14ac:dyDescent="0.25">
      <c r="A515" s="799"/>
      <c r="B515" s="800"/>
      <c r="C515" s="799"/>
      <c r="D515" s="799"/>
      <c r="E515" s="799"/>
      <c r="F515" s="799"/>
      <c r="G515" s="801"/>
      <c r="H515" s="801"/>
      <c r="I515" s="801"/>
      <c r="J515" s="801"/>
      <c r="K515" s="801"/>
      <c r="L515" s="801"/>
      <c r="M515" s="801"/>
    </row>
    <row r="516" spans="1:13" x14ac:dyDescent="0.25">
      <c r="A516" s="799"/>
      <c r="B516" s="800"/>
      <c r="C516" s="799"/>
      <c r="D516" s="799"/>
      <c r="E516" s="799"/>
      <c r="F516" s="799"/>
      <c r="G516" s="801"/>
      <c r="H516" s="801"/>
      <c r="I516" s="801"/>
      <c r="J516" s="801"/>
      <c r="K516" s="801"/>
      <c r="L516" s="801"/>
      <c r="M516" s="801"/>
    </row>
    <row r="517" spans="1:13" x14ac:dyDescent="0.25">
      <c r="A517" s="799"/>
      <c r="B517" s="800"/>
      <c r="C517" s="799"/>
      <c r="D517" s="799"/>
      <c r="E517" s="799"/>
      <c r="F517" s="799"/>
      <c r="G517" s="801"/>
      <c r="H517" s="801"/>
      <c r="I517" s="801"/>
      <c r="J517" s="801"/>
      <c r="K517" s="801"/>
      <c r="L517" s="801"/>
      <c r="M517" s="801"/>
    </row>
    <row r="518" spans="1:13" x14ac:dyDescent="0.25">
      <c r="A518" s="799"/>
      <c r="B518" s="800"/>
      <c r="C518" s="799"/>
      <c r="D518" s="799"/>
      <c r="E518" s="799"/>
      <c r="F518" s="799"/>
      <c r="G518" s="801"/>
      <c r="H518" s="801"/>
      <c r="I518" s="801"/>
      <c r="J518" s="801"/>
      <c r="K518" s="801"/>
      <c r="L518" s="801"/>
      <c r="M518" s="801"/>
    </row>
    <row r="519" spans="1:13" x14ac:dyDescent="0.25">
      <c r="A519" s="799"/>
      <c r="B519" s="800"/>
      <c r="C519" s="799"/>
      <c r="D519" s="799"/>
      <c r="E519" s="799"/>
      <c r="F519" s="799"/>
      <c r="G519" s="801"/>
      <c r="H519" s="801"/>
      <c r="I519" s="801"/>
      <c r="J519" s="801"/>
      <c r="K519" s="801"/>
      <c r="L519" s="801"/>
      <c r="M519" s="801"/>
    </row>
    <row r="520" spans="1:13" x14ac:dyDescent="0.25">
      <c r="A520" s="799"/>
      <c r="B520" s="800"/>
      <c r="C520" s="799"/>
      <c r="D520" s="799"/>
      <c r="E520" s="799"/>
      <c r="F520" s="799"/>
      <c r="G520" s="801"/>
      <c r="H520" s="801"/>
      <c r="I520" s="801"/>
      <c r="J520" s="801"/>
      <c r="K520" s="801"/>
      <c r="L520" s="801"/>
      <c r="M520" s="801"/>
    </row>
    <row r="521" spans="1:13" x14ac:dyDescent="0.25">
      <c r="A521" s="799"/>
      <c r="B521" s="800"/>
      <c r="C521" s="799"/>
      <c r="D521" s="799"/>
      <c r="E521" s="799"/>
      <c r="F521" s="799"/>
      <c r="G521" s="801"/>
      <c r="H521" s="801"/>
      <c r="I521" s="801"/>
      <c r="J521" s="801"/>
      <c r="K521" s="801"/>
      <c r="L521" s="801"/>
      <c r="M521" s="801"/>
    </row>
    <row r="522" spans="1:13" x14ac:dyDescent="0.25">
      <c r="A522" s="799"/>
      <c r="B522" s="800"/>
      <c r="C522" s="799"/>
      <c r="D522" s="799"/>
      <c r="E522" s="799"/>
      <c r="F522" s="799"/>
      <c r="G522" s="801"/>
      <c r="H522" s="801"/>
      <c r="I522" s="801"/>
      <c r="J522" s="801"/>
      <c r="K522" s="801"/>
      <c r="L522" s="801"/>
      <c r="M522" s="801"/>
    </row>
    <row r="523" spans="1:13" x14ac:dyDescent="0.25">
      <c r="A523" s="799"/>
      <c r="B523" s="800"/>
      <c r="C523" s="799"/>
      <c r="D523" s="799"/>
      <c r="E523" s="799"/>
      <c r="F523" s="799"/>
      <c r="G523" s="801"/>
      <c r="H523" s="801"/>
      <c r="I523" s="801"/>
      <c r="J523" s="801"/>
      <c r="K523" s="801"/>
      <c r="L523" s="801"/>
      <c r="M523" s="801"/>
    </row>
    <row r="524" spans="1:13" x14ac:dyDescent="0.25">
      <c r="A524" s="799"/>
      <c r="B524" s="800"/>
      <c r="C524" s="799"/>
      <c r="D524" s="799"/>
      <c r="E524" s="799"/>
      <c r="F524" s="799"/>
      <c r="G524" s="801"/>
      <c r="H524" s="801"/>
      <c r="I524" s="801"/>
      <c r="J524" s="801"/>
      <c r="K524" s="801"/>
      <c r="L524" s="801"/>
      <c r="M524" s="801"/>
    </row>
  </sheetData>
  <sheetProtection password="CF7A" sheet="1" objects="1" scenarios="1"/>
  <protectedRanges>
    <protectedRange sqref="D53:G58" name="Range2"/>
    <protectedRange sqref="G8:M58" name="Range1"/>
  </protectedRanges>
  <autoFilter ref="A7:M58"/>
  <mergeCells count="21">
    <mergeCell ref="A21:A28"/>
    <mergeCell ref="A45:A47"/>
    <mergeCell ref="A29:A31"/>
    <mergeCell ref="A32:A39"/>
    <mergeCell ref="A40:A44"/>
    <mergeCell ref="A48:A51"/>
    <mergeCell ref="I5:J5"/>
    <mergeCell ref="K5:L5"/>
    <mergeCell ref="M5:M6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A8:A17"/>
    <mergeCell ref="A18:A20"/>
  </mergeCells>
  <conditionalFormatting sqref="B283:F287 B292:B293">
    <cfRule type="cellIs" dxfId="389" priority="25" stopIfTrue="1" operator="equal">
      <formula>8223.307275</formula>
    </cfRule>
  </conditionalFormatting>
  <conditionalFormatting sqref="B277:F278">
    <cfRule type="cellIs" dxfId="388" priority="24" stopIfTrue="1" operator="equal">
      <formula>8223.307275</formula>
    </cfRule>
  </conditionalFormatting>
  <conditionalFormatting sqref="B313:F313 B314:B316">
    <cfRule type="cellIs" dxfId="387" priority="22" stopIfTrue="1" operator="equal">
      <formula>8223.307275</formula>
    </cfRule>
  </conditionalFormatting>
  <conditionalFormatting sqref="B317">
    <cfRule type="cellIs" dxfId="386" priority="21" stopIfTrue="1" operator="equal">
      <formula>8223.307275</formula>
    </cfRule>
  </conditionalFormatting>
  <conditionalFormatting sqref="E322:F325 E329:F331 F326:F328">
    <cfRule type="cellIs" dxfId="385" priority="19" stopIfTrue="1" operator="equal">
      <formula>8223.307275</formula>
    </cfRule>
  </conditionalFormatting>
  <conditionalFormatting sqref="B324">
    <cfRule type="cellIs" dxfId="384" priority="18" stopIfTrue="1" operator="equal">
      <formula>8223.307275</formula>
    </cfRule>
  </conditionalFormatting>
  <conditionalFormatting sqref="B10:F10 B11:B13">
    <cfRule type="cellIs" dxfId="383" priority="10" stopIfTrue="1" operator="equal">
      <formula>8223.307275</formula>
    </cfRule>
  </conditionalFormatting>
  <conditionalFormatting sqref="B81:F84">
    <cfRule type="cellIs" dxfId="382" priority="15" stopIfTrue="1" operator="equal">
      <formula>8223.307275</formula>
    </cfRule>
  </conditionalFormatting>
  <conditionalFormatting sqref="B14">
    <cfRule type="cellIs" dxfId="381" priority="9" stopIfTrue="1" operator="equal">
      <formula>8223.307275</formula>
    </cfRule>
  </conditionalFormatting>
  <conditionalFormatting sqref="B273:F276">
    <cfRule type="cellIs" dxfId="380" priority="13" stopIfTrue="1" operator="equal">
      <formula>8223.307275</formula>
    </cfRule>
  </conditionalFormatting>
  <conditionalFormatting sqref="B23:B24">
    <cfRule type="cellIs" dxfId="379" priority="6" stopIfTrue="1" operator="equal">
      <formula>8223.307275</formula>
    </cfRule>
  </conditionalFormatting>
  <conditionalFormatting sqref="B91:F95 B100:B101">
    <cfRule type="cellIs" dxfId="378" priority="45" stopIfTrue="1" operator="equal">
      <formula>8223.307275</formula>
    </cfRule>
  </conditionalFormatting>
  <conditionalFormatting sqref="B118">
    <cfRule type="cellIs" dxfId="377" priority="41" stopIfTrue="1" operator="equal">
      <formula>8223.307275</formula>
    </cfRule>
  </conditionalFormatting>
  <conditionalFormatting sqref="B85:F86">
    <cfRule type="cellIs" dxfId="376" priority="44" stopIfTrue="1" operator="equal">
      <formula>8223.307275</formula>
    </cfRule>
  </conditionalFormatting>
  <conditionalFormatting sqref="B99:F99">
    <cfRule type="cellIs" dxfId="375" priority="43" stopIfTrue="1" operator="equal">
      <formula>8223.307275</formula>
    </cfRule>
  </conditionalFormatting>
  <conditionalFormatting sqref="D62:F62">
    <cfRule type="cellIs" dxfId="374" priority="47" stopIfTrue="1" operator="equal">
      <formula>0</formula>
    </cfRule>
  </conditionalFormatting>
  <conditionalFormatting sqref="D67:F67">
    <cfRule type="cellIs" dxfId="373" priority="46" stopIfTrue="1" operator="equal">
      <formula>0</formula>
    </cfRule>
  </conditionalFormatting>
  <conditionalFormatting sqref="E123:F126 E130:F132 F127:F129">
    <cfRule type="cellIs" dxfId="372" priority="39" stopIfTrue="1" operator="equal">
      <formula>8223.307275</formula>
    </cfRule>
  </conditionalFormatting>
  <conditionalFormatting sqref="B114:F114 B115:B117">
    <cfRule type="cellIs" dxfId="371" priority="42" stopIfTrue="1" operator="equal">
      <formula>8223.307275</formula>
    </cfRule>
  </conditionalFormatting>
  <conditionalFormatting sqref="C123:F126 C130:F132 C127:D129 F127:F129">
    <cfRule type="cellIs" dxfId="370" priority="40" stopIfTrue="1" operator="equal">
      <formula>0</formula>
    </cfRule>
  </conditionalFormatting>
  <conditionalFormatting sqref="B125">
    <cfRule type="cellIs" dxfId="369" priority="38" stopIfTrue="1" operator="equal">
      <formula>8223.307275</formula>
    </cfRule>
  </conditionalFormatting>
  <conditionalFormatting sqref="D157:F157">
    <cfRule type="cellIs" dxfId="368" priority="37" stopIfTrue="1" operator="equal">
      <formula>0</formula>
    </cfRule>
  </conditionalFormatting>
  <conditionalFormatting sqref="D162:F162">
    <cfRule type="cellIs" dxfId="367" priority="36" stopIfTrue="1" operator="equal">
      <formula>0</formula>
    </cfRule>
  </conditionalFormatting>
  <conditionalFormatting sqref="B187:F191 B196:B197">
    <cfRule type="cellIs" dxfId="366" priority="35" stopIfTrue="1" operator="equal">
      <formula>8223.307275</formula>
    </cfRule>
  </conditionalFormatting>
  <conditionalFormatting sqref="B181:F182">
    <cfRule type="cellIs" dxfId="365" priority="34" stopIfTrue="1" operator="equal">
      <formula>8223.307275</formula>
    </cfRule>
  </conditionalFormatting>
  <conditionalFormatting sqref="B195:F195">
    <cfRule type="cellIs" dxfId="364" priority="33" stopIfTrue="1" operator="equal">
      <formula>8223.307275</formula>
    </cfRule>
  </conditionalFormatting>
  <conditionalFormatting sqref="E219:F222 E226:F228 F223:F225">
    <cfRule type="cellIs" dxfId="363" priority="29" stopIfTrue="1" operator="equal">
      <formula>8223.307275</formula>
    </cfRule>
  </conditionalFormatting>
  <conditionalFormatting sqref="B210:F210 B211:B213">
    <cfRule type="cellIs" dxfId="362" priority="32" stopIfTrue="1" operator="equal">
      <formula>8223.307275</formula>
    </cfRule>
  </conditionalFormatting>
  <conditionalFormatting sqref="B214">
    <cfRule type="cellIs" dxfId="361" priority="31" stopIfTrue="1" operator="equal">
      <formula>8223.307275</formula>
    </cfRule>
  </conditionalFormatting>
  <conditionalFormatting sqref="C219:F222 C226:F228 C223:D225 F223:F225">
    <cfRule type="cellIs" dxfId="360" priority="30" stopIfTrue="1" operator="equal">
      <formula>0</formula>
    </cfRule>
  </conditionalFormatting>
  <conditionalFormatting sqref="B221">
    <cfRule type="cellIs" dxfId="359" priority="28" stopIfTrue="1" operator="equal">
      <formula>8223.307275</formula>
    </cfRule>
  </conditionalFormatting>
  <conditionalFormatting sqref="D253:F253">
    <cfRule type="cellIs" dxfId="358" priority="27" stopIfTrue="1" operator="equal">
      <formula>0</formula>
    </cfRule>
  </conditionalFormatting>
  <conditionalFormatting sqref="D258:F258">
    <cfRule type="cellIs" dxfId="357" priority="26" stopIfTrue="1" operator="equal">
      <formula>0</formula>
    </cfRule>
  </conditionalFormatting>
  <conditionalFormatting sqref="B291:F291">
    <cfRule type="cellIs" dxfId="356" priority="23" stopIfTrue="1" operator="equal">
      <formula>8223.307275</formula>
    </cfRule>
  </conditionalFormatting>
  <conditionalFormatting sqref="C322:F325 C329:F331 C326:D328 F326:F328">
    <cfRule type="cellIs" dxfId="355" priority="20" stopIfTrue="1" operator="equal">
      <formula>0</formula>
    </cfRule>
  </conditionalFormatting>
  <conditionalFormatting sqref="D356:F356">
    <cfRule type="cellIs" dxfId="354" priority="17" stopIfTrue="1" operator="equal">
      <formula>0</formula>
    </cfRule>
  </conditionalFormatting>
  <conditionalFormatting sqref="D361:F361">
    <cfRule type="cellIs" dxfId="353" priority="16" stopIfTrue="1" operator="equal">
      <formula>0</formula>
    </cfRule>
  </conditionalFormatting>
  <conditionalFormatting sqref="B177:F180">
    <cfRule type="cellIs" dxfId="352" priority="14" stopIfTrue="1" operator="equal">
      <formula>8223.307275</formula>
    </cfRule>
  </conditionalFormatting>
  <conditionalFormatting sqref="D21:F26 D32:F39 D27:D28 F27:F28">
    <cfRule type="cellIs" dxfId="351" priority="8" stopIfTrue="1" operator="equal">
      <formula>0</formula>
    </cfRule>
  </conditionalFormatting>
  <conditionalFormatting sqref="D41:F41">
    <cfRule type="cellIs" dxfId="350" priority="7" stopIfTrue="1" operator="equal">
      <formula>0</formula>
    </cfRule>
  </conditionalFormatting>
  <conditionalFormatting sqref="B50">
    <cfRule type="cellIs" dxfId="349" priority="3" stopIfTrue="1" operator="equal">
      <formula>8223.307275</formula>
    </cfRule>
  </conditionalFormatting>
  <conditionalFormatting sqref="C50:D50">
    <cfRule type="cellIs" dxfId="348" priority="2" stopIfTrue="1" operator="equal">
      <formula>0</formula>
    </cfRule>
  </conditionalFormatting>
  <conditionalFormatting sqref="E28">
    <cfRule type="cellIs" dxfId="347" priority="1" stopIfTrue="1" operator="equal">
      <formula>0</formula>
    </cfRule>
  </conditionalFormatting>
  <pageMargins left="1.06" right="0" top="0.47244094488188981" bottom="0.23622047244094491" header="0.15748031496062992" footer="0.15748031496062992"/>
  <pageSetup paperSize="9" scale="90" orientation="landscape" horizontalDpi="4294967295" verticalDpi="4294967295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7"/>
  <sheetViews>
    <sheetView view="pageBreakPreview" topLeftCell="A58" zoomScaleNormal="120" zoomScaleSheetLayoutView="100" workbookViewId="0">
      <selection activeCell="D69" sqref="D69:F75"/>
    </sheetView>
  </sheetViews>
  <sheetFormatPr defaultRowHeight="15" x14ac:dyDescent="0.25"/>
  <cols>
    <col min="1" max="1" width="2.7109375" style="708" bestFit="1" customWidth="1"/>
    <col min="2" max="2" width="9.42578125" style="770" customWidth="1"/>
    <col min="3" max="3" width="46.85546875" style="710" customWidth="1"/>
    <col min="4" max="4" width="7.85546875" style="710" bestFit="1" customWidth="1"/>
    <col min="5" max="5" width="10.28515625" style="710" bestFit="1" customWidth="1"/>
    <col min="6" max="6" width="9.5703125" style="772" bestFit="1" customWidth="1"/>
    <col min="7" max="7" width="6.42578125" style="709" bestFit="1" customWidth="1"/>
    <col min="8" max="8" width="11.28515625" style="709" customWidth="1"/>
    <col min="9" max="9" width="5.28515625" style="709" bestFit="1" customWidth="1"/>
    <col min="10" max="10" width="11.5703125" style="709" customWidth="1"/>
    <col min="11" max="11" width="5.42578125" style="709" bestFit="1" customWidth="1"/>
    <col min="12" max="12" width="10.140625" style="709" customWidth="1"/>
    <col min="13" max="13" width="12.5703125" style="709" bestFit="1" customWidth="1"/>
    <col min="14" max="16384" width="9.140625" style="710"/>
  </cols>
  <sheetData>
    <row r="1" spans="1:13" x14ac:dyDescent="0.25">
      <c r="B1" s="1089" t="s">
        <v>643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3" x14ac:dyDescent="0.25">
      <c r="B2" s="1091" t="s">
        <v>154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x14ac:dyDescent="0.25">
      <c r="A3" s="12"/>
      <c r="B3" s="1091" t="s">
        <v>469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6.5" thickBot="1" x14ac:dyDescent="0.35">
      <c r="A4" s="1092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.7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3">
      <c r="A6" s="1095"/>
      <c r="B6" s="1097"/>
      <c r="C6" s="1099"/>
      <c r="D6" s="1099"/>
      <c r="E6" s="77" t="s">
        <v>399</v>
      </c>
      <c r="F6" s="68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711" customFormat="1" ht="15.75" customHeight="1" thickBot="1" x14ac:dyDescent="0.3">
      <c r="A7" s="541"/>
      <c r="B7" s="184" t="s">
        <v>60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6">
        <v>13</v>
      </c>
    </row>
    <row r="8" spans="1:13" s="711" customFormat="1" ht="42" customHeight="1" thickBot="1" x14ac:dyDescent="0.3">
      <c r="A8" s="542"/>
      <c r="B8" s="299"/>
      <c r="C8" s="357" t="s">
        <v>452</v>
      </c>
      <c r="D8" s="300"/>
      <c r="E8" s="300"/>
      <c r="F8" s="580"/>
      <c r="G8" s="300"/>
      <c r="H8" s="300"/>
      <c r="I8" s="300"/>
      <c r="J8" s="300"/>
      <c r="K8" s="300"/>
      <c r="L8" s="300"/>
      <c r="M8" s="301"/>
    </row>
    <row r="9" spans="1:13" s="711" customFormat="1" ht="45" x14ac:dyDescent="0.25">
      <c r="A9" s="1147">
        <v>1</v>
      </c>
      <c r="B9" s="181" t="s">
        <v>109</v>
      </c>
      <c r="C9" s="15" t="s">
        <v>645</v>
      </c>
      <c r="D9" s="16" t="s">
        <v>62</v>
      </c>
      <c r="E9" s="99"/>
      <c r="F9" s="60">
        <v>122</v>
      </c>
      <c r="G9" s="53"/>
      <c r="H9" s="53"/>
      <c r="I9" s="53"/>
      <c r="J9" s="53"/>
      <c r="K9" s="53"/>
      <c r="L9" s="53"/>
      <c r="M9" s="54"/>
    </row>
    <row r="10" spans="1:13" s="711" customFormat="1" x14ac:dyDescent="0.25">
      <c r="A10" s="1109"/>
      <c r="B10" s="688"/>
      <c r="C10" s="57" t="s">
        <v>63</v>
      </c>
      <c r="D10" s="22" t="s">
        <v>64</v>
      </c>
      <c r="E10" s="61">
        <v>3.4000000000000002E-2</v>
      </c>
      <c r="F10" s="24">
        <f>E10*F9</f>
        <v>4.1480000000000006</v>
      </c>
      <c r="G10" s="24"/>
      <c r="H10" s="24"/>
      <c r="I10" s="24"/>
      <c r="J10" s="24"/>
      <c r="K10" s="24"/>
      <c r="L10" s="24"/>
      <c r="M10" s="25"/>
    </row>
    <row r="11" spans="1:13" s="711" customFormat="1" x14ac:dyDescent="0.25">
      <c r="A11" s="1109"/>
      <c r="B11" s="688"/>
      <c r="C11" s="57" t="s">
        <v>82</v>
      </c>
      <c r="D11" s="22" t="s">
        <v>78</v>
      </c>
      <c r="E11" s="61">
        <v>5.5999999999999999E-3</v>
      </c>
      <c r="F11" s="24">
        <f>E11*F9</f>
        <v>0.68320000000000003</v>
      </c>
      <c r="G11" s="24"/>
      <c r="H11" s="24"/>
      <c r="I11" s="24"/>
      <c r="J11" s="24"/>
      <c r="K11" s="24"/>
      <c r="L11" s="24"/>
      <c r="M11" s="25"/>
    </row>
    <row r="12" spans="1:13" s="711" customFormat="1" ht="30" x14ac:dyDescent="0.25">
      <c r="A12" s="1109"/>
      <c r="B12" s="673" t="s">
        <v>486</v>
      </c>
      <c r="C12" s="121" t="s">
        <v>103</v>
      </c>
      <c r="D12" s="22" t="s">
        <v>104</v>
      </c>
      <c r="E12" s="61">
        <v>8.0299999999999996E-2</v>
      </c>
      <c r="F12" s="24">
        <f>E12*F9</f>
        <v>9.7965999999999998</v>
      </c>
      <c r="G12" s="24"/>
      <c r="H12" s="24"/>
      <c r="I12" s="24"/>
      <c r="J12" s="24"/>
      <c r="K12" s="24"/>
      <c r="L12" s="24"/>
      <c r="M12" s="25"/>
    </row>
    <row r="13" spans="1:13" s="711" customFormat="1" ht="15.75" thickBot="1" x14ac:dyDescent="0.3">
      <c r="A13" s="1148"/>
      <c r="B13" s="355" t="s">
        <v>480</v>
      </c>
      <c r="C13" s="590" t="s">
        <v>374</v>
      </c>
      <c r="D13" s="17" t="s">
        <v>65</v>
      </c>
      <c r="E13" s="70">
        <v>1.8</v>
      </c>
      <c r="F13" s="127">
        <f>E13*F9</f>
        <v>219.6</v>
      </c>
      <c r="G13" s="27"/>
      <c r="H13" s="27"/>
      <c r="I13" s="27"/>
      <c r="J13" s="27"/>
      <c r="K13" s="27"/>
      <c r="L13" s="27"/>
      <c r="M13" s="28"/>
    </row>
    <row r="14" spans="1:13" s="711" customFormat="1" ht="30" x14ac:dyDescent="0.25">
      <c r="A14" s="1146">
        <v>2</v>
      </c>
      <c r="B14" s="1145" t="s">
        <v>105</v>
      </c>
      <c r="C14" s="560" t="s">
        <v>571</v>
      </c>
      <c r="D14" s="29" t="s">
        <v>62</v>
      </c>
      <c r="E14" s="806"/>
      <c r="F14" s="589">
        <v>25</v>
      </c>
      <c r="G14" s="150"/>
      <c r="H14" s="150"/>
      <c r="I14" s="150"/>
      <c r="J14" s="150"/>
      <c r="K14" s="150"/>
      <c r="L14" s="150"/>
      <c r="M14" s="211"/>
    </row>
    <row r="15" spans="1:13" s="711" customFormat="1" ht="15.75" x14ac:dyDescent="0.3">
      <c r="A15" s="1112"/>
      <c r="B15" s="1115"/>
      <c r="C15" s="306" t="s">
        <v>107</v>
      </c>
      <c r="D15" s="307" t="s">
        <v>64</v>
      </c>
      <c r="E15" s="304">
        <v>2.06</v>
      </c>
      <c r="F15" s="583">
        <f>F14*E15</f>
        <v>51.5</v>
      </c>
      <c r="G15" s="24"/>
      <c r="H15" s="24"/>
      <c r="I15" s="24"/>
      <c r="J15" s="24"/>
      <c r="K15" s="24"/>
      <c r="L15" s="24"/>
      <c r="M15" s="25"/>
    </row>
    <row r="16" spans="1:13" s="711" customFormat="1" ht="15.75" thickBot="1" x14ac:dyDescent="0.3">
      <c r="A16" s="1113"/>
      <c r="B16" s="673" t="s">
        <v>480</v>
      </c>
      <c r="C16" s="587" t="s">
        <v>156</v>
      </c>
      <c r="D16" s="33" t="s">
        <v>65</v>
      </c>
      <c r="E16" s="66">
        <v>1.8</v>
      </c>
      <c r="F16" s="396">
        <f>E16*(F14)</f>
        <v>45</v>
      </c>
      <c r="G16" s="67"/>
      <c r="H16" s="67"/>
      <c r="I16" s="67"/>
      <c r="J16" s="67"/>
      <c r="K16" s="67"/>
      <c r="L16" s="67"/>
      <c r="M16" s="95"/>
    </row>
    <row r="17" spans="1:13" s="711" customFormat="1" ht="45" x14ac:dyDescent="0.25">
      <c r="A17" s="1116">
        <v>3</v>
      </c>
      <c r="B17" s="643" t="s">
        <v>168</v>
      </c>
      <c r="C17" s="16" t="s">
        <v>372</v>
      </c>
      <c r="D17" s="16" t="s">
        <v>158</v>
      </c>
      <c r="E17" s="161"/>
      <c r="F17" s="60">
        <f>(140.25+18.21+15+112.37+25.76+78.4+358.92)*0.2/3</f>
        <v>49.927333333333337</v>
      </c>
      <c r="G17" s="223"/>
      <c r="H17" s="223"/>
      <c r="I17" s="223"/>
      <c r="J17" s="223"/>
      <c r="K17" s="223"/>
      <c r="L17" s="223"/>
      <c r="M17" s="722"/>
    </row>
    <row r="18" spans="1:13" s="711" customFormat="1" x14ac:dyDescent="0.25">
      <c r="A18" s="1117"/>
      <c r="B18" s="723"/>
      <c r="C18" s="121" t="s">
        <v>159</v>
      </c>
      <c r="D18" s="22" t="s">
        <v>64</v>
      </c>
      <c r="E18" s="158">
        <v>0.15</v>
      </c>
      <c r="F18" s="24">
        <f>E18*F17</f>
        <v>7.4891000000000005</v>
      </c>
      <c r="G18" s="409"/>
      <c r="H18" s="409"/>
      <c r="I18" s="409"/>
      <c r="J18" s="409"/>
      <c r="K18" s="409"/>
      <c r="L18" s="409"/>
      <c r="M18" s="25"/>
    </row>
    <row r="19" spans="1:13" s="711" customFormat="1" x14ac:dyDescent="0.25">
      <c r="A19" s="1117"/>
      <c r="B19" s="45" t="s">
        <v>476</v>
      </c>
      <c r="C19" s="153" t="s">
        <v>155</v>
      </c>
      <c r="D19" s="117" t="s">
        <v>97</v>
      </c>
      <c r="E19" s="154">
        <v>2.1600000000000001E-2</v>
      </c>
      <c r="F19" s="409">
        <f>E19*F17</f>
        <v>1.0784304000000002</v>
      </c>
      <c r="G19" s="40"/>
      <c r="H19" s="40"/>
      <c r="I19" s="40"/>
      <c r="J19" s="40"/>
      <c r="K19" s="40"/>
      <c r="L19" s="40"/>
      <c r="M19" s="25"/>
    </row>
    <row r="20" spans="1:13" s="711" customFormat="1" ht="22.5" x14ac:dyDescent="0.25">
      <c r="A20" s="1117"/>
      <c r="B20" s="688" t="s">
        <v>483</v>
      </c>
      <c r="C20" s="121" t="s">
        <v>160</v>
      </c>
      <c r="D20" s="22" t="s">
        <v>104</v>
      </c>
      <c r="E20" s="158">
        <v>2.7300000000000001E-2</v>
      </c>
      <c r="F20" s="24">
        <f>E20*F17</f>
        <v>1.3630162000000001</v>
      </c>
      <c r="G20" s="409"/>
      <c r="H20" s="409"/>
      <c r="I20" s="409"/>
      <c r="J20" s="409"/>
      <c r="K20" s="409"/>
      <c r="L20" s="40"/>
      <c r="M20" s="25"/>
    </row>
    <row r="21" spans="1:13" s="711" customFormat="1" ht="22.5" x14ac:dyDescent="0.25">
      <c r="A21" s="1117"/>
      <c r="B21" s="45" t="s">
        <v>488</v>
      </c>
      <c r="C21" s="31" t="s">
        <v>161</v>
      </c>
      <c r="D21" s="22" t="s">
        <v>104</v>
      </c>
      <c r="E21" s="158">
        <v>9.7000000000000003E-3</v>
      </c>
      <c r="F21" s="24">
        <f>E21*F17</f>
        <v>0.48429513333333341</v>
      </c>
      <c r="G21" s="409"/>
      <c r="H21" s="409"/>
      <c r="I21" s="409"/>
      <c r="J21" s="409"/>
      <c r="K21" s="409"/>
      <c r="L21" s="40"/>
      <c r="M21" s="25"/>
    </row>
    <row r="22" spans="1:13" s="711" customFormat="1" x14ac:dyDescent="0.25">
      <c r="A22" s="1117"/>
      <c r="B22" s="723"/>
      <c r="C22" s="121" t="s">
        <v>162</v>
      </c>
      <c r="D22" s="22" t="s">
        <v>163</v>
      </c>
      <c r="E22" s="158">
        <v>7.0000000000000007E-2</v>
      </c>
      <c r="F22" s="24">
        <f>E22*F17</f>
        <v>3.4949133333333338</v>
      </c>
      <c r="G22" s="409"/>
      <c r="H22" s="409"/>
      <c r="I22" s="409"/>
      <c r="J22" s="409"/>
      <c r="K22" s="409"/>
      <c r="L22" s="40"/>
      <c r="M22" s="25"/>
    </row>
    <row r="23" spans="1:13" s="711" customFormat="1" x14ac:dyDescent="0.25">
      <c r="A23" s="1117"/>
      <c r="B23" s="679" t="s">
        <v>489</v>
      </c>
      <c r="C23" s="79" t="s">
        <v>94</v>
      </c>
      <c r="D23" s="80" t="s">
        <v>62</v>
      </c>
      <c r="E23" s="81">
        <v>1.22</v>
      </c>
      <c r="F23" s="621">
        <f>E23*F17</f>
        <v>60.911346666666667</v>
      </c>
      <c r="G23" s="83"/>
      <c r="H23" s="83"/>
      <c r="I23" s="83"/>
      <c r="J23" s="83"/>
      <c r="K23" s="83"/>
      <c r="L23" s="83"/>
      <c r="M23" s="84"/>
    </row>
    <row r="24" spans="1:13" s="711" customFormat="1" ht="15.75" thickBot="1" x14ac:dyDescent="0.3">
      <c r="A24" s="1118"/>
      <c r="B24" s="507" t="s">
        <v>480</v>
      </c>
      <c r="C24" s="724" t="s">
        <v>664</v>
      </c>
      <c r="D24" s="17" t="s">
        <v>65</v>
      </c>
      <c r="E24" s="162">
        <v>1.55</v>
      </c>
      <c r="F24" s="127">
        <f>E24*F23</f>
        <v>94.412587333333335</v>
      </c>
      <c r="G24" s="581"/>
      <c r="H24" s="581"/>
      <c r="I24" s="581"/>
      <c r="J24" s="581"/>
      <c r="K24" s="581"/>
      <c r="L24" s="581"/>
      <c r="M24" s="725"/>
    </row>
    <row r="25" spans="1:13" s="711" customFormat="1" x14ac:dyDescent="0.25">
      <c r="A25" s="1119">
        <v>4</v>
      </c>
      <c r="B25" s="591" t="s">
        <v>170</v>
      </c>
      <c r="C25" s="171" t="s">
        <v>164</v>
      </c>
      <c r="D25" s="171" t="s">
        <v>88</v>
      </c>
      <c r="E25" s="172"/>
      <c r="F25" s="213">
        <f>27.15+47.85+50.76+4.28+4.59+1.06*2+22+15.9+15.55+7+2.3+3.25-28.1</f>
        <v>174.65000000000003</v>
      </c>
      <c r="G25" s="726"/>
      <c r="H25" s="726"/>
      <c r="I25" s="726"/>
      <c r="J25" s="726"/>
      <c r="K25" s="726"/>
      <c r="L25" s="726"/>
      <c r="M25" s="727"/>
    </row>
    <row r="26" spans="1:13" s="711" customFormat="1" x14ac:dyDescent="0.25">
      <c r="A26" s="1119"/>
      <c r="B26" s="177"/>
      <c r="C26" s="159" t="s">
        <v>63</v>
      </c>
      <c r="D26" s="158" t="s">
        <v>165</v>
      </c>
      <c r="E26" s="158">
        <v>1.1100000000000001</v>
      </c>
      <c r="F26" s="24">
        <f>F25*E26</f>
        <v>193.86150000000006</v>
      </c>
      <c r="G26" s="409"/>
      <c r="H26" s="409"/>
      <c r="I26" s="409"/>
      <c r="J26" s="409"/>
      <c r="K26" s="409"/>
      <c r="L26" s="409"/>
      <c r="M26" s="25"/>
    </row>
    <row r="27" spans="1:13" s="711" customFormat="1" x14ac:dyDescent="0.25">
      <c r="A27" s="1119"/>
      <c r="B27" s="177"/>
      <c r="C27" s="159" t="s">
        <v>166</v>
      </c>
      <c r="D27" s="158" t="s">
        <v>78</v>
      </c>
      <c r="E27" s="158">
        <v>7.1000000000000004E-3</v>
      </c>
      <c r="F27" s="24">
        <f>E27*F25</f>
        <v>1.2400150000000003</v>
      </c>
      <c r="G27" s="409"/>
      <c r="H27" s="409"/>
      <c r="I27" s="409"/>
      <c r="J27" s="409"/>
      <c r="K27" s="67"/>
      <c r="L27" s="409"/>
      <c r="M27" s="25"/>
    </row>
    <row r="28" spans="1:13" s="711" customFormat="1" x14ac:dyDescent="0.25">
      <c r="A28" s="1119"/>
      <c r="B28" s="45" t="s">
        <v>477</v>
      </c>
      <c r="C28" s="160" t="s">
        <v>173</v>
      </c>
      <c r="D28" s="158" t="s">
        <v>88</v>
      </c>
      <c r="E28" s="168">
        <v>1</v>
      </c>
      <c r="F28" s="24">
        <f>F25*E28</f>
        <v>174.65000000000003</v>
      </c>
      <c r="G28" s="409"/>
      <c r="H28" s="40"/>
      <c r="I28" s="409"/>
      <c r="J28" s="409"/>
      <c r="K28" s="409"/>
      <c r="L28" s="409"/>
      <c r="M28" s="25"/>
    </row>
    <row r="29" spans="1:13" s="711" customFormat="1" x14ac:dyDescent="0.25">
      <c r="A29" s="1119"/>
      <c r="B29" s="364" t="s">
        <v>478</v>
      </c>
      <c r="C29" s="165" t="s">
        <v>171</v>
      </c>
      <c r="D29" s="166" t="s">
        <v>62</v>
      </c>
      <c r="E29" s="166">
        <v>3.9E-2</v>
      </c>
      <c r="F29" s="24">
        <f>E29*F25</f>
        <v>6.8113500000000009</v>
      </c>
      <c r="G29" s="24"/>
      <c r="H29" s="40"/>
      <c r="I29" s="40"/>
      <c r="J29" s="40"/>
      <c r="K29" s="40"/>
      <c r="L29" s="40"/>
      <c r="M29" s="41"/>
    </row>
    <row r="30" spans="1:13" s="711" customFormat="1" x14ac:dyDescent="0.25">
      <c r="A30" s="1119"/>
      <c r="B30" s="679" t="s">
        <v>495</v>
      </c>
      <c r="C30" s="165" t="s">
        <v>172</v>
      </c>
      <c r="D30" s="166" t="s">
        <v>62</v>
      </c>
      <c r="E30" s="166">
        <v>5.9999999999999995E-4</v>
      </c>
      <c r="F30" s="24">
        <f>E30*F25</f>
        <v>0.10479000000000001</v>
      </c>
      <c r="G30" s="24"/>
      <c r="H30" s="40"/>
      <c r="I30" s="40"/>
      <c r="J30" s="40"/>
      <c r="K30" s="40"/>
      <c r="L30" s="40"/>
      <c r="M30" s="41"/>
    </row>
    <row r="31" spans="1:13" s="711" customFormat="1" ht="15.75" thickBot="1" x14ac:dyDescent="0.3">
      <c r="A31" s="1120"/>
      <c r="B31" s="115"/>
      <c r="C31" s="163" t="s">
        <v>119</v>
      </c>
      <c r="D31" s="162" t="s">
        <v>78</v>
      </c>
      <c r="E31" s="162">
        <v>9.6000000000000002E-2</v>
      </c>
      <c r="F31" s="27">
        <f>E31*F25</f>
        <v>16.766400000000004</v>
      </c>
      <c r="G31" s="581"/>
      <c r="H31" s="581"/>
      <c r="I31" s="581"/>
      <c r="J31" s="581"/>
      <c r="K31" s="581"/>
      <c r="L31" s="581"/>
      <c r="M31" s="85"/>
    </row>
    <row r="32" spans="1:13" s="711" customFormat="1" ht="30" x14ac:dyDescent="0.25">
      <c r="A32" s="1121">
        <v>5</v>
      </c>
      <c r="B32" s="681" t="s">
        <v>660</v>
      </c>
      <c r="C32" s="16" t="s">
        <v>181</v>
      </c>
      <c r="D32" s="16" t="s">
        <v>174</v>
      </c>
      <c r="E32" s="161"/>
      <c r="F32" s="60">
        <f>(140.25+18.21+112.37+25.76+78.4+358.92)*0.8</f>
        <v>587.12800000000004</v>
      </c>
      <c r="G32" s="731"/>
      <c r="H32" s="731"/>
      <c r="I32" s="731"/>
      <c r="J32" s="731"/>
      <c r="K32" s="731"/>
      <c r="L32" s="731"/>
      <c r="M32" s="732"/>
    </row>
    <row r="33" spans="1:13" s="711" customFormat="1" x14ac:dyDescent="0.25">
      <c r="A33" s="1122"/>
      <c r="B33" s="45"/>
      <c r="C33" s="121" t="s">
        <v>175</v>
      </c>
      <c r="D33" s="22" t="s">
        <v>64</v>
      </c>
      <c r="E33" s="158">
        <v>5.5800000000000002E-2</v>
      </c>
      <c r="F33" s="24">
        <f>E33*F32</f>
        <v>32.761742400000003</v>
      </c>
      <c r="G33" s="409"/>
      <c r="H33" s="409"/>
      <c r="I33" s="409"/>
      <c r="J33" s="409"/>
      <c r="K33" s="409"/>
      <c r="L33" s="409"/>
      <c r="M33" s="25"/>
    </row>
    <row r="34" spans="1:13" s="711" customFormat="1" x14ac:dyDescent="0.25">
      <c r="A34" s="1122"/>
      <c r="B34" s="45" t="s">
        <v>476</v>
      </c>
      <c r="C34" s="153" t="s">
        <v>155</v>
      </c>
      <c r="D34" s="117" t="s">
        <v>97</v>
      </c>
      <c r="E34" s="734">
        <f>3.88/1000</f>
        <v>3.8799999999999998E-3</v>
      </c>
      <c r="F34" s="409">
        <f>E34*F32</f>
        <v>2.27805664</v>
      </c>
      <c r="G34" s="40"/>
      <c r="H34" s="40"/>
      <c r="I34" s="40"/>
      <c r="J34" s="40"/>
      <c r="K34" s="40"/>
      <c r="L34" s="40"/>
      <c r="M34" s="25"/>
    </row>
    <row r="35" spans="1:13" s="711" customFormat="1" ht="22.5" x14ac:dyDescent="0.25">
      <c r="A35" s="1122"/>
      <c r="B35" s="45" t="s">
        <v>481</v>
      </c>
      <c r="C35" s="121" t="s">
        <v>176</v>
      </c>
      <c r="D35" s="22" t="s">
        <v>104</v>
      </c>
      <c r="E35" s="158">
        <v>7.1000000000000002E-4</v>
      </c>
      <c r="F35" s="24">
        <f>E35*F32</f>
        <v>0.41686088000000004</v>
      </c>
      <c r="G35" s="409"/>
      <c r="H35" s="409"/>
      <c r="I35" s="409"/>
      <c r="J35" s="409"/>
      <c r="K35" s="409"/>
      <c r="L35" s="40"/>
      <c r="M35" s="25"/>
    </row>
    <row r="36" spans="1:13" s="711" customFormat="1" ht="22.5" x14ac:dyDescent="0.25">
      <c r="A36" s="1122"/>
      <c r="B36" s="688" t="s">
        <v>484</v>
      </c>
      <c r="C36" s="121" t="s">
        <v>177</v>
      </c>
      <c r="D36" s="22" t="s">
        <v>104</v>
      </c>
      <c r="E36" s="158">
        <v>8.2199999999999999E-3</v>
      </c>
      <c r="F36" s="24">
        <f>E36*F32</f>
        <v>4.8261921600000006</v>
      </c>
      <c r="G36" s="409"/>
      <c r="H36" s="409"/>
      <c r="I36" s="409"/>
      <c r="J36" s="409"/>
      <c r="K36" s="409"/>
      <c r="L36" s="40"/>
      <c r="M36" s="25"/>
    </row>
    <row r="37" spans="1:13" s="711" customFormat="1" ht="22.5" x14ac:dyDescent="0.25">
      <c r="A37" s="1122"/>
      <c r="B37" s="688" t="s">
        <v>485</v>
      </c>
      <c r="C37" s="121" t="s">
        <v>169</v>
      </c>
      <c r="D37" s="22" t="s">
        <v>104</v>
      </c>
      <c r="E37" s="158">
        <v>2.1399999999999999E-2</v>
      </c>
      <c r="F37" s="24">
        <f>E37*F32</f>
        <v>12.5645392</v>
      </c>
      <c r="G37" s="409"/>
      <c r="H37" s="409"/>
      <c r="I37" s="409"/>
      <c r="J37" s="409"/>
      <c r="K37" s="409"/>
      <c r="L37" s="40"/>
      <c r="M37" s="25"/>
    </row>
    <row r="38" spans="1:13" s="711" customFormat="1" ht="22.5" x14ac:dyDescent="0.25">
      <c r="A38" s="1122"/>
      <c r="B38" s="45" t="s">
        <v>488</v>
      </c>
      <c r="C38" s="121" t="s">
        <v>161</v>
      </c>
      <c r="D38" s="22" t="s">
        <v>104</v>
      </c>
      <c r="E38" s="158">
        <v>3.5000000000000001E-3</v>
      </c>
      <c r="F38" s="24">
        <f>E38*F32</f>
        <v>2.054948</v>
      </c>
      <c r="G38" s="409"/>
      <c r="H38" s="409"/>
      <c r="I38" s="409"/>
      <c r="J38" s="409"/>
      <c r="K38" s="409"/>
      <c r="L38" s="40"/>
      <c r="M38" s="25"/>
    </row>
    <row r="39" spans="1:13" s="711" customFormat="1" x14ac:dyDescent="0.25">
      <c r="A39" s="1122"/>
      <c r="B39" s="45"/>
      <c r="C39" s="121" t="s">
        <v>121</v>
      </c>
      <c r="D39" s="22" t="s">
        <v>104</v>
      </c>
      <c r="E39" s="158">
        <v>1.0200000000000001E-3</v>
      </c>
      <c r="F39" s="24">
        <f>E39*F32</f>
        <v>0.59887056000000005</v>
      </c>
      <c r="G39" s="409"/>
      <c r="H39" s="409"/>
      <c r="I39" s="409"/>
      <c r="J39" s="409"/>
      <c r="K39" s="409"/>
      <c r="L39" s="40"/>
      <c r="M39" s="25"/>
    </row>
    <row r="40" spans="1:13" s="711" customFormat="1" x14ac:dyDescent="0.25">
      <c r="A40" s="1122"/>
      <c r="B40" s="45" t="s">
        <v>490</v>
      </c>
      <c r="C40" s="121" t="s">
        <v>178</v>
      </c>
      <c r="D40" s="22" t="s">
        <v>163</v>
      </c>
      <c r="E40" s="807">
        <f>8*0.0665/6</f>
        <v>8.8666666666666671E-2</v>
      </c>
      <c r="F40" s="669">
        <f>E40*F32</f>
        <v>52.058682666666677</v>
      </c>
      <c r="G40" s="409"/>
      <c r="H40" s="409"/>
      <c r="I40" s="409"/>
      <c r="J40" s="409"/>
      <c r="K40" s="409"/>
      <c r="L40" s="40"/>
      <c r="M40" s="25"/>
    </row>
    <row r="41" spans="1:13" s="711" customFormat="1" ht="15.75" thickBot="1" x14ac:dyDescent="0.3">
      <c r="A41" s="1123"/>
      <c r="B41" s="115" t="s">
        <v>480</v>
      </c>
      <c r="C41" s="724" t="s">
        <v>180</v>
      </c>
      <c r="D41" s="17" t="s">
        <v>65</v>
      </c>
      <c r="E41" s="162">
        <v>1.6</v>
      </c>
      <c r="F41" s="127">
        <f>E41*F40</f>
        <v>83.293892266666688</v>
      </c>
      <c r="G41" s="581"/>
      <c r="H41" s="581"/>
      <c r="I41" s="581"/>
      <c r="J41" s="581"/>
      <c r="K41" s="581"/>
      <c r="L41" s="49"/>
      <c r="M41" s="28"/>
    </row>
    <row r="42" spans="1:13" s="711" customFormat="1" ht="30" x14ac:dyDescent="0.25">
      <c r="A42" s="1124">
        <v>6</v>
      </c>
      <c r="B42" s="59" t="s">
        <v>182</v>
      </c>
      <c r="C42" s="15" t="s">
        <v>724</v>
      </c>
      <c r="D42" s="16" t="s">
        <v>76</v>
      </c>
      <c r="E42" s="736"/>
      <c r="F42" s="60">
        <f>(140.25+18.21+112.37+25.76+78.4+358.92)*0.2</f>
        <v>146.78200000000001</v>
      </c>
      <c r="G42" s="223"/>
      <c r="H42" s="223"/>
      <c r="I42" s="223"/>
      <c r="J42" s="223"/>
      <c r="K42" s="223"/>
      <c r="L42" s="223"/>
      <c r="M42" s="722"/>
    </row>
    <row r="43" spans="1:13" s="711" customFormat="1" x14ac:dyDescent="0.25">
      <c r="A43" s="1119"/>
      <c r="B43" s="123"/>
      <c r="C43" s="363" t="s">
        <v>680</v>
      </c>
      <c r="D43" s="116" t="s">
        <v>64</v>
      </c>
      <c r="E43" s="737">
        <f>(405-10*4.64)/1000</f>
        <v>0.35860000000000003</v>
      </c>
      <c r="F43" s="409">
        <f>F42*E43</f>
        <v>52.636025200000006</v>
      </c>
      <c r="G43" s="409"/>
      <c r="H43" s="409"/>
      <c r="I43" s="409"/>
      <c r="J43" s="409"/>
      <c r="K43" s="409"/>
      <c r="L43" s="409"/>
      <c r="M43" s="25"/>
    </row>
    <row r="44" spans="1:13" s="711" customFormat="1" ht="22.5" x14ac:dyDescent="0.25">
      <c r="A44" s="1119"/>
      <c r="B44" s="45" t="s">
        <v>488</v>
      </c>
      <c r="C44" s="121" t="s">
        <v>183</v>
      </c>
      <c r="D44" s="22" t="s">
        <v>104</v>
      </c>
      <c r="E44" s="155">
        <f>22.6/1000</f>
        <v>2.2600000000000002E-2</v>
      </c>
      <c r="F44" s="409">
        <f>F42*E44</f>
        <v>3.3172732000000007</v>
      </c>
      <c r="G44" s="409"/>
      <c r="H44" s="409"/>
      <c r="I44" s="409"/>
      <c r="J44" s="409"/>
      <c r="K44" s="409"/>
      <c r="L44" s="409"/>
      <c r="M44" s="25"/>
    </row>
    <row r="45" spans="1:13" s="711" customFormat="1" x14ac:dyDescent="0.25">
      <c r="A45" s="1119"/>
      <c r="B45" s="123"/>
      <c r="C45" s="121" t="s">
        <v>166</v>
      </c>
      <c r="D45" s="116" t="s">
        <v>78</v>
      </c>
      <c r="E45" s="155">
        <f>(13.5-0.1*10)/1000</f>
        <v>1.2500000000000001E-2</v>
      </c>
      <c r="F45" s="409">
        <f>E45*F42</f>
        <v>1.8347750000000003</v>
      </c>
      <c r="G45" s="409"/>
      <c r="H45" s="409"/>
      <c r="I45" s="409"/>
      <c r="J45" s="409"/>
      <c r="K45" s="409"/>
      <c r="L45" s="409"/>
      <c r="M45" s="25"/>
    </row>
    <row r="46" spans="1:13" s="711" customFormat="1" ht="15.75" x14ac:dyDescent="0.25">
      <c r="A46" s="1119"/>
      <c r="B46" s="679" t="s">
        <v>478</v>
      </c>
      <c r="C46" s="21" t="s">
        <v>185</v>
      </c>
      <c r="D46" s="22" t="s">
        <v>739</v>
      </c>
      <c r="E46" s="738">
        <f>(204-10*10.2)/1000</f>
        <v>0.10199999999999999</v>
      </c>
      <c r="F46" s="409">
        <f>F42*E46</f>
        <v>14.971764</v>
      </c>
      <c r="G46" s="409"/>
      <c r="H46" s="40"/>
      <c r="I46" s="409"/>
      <c r="J46" s="409"/>
      <c r="K46" s="409"/>
      <c r="L46" s="409"/>
      <c r="M46" s="25"/>
    </row>
    <row r="47" spans="1:13" s="711" customFormat="1" x14ac:dyDescent="0.25">
      <c r="A47" s="1119"/>
      <c r="B47" s="688" t="s">
        <v>681</v>
      </c>
      <c r="C47" s="21" t="s">
        <v>186</v>
      </c>
      <c r="D47" s="22" t="s">
        <v>88</v>
      </c>
      <c r="E47" s="295" t="s">
        <v>72</v>
      </c>
      <c r="F47" s="584">
        <f>F42*10.04</f>
        <v>1473.69128</v>
      </c>
      <c r="G47" s="409"/>
      <c r="H47" s="40"/>
      <c r="I47" s="409"/>
      <c r="J47" s="409"/>
      <c r="K47" s="409"/>
      <c r="L47" s="409"/>
      <c r="M47" s="25"/>
    </row>
    <row r="48" spans="1:13" s="711" customFormat="1" x14ac:dyDescent="0.25">
      <c r="A48" s="1119"/>
      <c r="B48" s="45" t="s">
        <v>487</v>
      </c>
      <c r="C48" s="21" t="s">
        <v>187</v>
      </c>
      <c r="D48" s="22" t="s">
        <v>71</v>
      </c>
      <c r="E48" s="295" t="s">
        <v>72</v>
      </c>
      <c r="F48" s="584">
        <f>F42*0.05</f>
        <v>7.3391000000000011</v>
      </c>
      <c r="G48" s="409"/>
      <c r="H48" s="40"/>
      <c r="I48" s="409"/>
      <c r="J48" s="409"/>
      <c r="K48" s="409"/>
      <c r="L48" s="409"/>
      <c r="M48" s="25"/>
    </row>
    <row r="49" spans="1:13" s="711" customFormat="1" x14ac:dyDescent="0.25">
      <c r="A49" s="1119"/>
      <c r="B49" s="679" t="s">
        <v>492</v>
      </c>
      <c r="C49" s="21" t="s">
        <v>184</v>
      </c>
      <c r="D49" s="22" t="s">
        <v>76</v>
      </c>
      <c r="E49" s="175">
        <f>(11.7-0.59*10)/100</f>
        <v>5.7999999999999996E-2</v>
      </c>
      <c r="F49" s="409">
        <f>F42*E49</f>
        <v>8.5133559999999999</v>
      </c>
      <c r="G49" s="409"/>
      <c r="H49" s="40"/>
      <c r="I49" s="409"/>
      <c r="J49" s="409"/>
      <c r="K49" s="409"/>
      <c r="L49" s="409"/>
      <c r="M49" s="25"/>
    </row>
    <row r="50" spans="1:13" s="711" customFormat="1" ht="15.75" thickBot="1" x14ac:dyDescent="0.3">
      <c r="A50" s="1120"/>
      <c r="B50" s="179"/>
      <c r="C50" s="58" t="s">
        <v>85</v>
      </c>
      <c r="D50" s="176" t="s">
        <v>78</v>
      </c>
      <c r="E50" s="739">
        <f>(6.4-0.19*10)/100</f>
        <v>4.4999999999999998E-2</v>
      </c>
      <c r="F50" s="581">
        <f>F42*E50</f>
        <v>6.6051900000000003</v>
      </c>
      <c r="G50" s="581"/>
      <c r="H50" s="49"/>
      <c r="I50" s="581"/>
      <c r="J50" s="581"/>
      <c r="K50" s="581"/>
      <c r="L50" s="581"/>
      <c r="M50" s="28"/>
    </row>
    <row r="51" spans="1:13" s="711" customFormat="1" ht="45" x14ac:dyDescent="0.25">
      <c r="A51" s="1086">
        <v>7</v>
      </c>
      <c r="B51" s="322" t="s">
        <v>189</v>
      </c>
      <c r="C51" s="86" t="s">
        <v>188</v>
      </c>
      <c r="D51" s="19" t="s">
        <v>76</v>
      </c>
      <c r="E51" s="676"/>
      <c r="F51" s="19">
        <f>F42</f>
        <v>146.78200000000001</v>
      </c>
      <c r="G51" s="19"/>
      <c r="H51" s="19"/>
      <c r="I51" s="19"/>
      <c r="J51" s="19"/>
      <c r="K51" s="19"/>
      <c r="L51" s="19"/>
      <c r="M51" s="20"/>
    </row>
    <row r="52" spans="1:13" s="711" customFormat="1" x14ac:dyDescent="0.25">
      <c r="A52" s="1087"/>
      <c r="B52" s="679"/>
      <c r="C52" s="37" t="s">
        <v>67</v>
      </c>
      <c r="D52" s="38" t="s">
        <v>68</v>
      </c>
      <c r="E52" s="39">
        <v>3.86</v>
      </c>
      <c r="F52" s="40">
        <f>F51*E52</f>
        <v>566.57852000000003</v>
      </c>
      <c r="G52" s="75"/>
      <c r="H52" s="40"/>
      <c r="I52" s="40"/>
      <c r="J52" s="40"/>
      <c r="K52" s="40"/>
      <c r="L52" s="40"/>
      <c r="M52" s="41"/>
    </row>
    <row r="53" spans="1:13" s="711" customFormat="1" x14ac:dyDescent="0.25">
      <c r="A53" s="1087"/>
      <c r="B53" s="679" t="s">
        <v>494</v>
      </c>
      <c r="C53" s="37" t="s">
        <v>392</v>
      </c>
      <c r="D53" s="38" t="s">
        <v>71</v>
      </c>
      <c r="E53" s="39">
        <v>6</v>
      </c>
      <c r="F53" s="40">
        <f>F51*E53</f>
        <v>880.69200000000001</v>
      </c>
      <c r="G53" s="40"/>
      <c r="H53" s="40"/>
      <c r="I53" s="40"/>
      <c r="J53" s="40"/>
      <c r="K53" s="40"/>
      <c r="L53" s="40"/>
      <c r="M53" s="41"/>
    </row>
    <row r="54" spans="1:13" s="711" customFormat="1" x14ac:dyDescent="0.25">
      <c r="A54" s="1087"/>
      <c r="B54" s="679" t="s">
        <v>482</v>
      </c>
      <c r="C54" s="42" t="s">
        <v>190</v>
      </c>
      <c r="D54" s="38" t="s">
        <v>76</v>
      </c>
      <c r="E54" s="39">
        <v>1</v>
      </c>
      <c r="F54" s="40">
        <f>F51*E54</f>
        <v>146.78200000000001</v>
      </c>
      <c r="G54" s="40"/>
      <c r="H54" s="40"/>
      <c r="I54" s="40"/>
      <c r="J54" s="40"/>
      <c r="K54" s="40"/>
      <c r="L54" s="40"/>
      <c r="M54" s="41"/>
    </row>
    <row r="55" spans="1:13" s="711" customFormat="1" x14ac:dyDescent="0.25">
      <c r="A55" s="1087"/>
      <c r="B55" s="679"/>
      <c r="C55" s="37" t="s">
        <v>77</v>
      </c>
      <c r="D55" s="38" t="s">
        <v>78</v>
      </c>
      <c r="E55" s="39">
        <v>3.5999999999999997E-2</v>
      </c>
      <c r="F55" s="40">
        <f>F51*E55</f>
        <v>5.2841519999999997</v>
      </c>
      <c r="G55" s="75"/>
      <c r="H55" s="40"/>
      <c r="I55" s="40"/>
      <c r="J55" s="40"/>
      <c r="K55" s="40"/>
      <c r="L55" s="40"/>
      <c r="M55" s="41"/>
    </row>
    <row r="56" spans="1:13" s="711" customFormat="1" ht="15.75" thickBot="1" x14ac:dyDescent="0.3">
      <c r="A56" s="1088"/>
      <c r="B56" s="355"/>
      <c r="C56" s="47" t="s">
        <v>85</v>
      </c>
      <c r="D56" s="342" t="s">
        <v>78</v>
      </c>
      <c r="E56" s="48">
        <v>4.2999999999999997E-2</v>
      </c>
      <c r="F56" s="49">
        <f>F51*E56</f>
        <v>6.3116259999999995</v>
      </c>
      <c r="G56" s="49"/>
      <c r="H56" s="49"/>
      <c r="I56" s="49"/>
      <c r="J56" s="49"/>
      <c r="K56" s="49"/>
      <c r="L56" s="49"/>
      <c r="M56" s="50"/>
    </row>
    <row r="57" spans="1:13" s="711" customFormat="1" ht="45" x14ac:dyDescent="0.25">
      <c r="A57" s="1125">
        <v>8</v>
      </c>
      <c r="B57" s="592" t="s">
        <v>192</v>
      </c>
      <c r="C57" s="93" t="s">
        <v>196</v>
      </c>
      <c r="D57" s="93" t="s">
        <v>62</v>
      </c>
      <c r="E57" s="161"/>
      <c r="F57" s="60">
        <f>(140.25+18.21+112.37+25.76+78.4+358.92)*0.8*0.05</f>
        <v>29.356400000000004</v>
      </c>
      <c r="G57" s="731"/>
      <c r="H57" s="731"/>
      <c r="I57" s="731"/>
      <c r="J57" s="731"/>
      <c r="K57" s="731"/>
      <c r="L57" s="731"/>
      <c r="M57" s="732"/>
    </row>
    <row r="58" spans="1:13" s="711" customFormat="1" x14ac:dyDescent="0.25">
      <c r="A58" s="1126"/>
      <c r="B58" s="45"/>
      <c r="C58" s="159" t="s">
        <v>63</v>
      </c>
      <c r="D58" s="158" t="s">
        <v>165</v>
      </c>
      <c r="E58" s="158">
        <v>2.12</v>
      </c>
      <c r="F58" s="24">
        <f>F57*E58</f>
        <v>62.235568000000015</v>
      </c>
      <c r="G58" s="409"/>
      <c r="H58" s="409"/>
      <c r="I58" s="40"/>
      <c r="J58" s="40"/>
      <c r="K58" s="409"/>
      <c r="L58" s="409"/>
      <c r="M58" s="41"/>
    </row>
    <row r="59" spans="1:13" s="711" customFormat="1" x14ac:dyDescent="0.25">
      <c r="A59" s="1126"/>
      <c r="B59" s="45"/>
      <c r="C59" s="160" t="s">
        <v>166</v>
      </c>
      <c r="D59" s="158" t="s">
        <v>78</v>
      </c>
      <c r="E59" s="158">
        <v>0.10100000000000001</v>
      </c>
      <c r="F59" s="24">
        <f>E59*F57</f>
        <v>2.9649964000000004</v>
      </c>
      <c r="G59" s="409"/>
      <c r="H59" s="409"/>
      <c r="I59" s="409"/>
      <c r="J59" s="409"/>
      <c r="K59" s="67"/>
      <c r="L59" s="409"/>
      <c r="M59" s="41"/>
    </row>
    <row r="60" spans="1:13" s="711" customFormat="1" x14ac:dyDescent="0.25">
      <c r="A60" s="1126"/>
      <c r="B60" s="45" t="s">
        <v>491</v>
      </c>
      <c r="C60" s="159" t="s">
        <v>191</v>
      </c>
      <c r="D60" s="158" t="s">
        <v>62</v>
      </c>
      <c r="E60" s="158">
        <v>1.1000000000000001</v>
      </c>
      <c r="F60" s="24">
        <f>E60*F57</f>
        <v>32.292040000000007</v>
      </c>
      <c r="G60" s="409"/>
      <c r="H60" s="409"/>
      <c r="I60" s="409"/>
      <c r="J60" s="409"/>
      <c r="K60" s="409"/>
      <c r="L60" s="409"/>
      <c r="M60" s="41"/>
    </row>
    <row r="61" spans="1:13" s="711" customFormat="1" x14ac:dyDescent="0.25">
      <c r="A61" s="1126"/>
      <c r="B61" s="64" t="s">
        <v>480</v>
      </c>
      <c r="C61" s="585" t="s">
        <v>631</v>
      </c>
      <c r="D61" s="174" t="s">
        <v>65</v>
      </c>
      <c r="E61" s="174">
        <v>1.5</v>
      </c>
      <c r="F61" s="396">
        <f>E61*F60</f>
        <v>48.438060000000007</v>
      </c>
      <c r="G61" s="572"/>
      <c r="H61" s="572"/>
      <c r="I61" s="572"/>
      <c r="J61" s="409"/>
      <c r="K61" s="409"/>
      <c r="L61" s="40"/>
      <c r="M61" s="25"/>
    </row>
    <row r="62" spans="1:13" s="711" customFormat="1" ht="16.5" thickBot="1" x14ac:dyDescent="0.35">
      <c r="A62" s="1126"/>
      <c r="B62" s="740" t="s">
        <v>493</v>
      </c>
      <c r="C62" s="741" t="s">
        <v>194</v>
      </c>
      <c r="D62" s="571" t="s">
        <v>65</v>
      </c>
      <c r="E62" s="742">
        <f>E60*1.5*0.1</f>
        <v>0.16500000000000004</v>
      </c>
      <c r="F62" s="572">
        <f>E62*F57</f>
        <v>4.8438060000000016</v>
      </c>
      <c r="G62" s="572"/>
      <c r="H62" s="572"/>
      <c r="I62" s="572"/>
      <c r="J62" s="572"/>
      <c r="K62" s="572"/>
      <c r="L62" s="572"/>
      <c r="M62" s="678"/>
    </row>
    <row r="63" spans="1:13" s="711" customFormat="1" ht="30" x14ac:dyDescent="0.25">
      <c r="A63" s="1136">
        <v>9</v>
      </c>
      <c r="B63" s="636" t="s">
        <v>195</v>
      </c>
      <c r="C63" s="359" t="s">
        <v>725</v>
      </c>
      <c r="D63" s="93" t="s">
        <v>76</v>
      </c>
      <c r="E63" s="161"/>
      <c r="F63" s="60">
        <f>(140.25+18.21+112.37+25.76+78.4+358.92)*0.8</f>
        <v>587.12800000000004</v>
      </c>
      <c r="G63" s="731"/>
      <c r="H63" s="731"/>
      <c r="I63" s="731"/>
      <c r="J63" s="731"/>
      <c r="K63" s="731"/>
      <c r="L63" s="731"/>
      <c r="M63" s="732"/>
    </row>
    <row r="64" spans="1:13" s="711" customFormat="1" x14ac:dyDescent="0.25">
      <c r="A64" s="1137"/>
      <c r="B64" s="169"/>
      <c r="C64" s="159" t="s">
        <v>63</v>
      </c>
      <c r="D64" s="158" t="s">
        <v>165</v>
      </c>
      <c r="E64" s="158">
        <v>0.40200000000000002</v>
      </c>
      <c r="F64" s="24">
        <f>F63*E64</f>
        <v>236.02545600000002</v>
      </c>
      <c r="G64" s="409"/>
      <c r="H64" s="409"/>
      <c r="I64" s="40"/>
      <c r="J64" s="40"/>
      <c r="K64" s="409"/>
      <c r="L64" s="409"/>
      <c r="M64" s="41"/>
    </row>
    <row r="65" spans="1:13" s="711" customFormat="1" x14ac:dyDescent="0.25">
      <c r="A65" s="1137"/>
      <c r="B65" s="169"/>
      <c r="C65" s="159" t="s">
        <v>166</v>
      </c>
      <c r="D65" s="158" t="s">
        <v>78</v>
      </c>
      <c r="E65" s="158">
        <v>0.129</v>
      </c>
      <c r="F65" s="24">
        <f>F63*E65</f>
        <v>75.739512000000005</v>
      </c>
      <c r="G65" s="409"/>
      <c r="H65" s="409"/>
      <c r="I65" s="409"/>
      <c r="J65" s="409"/>
      <c r="K65" s="24"/>
      <c r="L65" s="409"/>
      <c r="M65" s="41"/>
    </row>
    <row r="66" spans="1:13" s="711" customFormat="1" x14ac:dyDescent="0.25">
      <c r="A66" s="1137"/>
      <c r="B66" s="169" t="s">
        <v>479</v>
      </c>
      <c r="C66" s="745" t="s">
        <v>683</v>
      </c>
      <c r="D66" s="158" t="s">
        <v>76</v>
      </c>
      <c r="E66" s="167">
        <v>1</v>
      </c>
      <c r="F66" s="24">
        <f>E66*F63</f>
        <v>587.12800000000004</v>
      </c>
      <c r="G66" s="409"/>
      <c r="H66" s="409"/>
      <c r="I66" s="409"/>
      <c r="J66" s="409"/>
      <c r="K66" s="409"/>
      <c r="L66" s="409"/>
      <c r="M66" s="41"/>
    </row>
    <row r="67" spans="1:13" s="711" customFormat="1" x14ac:dyDescent="0.25">
      <c r="A67" s="1137"/>
      <c r="B67" s="45" t="s">
        <v>491</v>
      </c>
      <c r="C67" s="159" t="s">
        <v>191</v>
      </c>
      <c r="D67" s="158" t="s">
        <v>62</v>
      </c>
      <c r="E67" s="158">
        <v>5.0000000000000001E-4</v>
      </c>
      <c r="F67" s="24">
        <f>E67*F63</f>
        <v>0.29356400000000005</v>
      </c>
      <c r="G67" s="409"/>
      <c r="H67" s="409"/>
      <c r="I67" s="409"/>
      <c r="J67" s="409"/>
      <c r="K67" s="409"/>
      <c r="L67" s="409"/>
      <c r="M67" s="41"/>
    </row>
    <row r="68" spans="1:13" s="711" customFormat="1" ht="15.75" thickBot="1" x14ac:dyDescent="0.3">
      <c r="A68" s="1138"/>
      <c r="B68" s="283" t="s">
        <v>480</v>
      </c>
      <c r="C68" s="586" t="s">
        <v>631</v>
      </c>
      <c r="D68" s="162" t="s">
        <v>65</v>
      </c>
      <c r="E68" s="808">
        <v>1.52</v>
      </c>
      <c r="F68" s="127">
        <f>E68*F67</f>
        <v>0.44621728000000005</v>
      </c>
      <c r="G68" s="581"/>
      <c r="H68" s="581"/>
      <c r="I68" s="581"/>
      <c r="J68" s="581"/>
      <c r="K68" s="581"/>
      <c r="L68" s="49"/>
      <c r="M68" s="28"/>
    </row>
    <row r="69" spans="1:13" s="711" customFormat="1" x14ac:dyDescent="0.25">
      <c r="A69" s="699"/>
      <c r="B69" s="13"/>
      <c r="C69" s="593" t="s">
        <v>113</v>
      </c>
      <c r="D69" s="14"/>
      <c r="E69" s="105"/>
      <c r="F69" s="106"/>
      <c r="G69" s="106"/>
      <c r="H69" s="554"/>
      <c r="I69" s="554"/>
      <c r="J69" s="554"/>
      <c r="K69" s="554"/>
      <c r="L69" s="554"/>
      <c r="M69" s="554"/>
    </row>
    <row r="70" spans="1:13" s="711" customFormat="1" ht="45" x14ac:dyDescent="0.25">
      <c r="A70" s="696"/>
      <c r="B70" s="679"/>
      <c r="C70" s="121" t="s">
        <v>197</v>
      </c>
      <c r="D70" s="362" t="s">
        <v>757</v>
      </c>
      <c r="E70" s="39"/>
      <c r="F70" s="40"/>
      <c r="G70" s="40"/>
      <c r="H70" s="40"/>
      <c r="I70" s="75"/>
      <c r="J70" s="75"/>
      <c r="K70" s="75"/>
      <c r="L70" s="75"/>
      <c r="M70" s="41"/>
    </row>
    <row r="71" spans="1:13" s="711" customFormat="1" x14ac:dyDescent="0.25">
      <c r="A71" s="696"/>
      <c r="B71" s="679"/>
      <c r="C71" s="594" t="s">
        <v>24</v>
      </c>
      <c r="D71" s="362"/>
      <c r="E71" s="39"/>
      <c r="F71" s="40"/>
      <c r="G71" s="40"/>
      <c r="H71" s="75"/>
      <c r="I71" s="75"/>
      <c r="J71" s="75"/>
      <c r="K71" s="75"/>
      <c r="L71" s="75"/>
      <c r="M71" s="597"/>
    </row>
    <row r="72" spans="1:13" s="711" customFormat="1" x14ac:dyDescent="0.25">
      <c r="A72" s="696"/>
      <c r="B72" s="45"/>
      <c r="C72" s="21" t="s">
        <v>117</v>
      </c>
      <c r="D72" s="362" t="s">
        <v>757</v>
      </c>
      <c r="E72" s="61"/>
      <c r="F72" s="75"/>
      <c r="G72" s="75"/>
      <c r="H72" s="75"/>
      <c r="I72" s="40"/>
      <c r="J72" s="40"/>
      <c r="K72" s="40"/>
      <c r="L72" s="24"/>
      <c r="M72" s="25"/>
    </row>
    <row r="73" spans="1:13" s="711" customFormat="1" x14ac:dyDescent="0.25">
      <c r="A73" s="696"/>
      <c r="B73" s="45"/>
      <c r="C73" s="595" t="s">
        <v>24</v>
      </c>
      <c r="D73" s="362"/>
      <c r="E73" s="61"/>
      <c r="F73" s="75"/>
      <c r="G73" s="75"/>
      <c r="H73" s="75"/>
      <c r="I73" s="40"/>
      <c r="J73" s="40"/>
      <c r="K73" s="40"/>
      <c r="L73" s="40"/>
      <c r="M73" s="118"/>
    </row>
    <row r="74" spans="1:13" s="711" customFormat="1" x14ac:dyDescent="0.25">
      <c r="A74" s="696"/>
      <c r="B74" s="45"/>
      <c r="C74" s="21" t="s">
        <v>118</v>
      </c>
      <c r="D74" s="362" t="s">
        <v>757</v>
      </c>
      <c r="E74" s="61"/>
      <c r="F74" s="75"/>
      <c r="G74" s="75"/>
      <c r="H74" s="75"/>
      <c r="I74" s="40"/>
      <c r="J74" s="40"/>
      <c r="K74" s="40"/>
      <c r="L74" s="24"/>
      <c r="M74" s="25"/>
    </row>
    <row r="75" spans="1:13" s="810" customFormat="1" ht="15.75" thickBot="1" x14ac:dyDescent="0.3">
      <c r="A75" s="543"/>
      <c r="B75" s="809"/>
      <c r="C75" s="596" t="s">
        <v>113</v>
      </c>
      <c r="D75" s="383"/>
      <c r="E75" s="70"/>
      <c r="F75" s="193"/>
      <c r="G75" s="193"/>
      <c r="H75" s="193"/>
      <c r="I75" s="193"/>
      <c r="J75" s="193"/>
      <c r="K75" s="193"/>
      <c r="L75" s="127"/>
      <c r="M75" s="128"/>
    </row>
    <row r="76" spans="1:13" x14ac:dyDescent="0.25">
      <c r="A76" s="766"/>
      <c r="B76" s="767"/>
      <c r="C76" s="728"/>
      <c r="D76" s="728"/>
      <c r="E76" s="728"/>
      <c r="F76" s="768"/>
      <c r="G76" s="769"/>
      <c r="H76" s="769"/>
      <c r="I76" s="769"/>
      <c r="J76" s="769"/>
      <c r="K76" s="769"/>
      <c r="L76" s="769"/>
      <c r="M76" s="769"/>
    </row>
    <row r="77" spans="1:13" x14ac:dyDescent="0.25">
      <c r="A77" s="766"/>
      <c r="B77" s="767"/>
      <c r="C77" s="811"/>
      <c r="D77" s="728"/>
      <c r="E77" s="728"/>
      <c r="F77" s="768"/>
      <c r="G77" s="769"/>
      <c r="H77" s="769"/>
      <c r="I77" s="769"/>
      <c r="J77" s="769"/>
      <c r="K77" s="769"/>
      <c r="L77" s="769"/>
      <c r="M77" s="769"/>
    </row>
  </sheetData>
  <sheetProtection password="CF7A" sheet="1" objects="1" scenarios="1"/>
  <protectedRanges>
    <protectedRange sqref="D69:F75" name="Range2"/>
    <protectedRange sqref="G9:M75" name="Range1"/>
  </protectedRanges>
  <autoFilter ref="A8:M75"/>
  <mergeCells count="23"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I5:J5"/>
    <mergeCell ref="K5:L5"/>
    <mergeCell ref="A63:A68"/>
    <mergeCell ref="A57:A62"/>
    <mergeCell ref="M5:M6"/>
    <mergeCell ref="B14:B15"/>
    <mergeCell ref="A25:A31"/>
    <mergeCell ref="A32:A41"/>
    <mergeCell ref="A42:A50"/>
    <mergeCell ref="A51:A56"/>
    <mergeCell ref="A14:A16"/>
    <mergeCell ref="A17:A24"/>
    <mergeCell ref="A9:A13"/>
  </mergeCells>
  <conditionalFormatting sqref="B14:F15">
    <cfRule type="cellIs" dxfId="346" priority="59" stopIfTrue="1" operator="equal">
      <formula>8223.307275</formula>
    </cfRule>
  </conditionalFormatting>
  <conditionalFormatting sqref="B20:B21">
    <cfRule type="cellIs" dxfId="345" priority="33" stopIfTrue="1" operator="equal">
      <formula>8223.307275</formula>
    </cfRule>
  </conditionalFormatting>
  <conditionalFormatting sqref="B19:F19">
    <cfRule type="cellIs" dxfId="344" priority="31" stopIfTrue="1" operator="equal">
      <formula>8223.307275</formula>
    </cfRule>
  </conditionalFormatting>
  <conditionalFormatting sqref="E42">
    <cfRule type="cellIs" dxfId="343" priority="27" stopIfTrue="1" operator="equal">
      <formula>8223.307275</formula>
    </cfRule>
  </conditionalFormatting>
  <conditionalFormatting sqref="C42:E42">
    <cfRule type="cellIs" dxfId="342" priority="28" stopIfTrue="1" operator="equal">
      <formula>0</formula>
    </cfRule>
  </conditionalFormatting>
  <conditionalFormatting sqref="B10:F11 C12:F12">
    <cfRule type="cellIs" dxfId="341" priority="14" stopIfTrue="1" operator="equal">
      <formula>8223.307275</formula>
    </cfRule>
  </conditionalFormatting>
  <conditionalFormatting sqref="B12">
    <cfRule type="cellIs" dxfId="340" priority="13" stopIfTrue="1" operator="equal">
      <formula>8223.307275</formula>
    </cfRule>
  </conditionalFormatting>
  <conditionalFormatting sqref="E43:F45 F46:F50">
    <cfRule type="cellIs" dxfId="339" priority="5" stopIfTrue="1" operator="equal">
      <formula>8223.307275</formula>
    </cfRule>
  </conditionalFormatting>
  <conditionalFormatting sqref="B35">
    <cfRule type="cellIs" dxfId="338" priority="10" stopIfTrue="1" operator="equal">
      <formula>8223.307275</formula>
    </cfRule>
  </conditionalFormatting>
  <conditionalFormatting sqref="B38">
    <cfRule type="cellIs" dxfId="337" priority="12" stopIfTrue="1" operator="equal">
      <formula>8223.307275</formula>
    </cfRule>
  </conditionalFormatting>
  <conditionalFormatting sqref="B34:F34">
    <cfRule type="cellIs" dxfId="336" priority="11" stopIfTrue="1" operator="equal">
      <formula>8223.307275</formula>
    </cfRule>
  </conditionalFormatting>
  <conditionalFormatting sqref="B36">
    <cfRule type="cellIs" dxfId="335" priority="9" stopIfTrue="1" operator="equal">
      <formula>8223.307275</formula>
    </cfRule>
  </conditionalFormatting>
  <conditionalFormatting sqref="B37">
    <cfRule type="cellIs" dxfId="334" priority="8" stopIfTrue="1" operator="equal">
      <formula>8223.307275</formula>
    </cfRule>
  </conditionalFormatting>
  <conditionalFormatting sqref="B44">
    <cfRule type="cellIs" dxfId="333" priority="7" stopIfTrue="1" operator="equal">
      <formula>8223.307275</formula>
    </cfRule>
  </conditionalFormatting>
  <conditionalFormatting sqref="C43:F45 C46:D50 F46:F50">
    <cfRule type="cellIs" dxfId="332" priority="6" stopIfTrue="1" operator="equal">
      <formula>0</formula>
    </cfRule>
  </conditionalFormatting>
  <conditionalFormatting sqref="E49">
    <cfRule type="cellIs" dxfId="331" priority="3" stopIfTrue="1" operator="equal">
      <formula>8223.307275</formula>
    </cfRule>
  </conditionalFormatting>
  <conditionalFormatting sqref="E49">
    <cfRule type="cellIs" dxfId="330" priority="4" stopIfTrue="1" operator="equal">
      <formula>0</formula>
    </cfRule>
  </conditionalFormatting>
  <conditionalFormatting sqref="E50">
    <cfRule type="cellIs" dxfId="329" priority="1" stopIfTrue="1" operator="equal">
      <formula>8223.307275</formula>
    </cfRule>
  </conditionalFormatting>
  <conditionalFormatting sqref="E50">
    <cfRule type="cellIs" dxfId="328" priority="2" stopIfTrue="1" operator="equal">
      <formula>0</formula>
    </cfRule>
  </conditionalFormatting>
  <pageMargins left="1.1499999999999999" right="0" top="0.23622047244094491" bottom="0.23622047244094491" header="0.15748031496062992" footer="0.15748031496062992"/>
  <pageSetup paperSize="9" scale="90" orientation="landscape" horizontalDpi="4294967295" verticalDpi="429496729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45"/>
  <sheetViews>
    <sheetView view="pageBreakPreview" topLeftCell="A124" zoomScaleNormal="120" zoomScaleSheetLayoutView="100" workbookViewId="0">
      <selection activeCell="C134" sqref="C134"/>
    </sheetView>
  </sheetViews>
  <sheetFormatPr defaultRowHeight="15" x14ac:dyDescent="0.25"/>
  <cols>
    <col min="1" max="1" width="4.85546875" style="710" customWidth="1"/>
    <col min="2" max="2" width="9.5703125" style="770" customWidth="1"/>
    <col min="3" max="3" width="42.140625" style="710" customWidth="1"/>
    <col min="4" max="4" width="7.85546875" style="710" bestFit="1" customWidth="1"/>
    <col min="5" max="5" width="9.140625" style="710" bestFit="1" customWidth="1"/>
    <col min="6" max="6" width="11" style="772" bestFit="1" customWidth="1"/>
    <col min="7" max="7" width="7.85546875" style="709" bestFit="1" customWidth="1"/>
    <col min="8" max="8" width="12" style="709" customWidth="1"/>
    <col min="9" max="9" width="6.5703125" style="709" bestFit="1" customWidth="1"/>
    <col min="10" max="10" width="12" style="709" customWidth="1"/>
    <col min="11" max="12" width="7.5703125" style="709" bestFit="1" customWidth="1"/>
    <col min="13" max="13" width="12.5703125" style="709" bestFit="1" customWidth="1"/>
    <col min="14" max="16384" width="9.140625" style="710"/>
  </cols>
  <sheetData>
    <row r="1" spans="1:13" x14ac:dyDescent="0.25">
      <c r="B1" s="1089" t="s">
        <v>643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3" x14ac:dyDescent="0.25">
      <c r="B2" s="1091" t="s">
        <v>198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x14ac:dyDescent="0.25">
      <c r="A3" s="12"/>
      <c r="B3" s="1091" t="s">
        <v>216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6.5" thickBot="1" x14ac:dyDescent="0.35">
      <c r="A4" s="1092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.7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3">
      <c r="A6" s="1095"/>
      <c r="B6" s="1097"/>
      <c r="C6" s="1099"/>
      <c r="D6" s="1099"/>
      <c r="E6" s="77" t="s">
        <v>399</v>
      </c>
      <c r="F6" s="68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711" customFormat="1" ht="15.75" thickBot="1" x14ac:dyDescent="0.3">
      <c r="A7" s="187"/>
      <c r="B7" s="188" t="s">
        <v>60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89">
        <v>9</v>
      </c>
      <c r="J7" s="189">
        <v>10</v>
      </c>
      <c r="K7" s="189">
        <v>11</v>
      </c>
      <c r="L7" s="189">
        <v>12</v>
      </c>
      <c r="M7" s="190">
        <v>13</v>
      </c>
    </row>
    <row r="8" spans="1:13" s="711" customFormat="1" ht="30.75" thickBot="1" x14ac:dyDescent="0.3">
      <c r="A8" s="298"/>
      <c r="B8" s="299"/>
      <c r="C8" s="335" t="s">
        <v>427</v>
      </c>
      <c r="D8" s="300"/>
      <c r="E8" s="300"/>
      <c r="F8" s="580"/>
      <c r="G8" s="300"/>
      <c r="H8" s="300"/>
      <c r="I8" s="300"/>
      <c r="J8" s="300"/>
      <c r="K8" s="300"/>
      <c r="L8" s="300"/>
      <c r="M8" s="301"/>
    </row>
    <row r="9" spans="1:13" ht="45" x14ac:dyDescent="0.25">
      <c r="A9" s="1086">
        <v>1</v>
      </c>
      <c r="B9" s="322" t="s">
        <v>199</v>
      </c>
      <c r="C9" s="35" t="s">
        <v>202</v>
      </c>
      <c r="D9" s="16" t="s">
        <v>62</v>
      </c>
      <c r="E9" s="275"/>
      <c r="F9" s="19">
        <f>18*1.1*0.4</f>
        <v>7.9200000000000008</v>
      </c>
      <c r="G9" s="676"/>
      <c r="H9" s="676"/>
      <c r="I9" s="676"/>
      <c r="J9" s="676"/>
      <c r="K9" s="676"/>
      <c r="L9" s="676"/>
      <c r="M9" s="677"/>
    </row>
    <row r="10" spans="1:13" x14ac:dyDescent="0.25">
      <c r="A10" s="1087"/>
      <c r="B10" s="679"/>
      <c r="C10" s="42" t="s">
        <v>200</v>
      </c>
      <c r="D10" s="38" t="s">
        <v>68</v>
      </c>
      <c r="E10" s="39">
        <v>5.9</v>
      </c>
      <c r="F10" s="40">
        <f>E10*F9</f>
        <v>46.728000000000009</v>
      </c>
      <c r="G10" s="40"/>
      <c r="H10" s="40"/>
      <c r="I10" s="40"/>
      <c r="J10" s="40"/>
      <c r="K10" s="40"/>
      <c r="L10" s="40"/>
      <c r="M10" s="41"/>
    </row>
    <row r="11" spans="1:13" x14ac:dyDescent="0.25">
      <c r="A11" s="1087"/>
      <c r="B11" s="679"/>
      <c r="C11" s="42" t="s">
        <v>201</v>
      </c>
      <c r="D11" s="38" t="s">
        <v>78</v>
      </c>
      <c r="E11" s="39">
        <v>1.8</v>
      </c>
      <c r="F11" s="40">
        <f>E11*F9</f>
        <v>14.256000000000002</v>
      </c>
      <c r="G11" s="40"/>
      <c r="H11" s="40"/>
      <c r="I11" s="40"/>
      <c r="J11" s="40"/>
      <c r="K11" s="40"/>
      <c r="L11" s="40"/>
      <c r="M11" s="41"/>
    </row>
    <row r="12" spans="1:13" ht="30.75" thickBot="1" x14ac:dyDescent="0.3">
      <c r="A12" s="1088"/>
      <c r="B12" s="355" t="s">
        <v>503</v>
      </c>
      <c r="C12" s="600" t="s">
        <v>157</v>
      </c>
      <c r="D12" s="49" t="s">
        <v>65</v>
      </c>
      <c r="E12" s="49">
        <v>2.2000000000000002</v>
      </c>
      <c r="F12" s="193">
        <f>E12*F9</f>
        <v>17.424000000000003</v>
      </c>
      <c r="G12" s="49"/>
      <c r="H12" s="49"/>
      <c r="I12" s="49"/>
      <c r="J12" s="49"/>
      <c r="K12" s="49"/>
      <c r="L12" s="49"/>
      <c r="M12" s="50"/>
    </row>
    <row r="13" spans="1:13" ht="45" x14ac:dyDescent="0.25">
      <c r="A13" s="1149">
        <v>2</v>
      </c>
      <c r="B13" s="622" t="s">
        <v>109</v>
      </c>
      <c r="C13" s="92" t="s">
        <v>108</v>
      </c>
      <c r="D13" s="29" t="s">
        <v>62</v>
      </c>
      <c r="E13" s="98"/>
      <c r="F13" s="213">
        <f>18*0.6*0.4</f>
        <v>4.3199999999999994</v>
      </c>
      <c r="G13" s="150"/>
      <c r="H13" s="150"/>
      <c r="I13" s="150"/>
      <c r="J13" s="150"/>
      <c r="K13" s="150"/>
      <c r="L13" s="150"/>
      <c r="M13" s="211"/>
    </row>
    <row r="14" spans="1:13" x14ac:dyDescent="0.25">
      <c r="A14" s="1150"/>
      <c r="B14" s="688"/>
      <c r="C14" s="57" t="s">
        <v>63</v>
      </c>
      <c r="D14" s="22" t="s">
        <v>64</v>
      </c>
      <c r="E14" s="61">
        <v>3.4000000000000002E-2</v>
      </c>
      <c r="F14" s="24">
        <f>E14*F13</f>
        <v>0.14687999999999998</v>
      </c>
      <c r="G14" s="24"/>
      <c r="H14" s="24"/>
      <c r="I14" s="24"/>
      <c r="J14" s="24"/>
      <c r="K14" s="24"/>
      <c r="L14" s="24"/>
      <c r="M14" s="25"/>
    </row>
    <row r="15" spans="1:13" x14ac:dyDescent="0.25">
      <c r="A15" s="1150"/>
      <c r="B15" s="358"/>
      <c r="C15" s="94" t="s">
        <v>82</v>
      </c>
      <c r="D15" s="33" t="s">
        <v>78</v>
      </c>
      <c r="E15" s="66">
        <v>5.5999999999999999E-3</v>
      </c>
      <c r="F15" s="67">
        <f>E15*F13</f>
        <v>2.4191999999999995E-2</v>
      </c>
      <c r="G15" s="67"/>
      <c r="H15" s="67"/>
      <c r="I15" s="67"/>
      <c r="J15" s="67"/>
      <c r="K15" s="40"/>
      <c r="L15" s="67"/>
      <c r="M15" s="25"/>
    </row>
    <row r="16" spans="1:13" ht="30.75" thickBot="1" x14ac:dyDescent="0.3">
      <c r="A16" s="1151"/>
      <c r="B16" s="673" t="s">
        <v>486</v>
      </c>
      <c r="C16" s="119" t="s">
        <v>103</v>
      </c>
      <c r="D16" s="33" t="s">
        <v>104</v>
      </c>
      <c r="E16" s="66">
        <v>8.0299999999999996E-2</v>
      </c>
      <c r="F16" s="67">
        <f>E16*F13</f>
        <v>0.34689599999999993</v>
      </c>
      <c r="G16" s="67"/>
      <c r="H16" s="67"/>
      <c r="I16" s="67"/>
      <c r="J16" s="67"/>
      <c r="K16" s="67"/>
      <c r="L16" s="67"/>
      <c r="M16" s="95"/>
    </row>
    <row r="17" spans="1:13" ht="30" x14ac:dyDescent="0.25">
      <c r="A17" s="1111">
        <v>3</v>
      </c>
      <c r="B17" s="1114" t="s">
        <v>105</v>
      </c>
      <c r="C17" s="15" t="s">
        <v>106</v>
      </c>
      <c r="D17" s="16" t="s">
        <v>62</v>
      </c>
      <c r="E17" s="303"/>
      <c r="F17" s="582">
        <f>F13*0.1</f>
        <v>0.43199999999999994</v>
      </c>
      <c r="G17" s="53"/>
      <c r="H17" s="53"/>
      <c r="I17" s="53"/>
      <c r="J17" s="53"/>
      <c r="K17" s="53"/>
      <c r="L17" s="53"/>
      <c r="M17" s="54"/>
    </row>
    <row r="18" spans="1:13" ht="15.75" x14ac:dyDescent="0.3">
      <c r="A18" s="1112"/>
      <c r="B18" s="1115"/>
      <c r="C18" s="306" t="s">
        <v>107</v>
      </c>
      <c r="D18" s="307" t="s">
        <v>64</v>
      </c>
      <c r="E18" s="304">
        <v>2.06</v>
      </c>
      <c r="F18" s="583">
        <f>F17*E18</f>
        <v>0.88991999999999993</v>
      </c>
      <c r="G18" s="24"/>
      <c r="H18" s="24"/>
      <c r="I18" s="24"/>
      <c r="J18" s="24"/>
      <c r="K18" s="24"/>
      <c r="L18" s="24"/>
      <c r="M18" s="25"/>
    </row>
    <row r="19" spans="1:13" ht="15.75" thickBot="1" x14ac:dyDescent="0.3">
      <c r="A19" s="1152"/>
      <c r="B19" s="355" t="s">
        <v>503</v>
      </c>
      <c r="C19" s="590" t="s">
        <v>156</v>
      </c>
      <c r="D19" s="17" t="s">
        <v>65</v>
      </c>
      <c r="E19" s="70">
        <v>1.8</v>
      </c>
      <c r="F19" s="127">
        <f>E19*(F17+F13)</f>
        <v>8.5535999999999976</v>
      </c>
      <c r="G19" s="27"/>
      <c r="H19" s="27"/>
      <c r="I19" s="27"/>
      <c r="J19" s="27"/>
      <c r="K19" s="27"/>
      <c r="L19" s="27"/>
      <c r="M19" s="28"/>
    </row>
    <row r="20" spans="1:13" ht="30" x14ac:dyDescent="0.25">
      <c r="A20" s="1153">
        <v>4</v>
      </c>
      <c r="B20" s="78" t="s">
        <v>93</v>
      </c>
      <c r="C20" s="71" t="s">
        <v>378</v>
      </c>
      <c r="D20" s="51" t="s">
        <v>62</v>
      </c>
      <c r="E20" s="99"/>
      <c r="F20" s="60">
        <f>18*0.6*0.1</f>
        <v>1.0799999999999998</v>
      </c>
      <c r="G20" s="52"/>
      <c r="H20" s="52"/>
      <c r="I20" s="52"/>
      <c r="J20" s="52"/>
      <c r="K20" s="52"/>
      <c r="L20" s="52"/>
      <c r="M20" s="20"/>
    </row>
    <row r="21" spans="1:13" x14ac:dyDescent="0.25">
      <c r="A21" s="1154"/>
      <c r="B21" s="679"/>
      <c r="C21" s="79" t="s">
        <v>63</v>
      </c>
      <c r="D21" s="80" t="s">
        <v>64</v>
      </c>
      <c r="E21" s="812">
        <v>0.89</v>
      </c>
      <c r="F21" s="83">
        <f>E21*F20</f>
        <v>0.96119999999999983</v>
      </c>
      <c r="G21" s="83"/>
      <c r="H21" s="83"/>
      <c r="I21" s="83"/>
      <c r="J21" s="83"/>
      <c r="K21" s="83"/>
      <c r="L21" s="83"/>
      <c r="M21" s="84"/>
    </row>
    <row r="22" spans="1:13" x14ac:dyDescent="0.25">
      <c r="A22" s="1154"/>
      <c r="B22" s="679"/>
      <c r="C22" s="79" t="s">
        <v>82</v>
      </c>
      <c r="D22" s="80" t="s">
        <v>78</v>
      </c>
      <c r="E22" s="812">
        <v>0.37</v>
      </c>
      <c r="F22" s="83">
        <f>E22*F20</f>
        <v>0.39959999999999996</v>
      </c>
      <c r="G22" s="83"/>
      <c r="H22" s="83"/>
      <c r="I22" s="83"/>
      <c r="J22" s="83"/>
      <c r="K22" s="40"/>
      <c r="L22" s="83"/>
      <c r="M22" s="84"/>
    </row>
    <row r="23" spans="1:13" ht="15.75" thickBot="1" x14ac:dyDescent="0.3">
      <c r="A23" s="1154"/>
      <c r="B23" s="679" t="s">
        <v>489</v>
      </c>
      <c r="C23" s="79" t="s">
        <v>661</v>
      </c>
      <c r="D23" s="109" t="s">
        <v>62</v>
      </c>
      <c r="E23" s="813">
        <v>1.1499999999999999</v>
      </c>
      <c r="F23" s="110">
        <f>E23*F20</f>
        <v>1.2419999999999998</v>
      </c>
      <c r="G23" s="110"/>
      <c r="H23" s="110"/>
      <c r="I23" s="110"/>
      <c r="J23" s="110"/>
      <c r="K23" s="111"/>
      <c r="L23" s="110"/>
      <c r="M23" s="112"/>
    </row>
    <row r="24" spans="1:13" ht="30" x14ac:dyDescent="0.25">
      <c r="A24" s="1086">
        <v>5</v>
      </c>
      <c r="B24" s="322" t="s">
        <v>204</v>
      </c>
      <c r="C24" s="34" t="s">
        <v>203</v>
      </c>
      <c r="D24" s="35" t="s">
        <v>62</v>
      </c>
      <c r="E24" s="36"/>
      <c r="F24" s="19">
        <f>18*0.3*1.4</f>
        <v>7.5599999999999987</v>
      </c>
      <c r="G24" s="19"/>
      <c r="H24" s="19"/>
      <c r="I24" s="19"/>
      <c r="J24" s="19"/>
      <c r="K24" s="19"/>
      <c r="L24" s="19"/>
      <c r="M24" s="20"/>
    </row>
    <row r="25" spans="1:13" x14ac:dyDescent="0.25">
      <c r="A25" s="1087"/>
      <c r="B25" s="679"/>
      <c r="C25" s="37" t="s">
        <v>67</v>
      </c>
      <c r="D25" s="38" t="s">
        <v>68</v>
      </c>
      <c r="E25" s="39">
        <v>8.44</v>
      </c>
      <c r="F25" s="40">
        <f>E25*F24</f>
        <v>63.806399999999982</v>
      </c>
      <c r="G25" s="40"/>
      <c r="H25" s="40"/>
      <c r="I25" s="40"/>
      <c r="J25" s="40"/>
      <c r="K25" s="40"/>
      <c r="L25" s="40"/>
      <c r="M25" s="41"/>
    </row>
    <row r="26" spans="1:13" x14ac:dyDescent="0.25">
      <c r="A26" s="1087"/>
      <c r="B26" s="679" t="s">
        <v>502</v>
      </c>
      <c r="C26" s="37" t="s">
        <v>69</v>
      </c>
      <c r="D26" s="38" t="s">
        <v>62</v>
      </c>
      <c r="E26" s="39">
        <v>1.0149999999999999</v>
      </c>
      <c r="F26" s="40">
        <f>E26*F24</f>
        <v>7.6733999999999982</v>
      </c>
      <c r="G26" s="40"/>
      <c r="H26" s="40"/>
      <c r="I26" s="40"/>
      <c r="J26" s="40"/>
      <c r="K26" s="40"/>
      <c r="L26" s="40"/>
      <c r="M26" s="41"/>
    </row>
    <row r="27" spans="1:13" s="765" customFormat="1" x14ac:dyDescent="0.25">
      <c r="A27" s="1087"/>
      <c r="B27" s="364" t="s">
        <v>496</v>
      </c>
      <c r="C27" s="601" t="s">
        <v>371</v>
      </c>
      <c r="D27" s="38" t="s">
        <v>65</v>
      </c>
      <c r="E27" s="43" t="s">
        <v>72</v>
      </c>
      <c r="F27" s="75">
        <v>0.39</v>
      </c>
      <c r="G27" s="40"/>
      <c r="H27" s="40"/>
      <c r="I27" s="40"/>
      <c r="J27" s="40"/>
      <c r="K27" s="40"/>
      <c r="L27" s="40"/>
      <c r="M27" s="41"/>
    </row>
    <row r="28" spans="1:13" x14ac:dyDescent="0.25">
      <c r="A28" s="1087"/>
      <c r="B28" s="364" t="s">
        <v>497</v>
      </c>
      <c r="C28" s="601" t="s">
        <v>73</v>
      </c>
      <c r="D28" s="38" t="s">
        <v>71</v>
      </c>
      <c r="E28" s="43" t="s">
        <v>72</v>
      </c>
      <c r="F28" s="40">
        <v>9.5</v>
      </c>
      <c r="G28" s="44"/>
      <c r="H28" s="40"/>
      <c r="I28" s="40"/>
      <c r="J28" s="40"/>
      <c r="K28" s="40"/>
      <c r="L28" s="40"/>
      <c r="M28" s="41"/>
    </row>
    <row r="29" spans="1:13" x14ac:dyDescent="0.25">
      <c r="A29" s="1087"/>
      <c r="B29" s="45" t="s">
        <v>514</v>
      </c>
      <c r="C29" s="37" t="s">
        <v>74</v>
      </c>
      <c r="D29" s="38" t="s">
        <v>62</v>
      </c>
      <c r="E29" s="758">
        <f>(0.34+3.91)/100</f>
        <v>4.2500000000000003E-2</v>
      </c>
      <c r="F29" s="40">
        <f>E29*F24</f>
        <v>0.32129999999999997</v>
      </c>
      <c r="G29" s="24"/>
      <c r="H29" s="40"/>
      <c r="I29" s="40"/>
      <c r="J29" s="40"/>
      <c r="K29" s="40"/>
      <c r="L29" s="40"/>
      <c r="M29" s="41"/>
    </row>
    <row r="30" spans="1:13" x14ac:dyDescent="0.25">
      <c r="A30" s="1087"/>
      <c r="B30" s="679" t="s">
        <v>492</v>
      </c>
      <c r="C30" s="21" t="s">
        <v>184</v>
      </c>
      <c r="D30" s="38" t="s">
        <v>76</v>
      </c>
      <c r="E30" s="39">
        <v>1.84</v>
      </c>
      <c r="F30" s="40">
        <f>E30*F24</f>
        <v>13.910399999999997</v>
      </c>
      <c r="G30" s="40"/>
      <c r="H30" s="40"/>
      <c r="I30" s="40"/>
      <c r="J30" s="40"/>
      <c r="K30" s="40"/>
      <c r="L30" s="40"/>
      <c r="M30" s="41"/>
    </row>
    <row r="31" spans="1:13" x14ac:dyDescent="0.25">
      <c r="A31" s="1087"/>
      <c r="B31" s="46"/>
      <c r="C31" s="37" t="s">
        <v>77</v>
      </c>
      <c r="D31" s="38" t="s">
        <v>78</v>
      </c>
      <c r="E31" s="39">
        <v>1.1000000000000001</v>
      </c>
      <c r="F31" s="40">
        <f>E31*F24</f>
        <v>8.3159999999999989</v>
      </c>
      <c r="G31" s="40"/>
      <c r="H31" s="40"/>
      <c r="I31" s="40"/>
      <c r="J31" s="40"/>
      <c r="K31" s="40"/>
      <c r="L31" s="40"/>
      <c r="M31" s="41"/>
    </row>
    <row r="32" spans="1:13" x14ac:dyDescent="0.25">
      <c r="A32" s="1087"/>
      <c r="B32" s="72" t="s">
        <v>504</v>
      </c>
      <c r="C32" s="57" t="s">
        <v>90</v>
      </c>
      <c r="D32" s="22" t="s">
        <v>71</v>
      </c>
      <c r="E32" s="23">
        <v>0.1</v>
      </c>
      <c r="F32" s="24">
        <f>E32*F24</f>
        <v>0.75599999999999989</v>
      </c>
      <c r="G32" s="23"/>
      <c r="H32" s="23"/>
      <c r="I32" s="23"/>
      <c r="J32" s="23"/>
      <c r="K32" s="23"/>
      <c r="L32" s="23"/>
      <c r="M32" s="32"/>
    </row>
    <row r="33" spans="1:13" ht="15.75" thickBot="1" x14ac:dyDescent="0.3">
      <c r="A33" s="1088"/>
      <c r="B33" s="355"/>
      <c r="C33" s="47" t="s">
        <v>79</v>
      </c>
      <c r="D33" s="342" t="s">
        <v>78</v>
      </c>
      <c r="E33" s="48">
        <v>0.46</v>
      </c>
      <c r="F33" s="49">
        <f>E33*F24</f>
        <v>3.4775999999999994</v>
      </c>
      <c r="G33" s="49"/>
      <c r="H33" s="49"/>
      <c r="I33" s="49"/>
      <c r="J33" s="49"/>
      <c r="K33" s="49"/>
      <c r="L33" s="49"/>
      <c r="M33" s="50"/>
    </row>
    <row r="34" spans="1:13" ht="30" x14ac:dyDescent="0.3">
      <c r="A34" s="1154">
        <v>6</v>
      </c>
      <c r="B34" s="814" t="s">
        <v>376</v>
      </c>
      <c r="C34" s="107" t="s">
        <v>377</v>
      </c>
      <c r="D34" s="74" t="s">
        <v>76</v>
      </c>
      <c r="E34" s="74"/>
      <c r="F34" s="74">
        <v>24</v>
      </c>
      <c r="G34" s="74"/>
      <c r="H34" s="74"/>
      <c r="I34" s="74"/>
      <c r="J34" s="74"/>
      <c r="K34" s="74"/>
      <c r="L34" s="74"/>
      <c r="M34" s="87"/>
    </row>
    <row r="35" spans="1:13" x14ac:dyDescent="0.25">
      <c r="A35" s="1154"/>
      <c r="B35" s="679"/>
      <c r="C35" s="37" t="s">
        <v>67</v>
      </c>
      <c r="D35" s="38" t="s">
        <v>68</v>
      </c>
      <c r="E35" s="39">
        <v>1.42</v>
      </c>
      <c r="F35" s="40">
        <f>E35*F34</f>
        <v>34.08</v>
      </c>
      <c r="G35" s="40"/>
      <c r="H35" s="40"/>
      <c r="I35" s="40"/>
      <c r="J35" s="40"/>
      <c r="K35" s="40"/>
      <c r="L35" s="40"/>
      <c r="M35" s="41"/>
    </row>
    <row r="36" spans="1:13" x14ac:dyDescent="0.25">
      <c r="A36" s="1154"/>
      <c r="B36" s="679" t="s">
        <v>495</v>
      </c>
      <c r="C36" s="368" t="s">
        <v>662</v>
      </c>
      <c r="D36" s="38" t="s">
        <v>62</v>
      </c>
      <c r="E36" s="39">
        <v>3.6499999999999998E-2</v>
      </c>
      <c r="F36" s="40">
        <f>E36*F34</f>
        <v>0.87599999999999989</v>
      </c>
      <c r="G36" s="55"/>
      <c r="H36" s="40"/>
      <c r="I36" s="40"/>
      <c r="J36" s="40"/>
      <c r="K36" s="40"/>
      <c r="L36" s="40"/>
      <c r="M36" s="41"/>
    </row>
    <row r="37" spans="1:13" x14ac:dyDescent="0.25">
      <c r="A37" s="1154"/>
      <c r="B37" s="364" t="s">
        <v>499</v>
      </c>
      <c r="C37" s="365" t="s">
        <v>498</v>
      </c>
      <c r="D37" s="38" t="s">
        <v>174</v>
      </c>
      <c r="E37" s="39">
        <v>1.08</v>
      </c>
      <c r="F37" s="40">
        <f>E37*F34</f>
        <v>25.92</v>
      </c>
      <c r="G37" s="40"/>
      <c r="H37" s="40"/>
      <c r="I37" s="40"/>
      <c r="J37" s="40"/>
      <c r="K37" s="40"/>
      <c r="L37" s="40"/>
      <c r="M37" s="41"/>
    </row>
    <row r="38" spans="1:13" ht="15.75" thickBot="1" x14ac:dyDescent="0.3">
      <c r="A38" s="1154"/>
      <c r="B38" s="673"/>
      <c r="C38" s="76" t="s">
        <v>85</v>
      </c>
      <c r="D38" s="675" t="s">
        <v>78</v>
      </c>
      <c r="E38" s="77">
        <v>3.0000000000000001E-3</v>
      </c>
      <c r="F38" s="40">
        <f>E38*F34</f>
        <v>7.2000000000000008E-2</v>
      </c>
      <c r="G38" s="49"/>
      <c r="H38" s="40"/>
      <c r="I38" s="68"/>
      <c r="J38" s="68"/>
      <c r="K38" s="68"/>
      <c r="L38" s="68"/>
      <c r="M38" s="41"/>
    </row>
    <row r="39" spans="1:13" ht="15.75" thickBot="1" x14ac:dyDescent="0.3">
      <c r="A39" s="1154"/>
      <c r="B39" s="355"/>
      <c r="C39" s="291" t="s">
        <v>82</v>
      </c>
      <c r="D39" s="292" t="s">
        <v>78</v>
      </c>
      <c r="E39" s="815">
        <v>6.9000000000000006E-2</v>
      </c>
      <c r="F39" s="49">
        <f>E39*F34</f>
        <v>1.6560000000000001</v>
      </c>
      <c r="G39" s="49"/>
      <c r="H39" s="49"/>
      <c r="I39" s="49"/>
      <c r="J39" s="49"/>
      <c r="K39" s="40"/>
      <c r="L39" s="49"/>
      <c r="M39" s="50"/>
    </row>
    <row r="40" spans="1:13" ht="30" x14ac:dyDescent="0.25">
      <c r="A40" s="1139">
        <v>7</v>
      </c>
      <c r="B40" s="181" t="s">
        <v>684</v>
      </c>
      <c r="C40" s="204" t="s">
        <v>379</v>
      </c>
      <c r="D40" s="152" t="s">
        <v>76</v>
      </c>
      <c r="E40" s="164"/>
      <c r="F40" s="60">
        <f>64.68/3</f>
        <v>21.560000000000002</v>
      </c>
      <c r="G40" s="731"/>
      <c r="H40" s="731"/>
      <c r="I40" s="731"/>
      <c r="J40" s="731"/>
      <c r="K40" s="731"/>
      <c r="L40" s="676"/>
      <c r="M40" s="125"/>
    </row>
    <row r="41" spans="1:13" ht="15.75" x14ac:dyDescent="0.3">
      <c r="A41" s="1140"/>
      <c r="B41" s="134"/>
      <c r="C41" s="198" t="s">
        <v>114</v>
      </c>
      <c r="D41" s="122" t="s">
        <v>68</v>
      </c>
      <c r="E41" s="167">
        <v>8.9</v>
      </c>
      <c r="F41" s="409">
        <f>E41*F40</f>
        <v>191.88400000000001</v>
      </c>
      <c r="G41" s="409"/>
      <c r="H41" s="409"/>
      <c r="I41" s="409"/>
      <c r="J41" s="409"/>
      <c r="K41" s="409"/>
      <c r="L41" s="409"/>
      <c r="M41" s="32"/>
    </row>
    <row r="42" spans="1:13" ht="15.75" x14ac:dyDescent="0.3">
      <c r="A42" s="1140"/>
      <c r="B42" s="134"/>
      <c r="C42" s="198" t="s">
        <v>166</v>
      </c>
      <c r="D42" s="122" t="s">
        <v>78</v>
      </c>
      <c r="E42" s="167">
        <v>0.13</v>
      </c>
      <c r="F42" s="409">
        <f>E42*F40</f>
        <v>2.8028000000000004</v>
      </c>
      <c r="G42" s="409"/>
      <c r="H42" s="409"/>
      <c r="I42" s="23"/>
      <c r="J42" s="23"/>
      <c r="K42" s="40"/>
      <c r="L42" s="23"/>
      <c r="M42" s="32"/>
    </row>
    <row r="43" spans="1:13" x14ac:dyDescent="0.25">
      <c r="A43" s="1140"/>
      <c r="B43" s="364" t="s">
        <v>513</v>
      </c>
      <c r="C43" s="367" t="s">
        <v>719</v>
      </c>
      <c r="D43" s="200" t="s">
        <v>62</v>
      </c>
      <c r="E43" s="155">
        <v>3.5999999999999997E-2</v>
      </c>
      <c r="F43" s="409">
        <f>E43*F40</f>
        <v>0.77616000000000007</v>
      </c>
      <c r="G43" s="40"/>
      <c r="H43" s="40"/>
      <c r="I43" s="40"/>
      <c r="J43" s="40"/>
      <c r="K43" s="40"/>
      <c r="L43" s="40"/>
      <c r="M43" s="41"/>
    </row>
    <row r="44" spans="1:13" x14ac:dyDescent="0.25">
      <c r="A44" s="1140"/>
      <c r="B44" s="364" t="s">
        <v>499</v>
      </c>
      <c r="C44" s="365" t="s">
        <v>498</v>
      </c>
      <c r="D44" s="38" t="s">
        <v>174</v>
      </c>
      <c r="E44" s="43" t="s">
        <v>72</v>
      </c>
      <c r="F44" s="40">
        <v>23.5</v>
      </c>
      <c r="G44" s="40"/>
      <c r="H44" s="40"/>
      <c r="I44" s="40"/>
      <c r="J44" s="40"/>
      <c r="K44" s="40"/>
      <c r="L44" s="40"/>
      <c r="M44" s="41"/>
    </row>
    <row r="45" spans="1:13" x14ac:dyDescent="0.25">
      <c r="A45" s="1140"/>
      <c r="B45" s="201" t="s">
        <v>482</v>
      </c>
      <c r="C45" s="197" t="s">
        <v>429</v>
      </c>
      <c r="D45" s="200" t="s">
        <v>76</v>
      </c>
      <c r="E45" s="155">
        <v>0.97</v>
      </c>
      <c r="F45" s="409">
        <f>E45*F40</f>
        <v>20.913200000000003</v>
      </c>
      <c r="G45" s="40"/>
      <c r="H45" s="40"/>
      <c r="I45" s="40"/>
      <c r="J45" s="40"/>
      <c r="K45" s="40"/>
      <c r="L45" s="40"/>
      <c r="M45" s="41"/>
    </row>
    <row r="46" spans="1:13" ht="15.75" thickBot="1" x14ac:dyDescent="0.3">
      <c r="A46" s="1141"/>
      <c r="B46" s="206"/>
      <c r="C46" s="207" t="s">
        <v>119</v>
      </c>
      <c r="D46" s="203" t="s">
        <v>78</v>
      </c>
      <c r="E46" s="180">
        <v>0.1</v>
      </c>
      <c r="F46" s="581">
        <f>E46*F40</f>
        <v>2.1560000000000001</v>
      </c>
      <c r="G46" s="49"/>
      <c r="H46" s="49"/>
      <c r="I46" s="49"/>
      <c r="J46" s="49"/>
      <c r="K46" s="49"/>
      <c r="L46" s="49"/>
      <c r="M46" s="50"/>
    </row>
    <row r="47" spans="1:13" ht="45" x14ac:dyDescent="0.25">
      <c r="A47" s="1124">
        <v>8</v>
      </c>
      <c r="B47" s="181" t="s">
        <v>684</v>
      </c>
      <c r="C47" s="204" t="s">
        <v>380</v>
      </c>
      <c r="D47" s="152" t="s">
        <v>76</v>
      </c>
      <c r="E47" s="205"/>
      <c r="F47" s="60">
        <v>50.13</v>
      </c>
      <c r="G47" s="731"/>
      <c r="H47" s="676"/>
      <c r="I47" s="731"/>
      <c r="J47" s="731"/>
      <c r="K47" s="731"/>
      <c r="L47" s="731"/>
      <c r="M47" s="125"/>
    </row>
    <row r="48" spans="1:13" ht="15.75" x14ac:dyDescent="0.3">
      <c r="A48" s="1119"/>
      <c r="B48" s="134"/>
      <c r="C48" s="198" t="s">
        <v>114</v>
      </c>
      <c r="D48" s="122" t="s">
        <v>68</v>
      </c>
      <c r="E48" s="167">
        <v>8.9</v>
      </c>
      <c r="F48" s="409">
        <f>E48*F47</f>
        <v>446.15700000000004</v>
      </c>
      <c r="G48" s="409"/>
      <c r="H48" s="409"/>
      <c r="I48" s="409"/>
      <c r="J48" s="409"/>
      <c r="K48" s="409"/>
      <c r="L48" s="409"/>
      <c r="M48" s="32"/>
    </row>
    <row r="49" spans="1:13" ht="15.75" x14ac:dyDescent="0.3">
      <c r="A49" s="1119"/>
      <c r="B49" s="134"/>
      <c r="C49" s="198" t="s">
        <v>166</v>
      </c>
      <c r="D49" s="122" t="s">
        <v>78</v>
      </c>
      <c r="E49" s="167">
        <v>0.13</v>
      </c>
      <c r="F49" s="409">
        <f>E49*F47</f>
        <v>6.5169000000000006</v>
      </c>
      <c r="G49" s="409"/>
      <c r="H49" s="409"/>
      <c r="I49" s="23"/>
      <c r="J49" s="23"/>
      <c r="K49" s="40"/>
      <c r="L49" s="23"/>
      <c r="M49" s="32"/>
    </row>
    <row r="50" spans="1:13" x14ac:dyDescent="0.25">
      <c r="A50" s="1119"/>
      <c r="B50" s="364" t="s">
        <v>513</v>
      </c>
      <c r="C50" s="367" t="s">
        <v>719</v>
      </c>
      <c r="D50" s="200" t="s">
        <v>62</v>
      </c>
      <c r="E50" s="155">
        <v>3.5999999999999997E-2</v>
      </c>
      <c r="F50" s="409">
        <f>E50*F47</f>
        <v>1.8046800000000001</v>
      </c>
      <c r="G50" s="40"/>
      <c r="H50" s="40"/>
      <c r="I50" s="40"/>
      <c r="J50" s="40"/>
      <c r="K50" s="40"/>
      <c r="L50" s="40"/>
      <c r="M50" s="41"/>
    </row>
    <row r="51" spans="1:13" ht="30" x14ac:dyDescent="0.25">
      <c r="A51" s="1119"/>
      <c r="B51" s="366" t="s">
        <v>500</v>
      </c>
      <c r="C51" s="367" t="s">
        <v>501</v>
      </c>
      <c r="D51" s="200" t="s">
        <v>76</v>
      </c>
      <c r="E51" s="155">
        <v>0.97</v>
      </c>
      <c r="F51" s="409">
        <f>E51*F47</f>
        <v>48.626100000000001</v>
      </c>
      <c r="G51" s="40"/>
      <c r="H51" s="40"/>
      <c r="I51" s="40"/>
      <c r="J51" s="40"/>
      <c r="K51" s="40"/>
      <c r="L51" s="40"/>
      <c r="M51" s="41"/>
    </row>
    <row r="52" spans="1:13" ht="15.75" thickBot="1" x14ac:dyDescent="0.3">
      <c r="A52" s="1120"/>
      <c r="B52" s="206"/>
      <c r="C52" s="207" t="s">
        <v>119</v>
      </c>
      <c r="D52" s="203" t="s">
        <v>78</v>
      </c>
      <c r="E52" s="180">
        <v>0.1</v>
      </c>
      <c r="F52" s="581">
        <f>E52*F47</f>
        <v>5.0130000000000008</v>
      </c>
      <c r="G52" s="49"/>
      <c r="H52" s="49"/>
      <c r="I52" s="49"/>
      <c r="J52" s="49"/>
      <c r="K52" s="49"/>
      <c r="L52" s="49"/>
      <c r="M52" s="50"/>
    </row>
    <row r="53" spans="1:13" ht="30.75" thickBot="1" x14ac:dyDescent="0.3">
      <c r="A53" s="410"/>
      <c r="B53" s="411"/>
      <c r="C53" s="336" t="s">
        <v>428</v>
      </c>
      <c r="D53" s="412"/>
      <c r="E53" s="412"/>
      <c r="F53" s="598"/>
      <c r="G53" s="412"/>
      <c r="H53" s="412"/>
      <c r="I53" s="412"/>
      <c r="J53" s="412"/>
      <c r="K53" s="412"/>
      <c r="L53" s="412"/>
      <c r="M53" s="413"/>
    </row>
    <row r="54" spans="1:13" ht="30" x14ac:dyDescent="0.3">
      <c r="A54" s="1154">
        <v>1</v>
      </c>
      <c r="B54" s="814" t="s">
        <v>376</v>
      </c>
      <c r="C54" s="107" t="s">
        <v>377</v>
      </c>
      <c r="D54" s="74" t="s">
        <v>76</v>
      </c>
      <c r="E54" s="74"/>
      <c r="F54" s="74">
        <f>89.5/2</f>
        <v>44.75</v>
      </c>
      <c r="G54" s="74"/>
      <c r="H54" s="74"/>
      <c r="I54" s="74"/>
      <c r="J54" s="74"/>
      <c r="K54" s="74"/>
      <c r="L54" s="74"/>
      <c r="M54" s="87"/>
    </row>
    <row r="55" spans="1:13" x14ac:dyDescent="0.25">
      <c r="A55" s="1154"/>
      <c r="B55" s="679"/>
      <c r="C55" s="37" t="s">
        <v>67</v>
      </c>
      <c r="D55" s="38" t="s">
        <v>68</v>
      </c>
      <c r="E55" s="39">
        <v>1.42</v>
      </c>
      <c r="F55" s="40">
        <f>E55*F54</f>
        <v>63.544999999999995</v>
      </c>
      <c r="G55" s="40"/>
      <c r="H55" s="40"/>
      <c r="I55" s="40"/>
      <c r="J55" s="40"/>
      <c r="K55" s="40"/>
      <c r="L55" s="40"/>
      <c r="M55" s="41"/>
    </row>
    <row r="56" spans="1:13" x14ac:dyDescent="0.25">
      <c r="A56" s="1154"/>
      <c r="B56" s="679" t="s">
        <v>495</v>
      </c>
      <c r="C56" s="368" t="s">
        <v>512</v>
      </c>
      <c r="D56" s="38" t="s">
        <v>62</v>
      </c>
      <c r="E56" s="39">
        <v>3.6499999999999998E-2</v>
      </c>
      <c r="F56" s="40">
        <f>E56*F54</f>
        <v>1.6333749999999998</v>
      </c>
      <c r="G56" s="55"/>
      <c r="H56" s="40"/>
      <c r="I56" s="40"/>
      <c r="J56" s="40"/>
      <c r="K56" s="40"/>
      <c r="L56" s="40"/>
      <c r="M56" s="41"/>
    </row>
    <row r="57" spans="1:13" x14ac:dyDescent="0.25">
      <c r="A57" s="1154"/>
      <c r="B57" s="364" t="s">
        <v>499</v>
      </c>
      <c r="C57" s="365" t="s">
        <v>498</v>
      </c>
      <c r="D57" s="38" t="s">
        <v>174</v>
      </c>
      <c r="E57" s="39">
        <v>1.08</v>
      </c>
      <c r="F57" s="40">
        <f>E57*F54</f>
        <v>48.330000000000005</v>
      </c>
      <c r="G57" s="40"/>
      <c r="H57" s="40"/>
      <c r="I57" s="40"/>
      <c r="J57" s="40"/>
      <c r="K57" s="40"/>
      <c r="L57" s="40"/>
      <c r="M57" s="41"/>
    </row>
    <row r="58" spans="1:13" ht="15.75" thickBot="1" x14ac:dyDescent="0.3">
      <c r="A58" s="1154"/>
      <c r="B58" s="673"/>
      <c r="C58" s="76" t="s">
        <v>85</v>
      </c>
      <c r="D58" s="675" t="s">
        <v>78</v>
      </c>
      <c r="E58" s="77">
        <v>3.0000000000000001E-3</v>
      </c>
      <c r="F58" s="40">
        <f>E58*F54</f>
        <v>0.13425000000000001</v>
      </c>
      <c r="G58" s="49"/>
      <c r="H58" s="40"/>
      <c r="I58" s="68"/>
      <c r="J58" s="68"/>
      <c r="K58" s="68"/>
      <c r="L58" s="68"/>
      <c r="M58" s="41"/>
    </row>
    <row r="59" spans="1:13" ht="15.75" thickBot="1" x14ac:dyDescent="0.3">
      <c r="A59" s="1154"/>
      <c r="B59" s="355"/>
      <c r="C59" s="291" t="s">
        <v>82</v>
      </c>
      <c r="D59" s="292" t="s">
        <v>78</v>
      </c>
      <c r="E59" s="815">
        <v>6.9000000000000006E-2</v>
      </c>
      <c r="F59" s="49">
        <f>E59*F54</f>
        <v>3.0877500000000002</v>
      </c>
      <c r="G59" s="49"/>
      <c r="H59" s="49"/>
      <c r="I59" s="49"/>
      <c r="J59" s="49"/>
      <c r="K59" s="40"/>
      <c r="L59" s="49"/>
      <c r="M59" s="50"/>
    </row>
    <row r="60" spans="1:13" ht="30" x14ac:dyDescent="0.25">
      <c r="A60" s="1139">
        <v>2</v>
      </c>
      <c r="B60" s="181" t="s">
        <v>684</v>
      </c>
      <c r="C60" s="204" t="s">
        <v>379</v>
      </c>
      <c r="D60" s="152" t="s">
        <v>76</v>
      </c>
      <c r="E60" s="164"/>
      <c r="F60" s="60">
        <v>25</v>
      </c>
      <c r="G60" s="731"/>
      <c r="H60" s="731"/>
      <c r="I60" s="731"/>
      <c r="J60" s="731"/>
      <c r="K60" s="731"/>
      <c r="L60" s="676"/>
      <c r="M60" s="125"/>
    </row>
    <row r="61" spans="1:13" ht="15.75" x14ac:dyDescent="0.3">
      <c r="A61" s="1140"/>
      <c r="B61" s="134"/>
      <c r="C61" s="198" t="s">
        <v>114</v>
      </c>
      <c r="D61" s="122" t="s">
        <v>68</v>
      </c>
      <c r="E61" s="167">
        <v>8.9</v>
      </c>
      <c r="F61" s="409">
        <f>E61*F60</f>
        <v>222.5</v>
      </c>
      <c r="G61" s="409"/>
      <c r="H61" s="409"/>
      <c r="I61" s="409"/>
      <c r="J61" s="409"/>
      <c r="K61" s="409"/>
      <c r="L61" s="409"/>
      <c r="M61" s="32"/>
    </row>
    <row r="62" spans="1:13" ht="15.75" x14ac:dyDescent="0.3">
      <c r="A62" s="1140"/>
      <c r="B62" s="134"/>
      <c r="C62" s="198" t="s">
        <v>166</v>
      </c>
      <c r="D62" s="122" t="s">
        <v>78</v>
      </c>
      <c r="E62" s="167">
        <v>0.13</v>
      </c>
      <c r="F62" s="409">
        <f>E62*F60</f>
        <v>3.25</v>
      </c>
      <c r="G62" s="409"/>
      <c r="H62" s="409"/>
      <c r="I62" s="23"/>
      <c r="J62" s="23"/>
      <c r="K62" s="40"/>
      <c r="L62" s="23"/>
      <c r="M62" s="32"/>
    </row>
    <row r="63" spans="1:13" x14ac:dyDescent="0.25">
      <c r="A63" s="1140"/>
      <c r="B63" s="679" t="s">
        <v>513</v>
      </c>
      <c r="C63" s="367" t="s">
        <v>719</v>
      </c>
      <c r="D63" s="200" t="s">
        <v>62</v>
      </c>
      <c r="E63" s="155">
        <v>3.5999999999999997E-2</v>
      </c>
      <c r="F63" s="409">
        <f>E63*F60</f>
        <v>0.89999999999999991</v>
      </c>
      <c r="G63" s="40"/>
      <c r="H63" s="40"/>
      <c r="I63" s="40"/>
      <c r="J63" s="40"/>
      <c r="K63" s="40"/>
      <c r="L63" s="40"/>
      <c r="M63" s="41"/>
    </row>
    <row r="64" spans="1:13" x14ac:dyDescent="0.25">
      <c r="A64" s="1140"/>
      <c r="B64" s="201" t="s">
        <v>482</v>
      </c>
      <c r="C64" s="197" t="s">
        <v>429</v>
      </c>
      <c r="D64" s="200" t="s">
        <v>76</v>
      </c>
      <c r="E64" s="155">
        <v>0.97</v>
      </c>
      <c r="F64" s="409">
        <f>E64*F60</f>
        <v>24.25</v>
      </c>
      <c r="G64" s="40"/>
      <c r="H64" s="40"/>
      <c r="I64" s="40"/>
      <c r="J64" s="40"/>
      <c r="K64" s="40"/>
      <c r="L64" s="40"/>
      <c r="M64" s="41"/>
    </row>
    <row r="65" spans="1:13" ht="15.75" thickBot="1" x14ac:dyDescent="0.3">
      <c r="A65" s="1141"/>
      <c r="B65" s="206"/>
      <c r="C65" s="207" t="s">
        <v>119</v>
      </c>
      <c r="D65" s="203" t="s">
        <v>78</v>
      </c>
      <c r="E65" s="180">
        <v>0.1</v>
      </c>
      <c r="F65" s="581">
        <f>E65*F60</f>
        <v>2.5</v>
      </c>
      <c r="G65" s="49"/>
      <c r="H65" s="49"/>
      <c r="I65" s="49"/>
      <c r="J65" s="49"/>
      <c r="K65" s="49"/>
      <c r="L65" s="49"/>
      <c r="M65" s="50"/>
    </row>
    <row r="66" spans="1:13" ht="45" x14ac:dyDescent="0.25">
      <c r="A66" s="1124">
        <v>3</v>
      </c>
      <c r="B66" s="181" t="s">
        <v>684</v>
      </c>
      <c r="C66" s="204" t="s">
        <v>380</v>
      </c>
      <c r="D66" s="152" t="s">
        <v>76</v>
      </c>
      <c r="E66" s="205"/>
      <c r="F66" s="60">
        <v>143.41999999999999</v>
      </c>
      <c r="G66" s="731"/>
      <c r="H66" s="676"/>
      <c r="I66" s="731"/>
      <c r="J66" s="731"/>
      <c r="K66" s="731"/>
      <c r="L66" s="731"/>
      <c r="M66" s="125"/>
    </row>
    <row r="67" spans="1:13" ht="15.75" x14ac:dyDescent="0.3">
      <c r="A67" s="1119"/>
      <c r="B67" s="134"/>
      <c r="C67" s="198" t="s">
        <v>114</v>
      </c>
      <c r="D67" s="122" t="s">
        <v>68</v>
      </c>
      <c r="E67" s="167">
        <v>8.9</v>
      </c>
      <c r="F67" s="409">
        <f>E67*F66</f>
        <v>1276.4379999999999</v>
      </c>
      <c r="G67" s="409"/>
      <c r="H67" s="409"/>
      <c r="I67" s="409"/>
      <c r="J67" s="409"/>
      <c r="K67" s="409"/>
      <c r="L67" s="409"/>
      <c r="M67" s="32"/>
    </row>
    <row r="68" spans="1:13" ht="15.75" x14ac:dyDescent="0.3">
      <c r="A68" s="1119"/>
      <c r="B68" s="134"/>
      <c r="C68" s="198" t="s">
        <v>166</v>
      </c>
      <c r="D68" s="122" t="s">
        <v>78</v>
      </c>
      <c r="E68" s="167">
        <v>0.13</v>
      </c>
      <c r="F68" s="409">
        <f>E68*F66</f>
        <v>18.644600000000001</v>
      </c>
      <c r="G68" s="409"/>
      <c r="H68" s="409"/>
      <c r="I68" s="23"/>
      <c r="J68" s="23"/>
      <c r="K68" s="40"/>
      <c r="L68" s="23"/>
      <c r="M68" s="32"/>
    </row>
    <row r="69" spans="1:13" x14ac:dyDescent="0.25">
      <c r="A69" s="1119"/>
      <c r="B69" s="679" t="s">
        <v>513</v>
      </c>
      <c r="C69" s="367" t="s">
        <v>719</v>
      </c>
      <c r="D69" s="200" t="s">
        <v>62</v>
      </c>
      <c r="E69" s="155">
        <v>3.5999999999999997E-2</v>
      </c>
      <c r="F69" s="409">
        <f>E69*F66</f>
        <v>5.1631199999999993</v>
      </c>
      <c r="G69" s="40"/>
      <c r="H69" s="40"/>
      <c r="I69" s="40"/>
      <c r="J69" s="40"/>
      <c r="K69" s="40"/>
      <c r="L69" s="40"/>
      <c r="M69" s="41"/>
    </row>
    <row r="70" spans="1:13" ht="30" x14ac:dyDescent="0.25">
      <c r="A70" s="1119"/>
      <c r="B70" s="366" t="s">
        <v>500</v>
      </c>
      <c r="C70" s="367" t="s">
        <v>501</v>
      </c>
      <c r="D70" s="200" t="s">
        <v>76</v>
      </c>
      <c r="E70" s="155">
        <v>0.97</v>
      </c>
      <c r="F70" s="409">
        <f>E70*F66</f>
        <v>139.11739999999998</v>
      </c>
      <c r="G70" s="40"/>
      <c r="H70" s="40"/>
      <c r="I70" s="40"/>
      <c r="J70" s="40"/>
      <c r="K70" s="40"/>
      <c r="L70" s="40"/>
      <c r="M70" s="41"/>
    </row>
    <row r="71" spans="1:13" ht="15.75" thickBot="1" x14ac:dyDescent="0.3">
      <c r="A71" s="1120"/>
      <c r="B71" s="206"/>
      <c r="C71" s="207" t="s">
        <v>119</v>
      </c>
      <c r="D71" s="203" t="s">
        <v>78</v>
      </c>
      <c r="E71" s="180">
        <v>0.1</v>
      </c>
      <c r="F71" s="581">
        <f>E71*F66</f>
        <v>14.341999999999999</v>
      </c>
      <c r="G71" s="49"/>
      <c r="H71" s="49"/>
      <c r="I71" s="49"/>
      <c r="J71" s="49"/>
      <c r="K71" s="49"/>
      <c r="L71" s="49"/>
      <c r="M71" s="50"/>
    </row>
    <row r="72" spans="1:13" ht="30.75" thickBot="1" x14ac:dyDescent="0.3">
      <c r="A72" s="298"/>
      <c r="B72" s="299"/>
      <c r="C72" s="335" t="s">
        <v>430</v>
      </c>
      <c r="D72" s="300"/>
      <c r="E72" s="300"/>
      <c r="F72" s="580"/>
      <c r="G72" s="300"/>
      <c r="H72" s="300"/>
      <c r="I72" s="300"/>
      <c r="J72" s="300"/>
      <c r="K72" s="300"/>
      <c r="L72" s="300"/>
      <c r="M72" s="301"/>
    </row>
    <row r="73" spans="1:13" ht="30" x14ac:dyDescent="0.25">
      <c r="A73" s="1139">
        <v>1</v>
      </c>
      <c r="B73" s="181" t="s">
        <v>684</v>
      </c>
      <c r="C73" s="204" t="s">
        <v>379</v>
      </c>
      <c r="D73" s="152" t="s">
        <v>76</v>
      </c>
      <c r="E73" s="164"/>
      <c r="F73" s="60">
        <v>12</v>
      </c>
      <c r="G73" s="731"/>
      <c r="H73" s="731"/>
      <c r="I73" s="731"/>
      <c r="J73" s="731"/>
      <c r="K73" s="731"/>
      <c r="L73" s="676"/>
      <c r="M73" s="125"/>
    </row>
    <row r="74" spans="1:13" ht="15.75" x14ac:dyDescent="0.3">
      <c r="A74" s="1140"/>
      <c r="B74" s="134"/>
      <c r="C74" s="198" t="s">
        <v>114</v>
      </c>
      <c r="D74" s="122" t="s">
        <v>68</v>
      </c>
      <c r="E74" s="167">
        <v>8.9</v>
      </c>
      <c r="F74" s="409">
        <f>E74*F73</f>
        <v>106.80000000000001</v>
      </c>
      <c r="G74" s="409"/>
      <c r="H74" s="409"/>
      <c r="I74" s="409"/>
      <c r="J74" s="409"/>
      <c r="K74" s="409"/>
      <c r="L74" s="409"/>
      <c r="M74" s="32"/>
    </row>
    <row r="75" spans="1:13" ht="15.75" x14ac:dyDescent="0.3">
      <c r="A75" s="1140"/>
      <c r="B75" s="134"/>
      <c r="C75" s="198" t="s">
        <v>166</v>
      </c>
      <c r="D75" s="122" t="s">
        <v>78</v>
      </c>
      <c r="E75" s="167">
        <v>0.13</v>
      </c>
      <c r="F75" s="409">
        <f>E75*F73</f>
        <v>1.56</v>
      </c>
      <c r="G75" s="409"/>
      <c r="H75" s="409"/>
      <c r="I75" s="23"/>
      <c r="J75" s="23"/>
      <c r="K75" s="40"/>
      <c r="L75" s="23"/>
      <c r="M75" s="32"/>
    </row>
    <row r="76" spans="1:13" x14ac:dyDescent="0.25">
      <c r="A76" s="1140"/>
      <c r="B76" s="679" t="s">
        <v>513</v>
      </c>
      <c r="C76" s="367" t="s">
        <v>718</v>
      </c>
      <c r="D76" s="200" t="s">
        <v>62</v>
      </c>
      <c r="E76" s="155">
        <v>3.5999999999999997E-2</v>
      </c>
      <c r="F76" s="409">
        <f>E76*F73</f>
        <v>0.43199999999999994</v>
      </c>
      <c r="G76" s="40"/>
      <c r="H76" s="40"/>
      <c r="I76" s="40"/>
      <c r="J76" s="40"/>
      <c r="K76" s="40"/>
      <c r="L76" s="40"/>
      <c r="M76" s="41"/>
    </row>
    <row r="77" spans="1:13" x14ac:dyDescent="0.25">
      <c r="A77" s="1140"/>
      <c r="B77" s="201" t="s">
        <v>482</v>
      </c>
      <c r="C77" s="197" t="s">
        <v>429</v>
      </c>
      <c r="D77" s="200" t="s">
        <v>76</v>
      </c>
      <c r="E77" s="155">
        <v>0.97</v>
      </c>
      <c r="F77" s="409">
        <f>E77*F73</f>
        <v>11.64</v>
      </c>
      <c r="G77" s="40"/>
      <c r="H77" s="40"/>
      <c r="I77" s="40"/>
      <c r="J77" s="40"/>
      <c r="K77" s="40"/>
      <c r="L77" s="40"/>
      <c r="M77" s="41"/>
    </row>
    <row r="78" spans="1:13" ht="15.75" thickBot="1" x14ac:dyDescent="0.3">
      <c r="A78" s="1141"/>
      <c r="B78" s="206"/>
      <c r="C78" s="207" t="s">
        <v>119</v>
      </c>
      <c r="D78" s="203" t="s">
        <v>78</v>
      </c>
      <c r="E78" s="180">
        <v>0.1</v>
      </c>
      <c r="F78" s="581">
        <f>E78*F73</f>
        <v>1.2000000000000002</v>
      </c>
      <c r="G78" s="49"/>
      <c r="H78" s="49"/>
      <c r="I78" s="49"/>
      <c r="J78" s="49"/>
      <c r="K78" s="49"/>
      <c r="L78" s="49"/>
      <c r="M78" s="50"/>
    </row>
    <row r="79" spans="1:13" ht="45" x14ac:dyDescent="0.25">
      <c r="A79" s="1124">
        <v>2</v>
      </c>
      <c r="B79" s="181" t="s">
        <v>684</v>
      </c>
      <c r="C79" s="204" t="s">
        <v>380</v>
      </c>
      <c r="D79" s="152" t="s">
        <v>76</v>
      </c>
      <c r="E79" s="205"/>
      <c r="F79" s="60">
        <v>25.08</v>
      </c>
      <c r="G79" s="731"/>
      <c r="H79" s="676"/>
      <c r="I79" s="731"/>
      <c r="J79" s="731"/>
      <c r="K79" s="731"/>
      <c r="L79" s="731"/>
      <c r="M79" s="125"/>
    </row>
    <row r="80" spans="1:13" ht="15.75" x14ac:dyDescent="0.3">
      <c r="A80" s="1119"/>
      <c r="B80" s="134"/>
      <c r="C80" s="198" t="s">
        <v>114</v>
      </c>
      <c r="D80" s="122" t="s">
        <v>68</v>
      </c>
      <c r="E80" s="167">
        <v>8.9</v>
      </c>
      <c r="F80" s="409">
        <f>E80*F79</f>
        <v>223.21199999999999</v>
      </c>
      <c r="G80" s="409"/>
      <c r="H80" s="409"/>
      <c r="I80" s="409"/>
      <c r="J80" s="409"/>
      <c r="K80" s="409"/>
      <c r="L80" s="409"/>
      <c r="M80" s="32"/>
    </row>
    <row r="81" spans="1:13" ht="15.75" x14ac:dyDescent="0.3">
      <c r="A81" s="1119"/>
      <c r="B81" s="134"/>
      <c r="C81" s="198" t="s">
        <v>166</v>
      </c>
      <c r="D81" s="122" t="s">
        <v>78</v>
      </c>
      <c r="E81" s="167">
        <v>0.13</v>
      </c>
      <c r="F81" s="409">
        <f>E81*F79</f>
        <v>3.2603999999999997</v>
      </c>
      <c r="G81" s="409"/>
      <c r="H81" s="409"/>
      <c r="I81" s="23"/>
      <c r="J81" s="23"/>
      <c r="K81" s="40"/>
      <c r="L81" s="23"/>
      <c r="M81" s="32"/>
    </row>
    <row r="82" spans="1:13" x14ac:dyDescent="0.25">
      <c r="A82" s="1119"/>
      <c r="B82" s="679" t="s">
        <v>513</v>
      </c>
      <c r="C82" s="367" t="s">
        <v>718</v>
      </c>
      <c r="D82" s="200" t="s">
        <v>62</v>
      </c>
      <c r="E82" s="155">
        <v>3.5999999999999997E-2</v>
      </c>
      <c r="F82" s="409">
        <f>E82*F79</f>
        <v>0.9028799999999999</v>
      </c>
      <c r="G82" s="40"/>
      <c r="H82" s="40"/>
      <c r="I82" s="40"/>
      <c r="J82" s="40"/>
      <c r="K82" s="40"/>
      <c r="L82" s="40"/>
      <c r="M82" s="41"/>
    </row>
    <row r="83" spans="1:13" ht="30" x14ac:dyDescent="0.25">
      <c r="A83" s="1119"/>
      <c r="B83" s="366" t="s">
        <v>500</v>
      </c>
      <c r="C83" s="367" t="s">
        <v>501</v>
      </c>
      <c r="D83" s="200" t="s">
        <v>76</v>
      </c>
      <c r="E83" s="155">
        <v>0.97</v>
      </c>
      <c r="F83" s="409">
        <f>E83*F79</f>
        <v>24.327599999999997</v>
      </c>
      <c r="G83" s="40"/>
      <c r="H83" s="40"/>
      <c r="I83" s="40"/>
      <c r="J83" s="40"/>
      <c r="K83" s="40"/>
      <c r="L83" s="40"/>
      <c r="M83" s="41"/>
    </row>
    <row r="84" spans="1:13" ht="15.75" thickBot="1" x14ac:dyDescent="0.3">
      <c r="A84" s="1120"/>
      <c r="B84" s="206"/>
      <c r="C84" s="207" t="s">
        <v>119</v>
      </c>
      <c r="D84" s="203" t="s">
        <v>78</v>
      </c>
      <c r="E84" s="180">
        <v>0.1</v>
      </c>
      <c r="F84" s="581">
        <f>E84*F79</f>
        <v>2.508</v>
      </c>
      <c r="G84" s="49"/>
      <c r="H84" s="49"/>
      <c r="I84" s="49"/>
      <c r="J84" s="49"/>
      <c r="K84" s="49"/>
      <c r="L84" s="49"/>
      <c r="M84" s="50"/>
    </row>
    <row r="85" spans="1:13" ht="45.75" thickBot="1" x14ac:dyDescent="0.3">
      <c r="A85" s="337"/>
      <c r="B85" s="816"/>
      <c r="C85" s="338" t="s">
        <v>208</v>
      </c>
      <c r="D85" s="339"/>
      <c r="E85" s="817"/>
      <c r="F85" s="599"/>
      <c r="G85" s="340"/>
      <c r="H85" s="341"/>
      <c r="I85" s="341"/>
      <c r="J85" s="341"/>
      <c r="K85" s="341"/>
      <c r="L85" s="341"/>
      <c r="M85" s="341"/>
    </row>
    <row r="86" spans="1:13" ht="45" x14ac:dyDescent="0.25">
      <c r="A86" s="1086">
        <v>1</v>
      </c>
      <c r="B86" s="181" t="s">
        <v>206</v>
      </c>
      <c r="C86" s="204" t="s">
        <v>209</v>
      </c>
      <c r="D86" s="152" t="s">
        <v>207</v>
      </c>
      <c r="E86" s="164"/>
      <c r="F86" s="60">
        <v>0.3</v>
      </c>
      <c r="G86" s="676"/>
      <c r="H86" s="676"/>
      <c r="I86" s="676"/>
      <c r="J86" s="676"/>
      <c r="K86" s="676"/>
      <c r="L86" s="676"/>
      <c r="M86" s="677"/>
    </row>
    <row r="87" spans="1:13" ht="15.75" x14ac:dyDescent="0.3">
      <c r="A87" s="1087"/>
      <c r="B87" s="134"/>
      <c r="C87" s="198" t="s">
        <v>114</v>
      </c>
      <c r="D87" s="122" t="s">
        <v>68</v>
      </c>
      <c r="E87" s="122">
        <v>65</v>
      </c>
      <c r="F87" s="409">
        <f>ROUND(F86*E87,2)</f>
        <v>19.5</v>
      </c>
      <c r="G87" s="40"/>
      <c r="H87" s="40"/>
      <c r="I87" s="409"/>
      <c r="J87" s="409"/>
      <c r="K87" s="409"/>
      <c r="L87" s="409"/>
      <c r="M87" s="32"/>
    </row>
    <row r="88" spans="1:13" ht="15.75" x14ac:dyDescent="0.3">
      <c r="A88" s="1087"/>
      <c r="B88" s="134" t="s">
        <v>147</v>
      </c>
      <c r="C88" s="198" t="s">
        <v>686</v>
      </c>
      <c r="D88" s="122" t="s">
        <v>87</v>
      </c>
      <c r="E88" s="818" t="s">
        <v>72</v>
      </c>
      <c r="F88" s="584">
        <v>30</v>
      </c>
      <c r="G88" s="40"/>
      <c r="H88" s="40"/>
      <c r="I88" s="409"/>
      <c r="J88" s="409"/>
      <c r="K88" s="409"/>
      <c r="L88" s="409"/>
      <c r="M88" s="32"/>
    </row>
    <row r="89" spans="1:13" ht="15.75" x14ac:dyDescent="0.3">
      <c r="A89" s="1087"/>
      <c r="B89" s="134"/>
      <c r="C89" s="199" t="s">
        <v>166</v>
      </c>
      <c r="D89" s="122" t="s">
        <v>78</v>
      </c>
      <c r="E89" s="122">
        <v>15.9</v>
      </c>
      <c r="F89" s="409">
        <f>ROUND(F86*E89,2)</f>
        <v>4.7699999999999996</v>
      </c>
      <c r="G89" s="75"/>
      <c r="H89" s="40"/>
      <c r="I89" s="23"/>
      <c r="J89" s="23"/>
      <c r="K89" s="40"/>
      <c r="L89" s="23"/>
      <c r="M89" s="32"/>
    </row>
    <row r="90" spans="1:13" ht="16.5" thickBot="1" x14ac:dyDescent="0.35">
      <c r="A90" s="1088"/>
      <c r="B90" s="819"/>
      <c r="C90" s="202" t="s">
        <v>119</v>
      </c>
      <c r="D90" s="203" t="s">
        <v>78</v>
      </c>
      <c r="E90" s="156">
        <v>24.6</v>
      </c>
      <c r="F90" s="581">
        <f>ROUND(F86*E90,2)</f>
        <v>7.38</v>
      </c>
      <c r="G90" s="49"/>
      <c r="H90" s="49"/>
      <c r="I90" s="49"/>
      <c r="J90" s="49"/>
      <c r="K90" s="49"/>
      <c r="L90" s="49"/>
      <c r="M90" s="50"/>
    </row>
    <row r="91" spans="1:13" x14ac:dyDescent="0.25">
      <c r="A91" s="1086">
        <v>2</v>
      </c>
      <c r="B91" s="672" t="s">
        <v>687</v>
      </c>
      <c r="C91" s="19" t="s">
        <v>211</v>
      </c>
      <c r="D91" s="19" t="s">
        <v>87</v>
      </c>
      <c r="E91" s="19"/>
      <c r="F91" s="19">
        <v>2</v>
      </c>
      <c r="G91" s="19"/>
      <c r="H91" s="19"/>
      <c r="I91" s="19"/>
      <c r="J91" s="19"/>
      <c r="K91" s="19"/>
      <c r="L91" s="19"/>
      <c r="M91" s="20"/>
    </row>
    <row r="92" spans="1:13" x14ac:dyDescent="0.25">
      <c r="A92" s="1087"/>
      <c r="B92" s="679"/>
      <c r="C92" s="37" t="s">
        <v>67</v>
      </c>
      <c r="D92" s="38" t="s">
        <v>68</v>
      </c>
      <c r="E92" s="39">
        <v>0.95</v>
      </c>
      <c r="F92" s="40">
        <f>E92*F91</f>
        <v>1.9</v>
      </c>
      <c r="G92" s="40"/>
      <c r="H92" s="40"/>
      <c r="I92" s="40"/>
      <c r="J92" s="40"/>
      <c r="K92" s="40"/>
      <c r="L92" s="40"/>
      <c r="M92" s="41"/>
    </row>
    <row r="93" spans="1:13" x14ac:dyDescent="0.25">
      <c r="A93" s="1087"/>
      <c r="B93" s="679" t="s">
        <v>689</v>
      </c>
      <c r="C93" s="365" t="s">
        <v>688</v>
      </c>
      <c r="D93" s="38" t="s">
        <v>104</v>
      </c>
      <c r="E93" s="39">
        <v>0.316</v>
      </c>
      <c r="F93" s="40">
        <f>E93*F91</f>
        <v>0.63200000000000001</v>
      </c>
      <c r="G93" s="40"/>
      <c r="H93" s="40"/>
      <c r="I93" s="40"/>
      <c r="J93" s="40"/>
      <c r="K93" s="40"/>
      <c r="L93" s="40"/>
      <c r="M93" s="41"/>
    </row>
    <row r="94" spans="1:13" x14ac:dyDescent="0.25">
      <c r="A94" s="1087"/>
      <c r="B94" s="679" t="s">
        <v>147</v>
      </c>
      <c r="C94" s="602" t="s">
        <v>212</v>
      </c>
      <c r="D94" s="38" t="s">
        <v>120</v>
      </c>
      <c r="E94" s="43" t="s">
        <v>72</v>
      </c>
      <c r="F94" s="40">
        <f>F91</f>
        <v>2</v>
      </c>
      <c r="G94" s="40"/>
      <c r="H94" s="40"/>
      <c r="I94" s="40"/>
      <c r="J94" s="40"/>
      <c r="K94" s="40"/>
      <c r="L94" s="40"/>
      <c r="M94" s="41"/>
    </row>
    <row r="95" spans="1:13" ht="15.75" x14ac:dyDescent="0.3">
      <c r="A95" s="1087"/>
      <c r="B95" s="679"/>
      <c r="C95" s="209" t="s">
        <v>213</v>
      </c>
      <c r="D95" s="38" t="s">
        <v>71</v>
      </c>
      <c r="E95" s="39">
        <f>0.02*1000/100</f>
        <v>0.2</v>
      </c>
      <c r="F95" s="40">
        <f>E95*F91</f>
        <v>0.4</v>
      </c>
      <c r="G95" s="40"/>
      <c r="H95" s="40"/>
      <c r="I95" s="40"/>
      <c r="J95" s="40"/>
      <c r="K95" s="40"/>
      <c r="L95" s="40"/>
      <c r="M95" s="41"/>
    </row>
    <row r="96" spans="1:13" ht="16.5" thickBot="1" x14ac:dyDescent="0.35">
      <c r="A96" s="1087"/>
      <c r="B96" s="679"/>
      <c r="C96" s="209" t="s">
        <v>79</v>
      </c>
      <c r="D96" s="38" t="s">
        <v>78</v>
      </c>
      <c r="E96" s="39">
        <v>0.18</v>
      </c>
      <c r="F96" s="40">
        <f>E96*F91</f>
        <v>0.36</v>
      </c>
      <c r="G96" s="49"/>
      <c r="H96" s="40"/>
      <c r="I96" s="40"/>
      <c r="J96" s="40"/>
      <c r="K96" s="40"/>
      <c r="L96" s="40"/>
      <c r="M96" s="41"/>
    </row>
    <row r="97" spans="1:13" ht="16.5" thickBot="1" x14ac:dyDescent="0.35">
      <c r="A97" s="1088"/>
      <c r="B97" s="355"/>
      <c r="C97" s="210" t="s">
        <v>77</v>
      </c>
      <c r="D97" s="342" t="s">
        <v>78</v>
      </c>
      <c r="E97" s="48">
        <v>1.52</v>
      </c>
      <c r="F97" s="49">
        <f>E97*F91</f>
        <v>3.04</v>
      </c>
      <c r="G97" s="49"/>
      <c r="H97" s="49"/>
      <c r="I97" s="49"/>
      <c r="J97" s="49"/>
      <c r="K97" s="40"/>
      <c r="L97" s="49"/>
      <c r="M97" s="50"/>
    </row>
    <row r="98" spans="1:13" x14ac:dyDescent="0.25">
      <c r="A98" s="1086">
        <v>3</v>
      </c>
      <c r="B98" s="322" t="s">
        <v>214</v>
      </c>
      <c r="C98" s="19" t="s">
        <v>215</v>
      </c>
      <c r="D98" s="19" t="s">
        <v>89</v>
      </c>
      <c r="E98" s="19"/>
      <c r="F98" s="19">
        <f>(F100*5.65+F101*4.71+F102*2.51+F103*0.785)/1000</f>
        <v>5.1590706499999994</v>
      </c>
      <c r="G98" s="19"/>
      <c r="H98" s="19"/>
      <c r="I98" s="19"/>
      <c r="J98" s="19"/>
      <c r="K98" s="19"/>
      <c r="L98" s="19"/>
      <c r="M98" s="20"/>
    </row>
    <row r="99" spans="1:13" x14ac:dyDescent="0.25">
      <c r="A99" s="1087"/>
      <c r="B99" s="679"/>
      <c r="C99" s="37" t="s">
        <v>67</v>
      </c>
      <c r="D99" s="38" t="s">
        <v>68</v>
      </c>
      <c r="E99" s="39">
        <v>34.9</v>
      </c>
      <c r="F99" s="40">
        <f>E99*F98</f>
        <v>180.05156568499999</v>
      </c>
      <c r="G99" s="40"/>
      <c r="H99" s="40"/>
      <c r="I99" s="40"/>
      <c r="J99" s="40"/>
      <c r="K99" s="40"/>
      <c r="L99" s="40"/>
      <c r="M99" s="41"/>
    </row>
    <row r="100" spans="1:13" x14ac:dyDescent="0.25">
      <c r="A100" s="1087"/>
      <c r="B100" s="679" t="s">
        <v>506</v>
      </c>
      <c r="C100" s="601" t="s">
        <v>381</v>
      </c>
      <c r="D100" s="38" t="s">
        <v>88</v>
      </c>
      <c r="E100" s="43" t="s">
        <v>72</v>
      </c>
      <c r="F100" s="75">
        <f>1.1*137</f>
        <v>150.70000000000002</v>
      </c>
      <c r="G100" s="40"/>
      <c r="H100" s="40"/>
      <c r="I100" s="40"/>
      <c r="J100" s="40"/>
      <c r="K100" s="40"/>
      <c r="L100" s="40"/>
      <c r="M100" s="41"/>
    </row>
    <row r="101" spans="1:13" x14ac:dyDescent="0.25">
      <c r="A101" s="1087"/>
      <c r="B101" s="364" t="s">
        <v>508</v>
      </c>
      <c r="C101" s="601" t="s">
        <v>382</v>
      </c>
      <c r="D101" s="38" t="s">
        <v>88</v>
      </c>
      <c r="E101" s="43" t="s">
        <v>72</v>
      </c>
      <c r="F101" s="75">
        <f>2.35*137</f>
        <v>321.95</v>
      </c>
      <c r="G101" s="40"/>
      <c r="H101" s="40"/>
      <c r="I101" s="40"/>
      <c r="J101" s="40"/>
      <c r="K101" s="40"/>
      <c r="L101" s="40"/>
      <c r="M101" s="41"/>
    </row>
    <row r="102" spans="1:13" x14ac:dyDescent="0.25">
      <c r="A102" s="1087"/>
      <c r="B102" s="679" t="s">
        <v>507</v>
      </c>
      <c r="C102" s="601" t="s">
        <v>439</v>
      </c>
      <c r="D102" s="38" t="s">
        <v>88</v>
      </c>
      <c r="E102" s="43" t="s">
        <v>72</v>
      </c>
      <c r="F102" s="75">
        <f>4.68*137</f>
        <v>641.16</v>
      </c>
      <c r="G102" s="40"/>
      <c r="H102" s="40"/>
      <c r="I102" s="40"/>
      <c r="J102" s="40"/>
      <c r="K102" s="40"/>
      <c r="L102" s="40"/>
      <c r="M102" s="41"/>
    </row>
    <row r="103" spans="1:13" x14ac:dyDescent="0.25">
      <c r="A103" s="1087"/>
      <c r="B103" s="679" t="s">
        <v>505</v>
      </c>
      <c r="C103" s="601" t="s">
        <v>383</v>
      </c>
      <c r="D103" s="38" t="s">
        <v>88</v>
      </c>
      <c r="E103" s="43" t="s">
        <v>72</v>
      </c>
      <c r="F103" s="75">
        <f>10.99*137</f>
        <v>1505.63</v>
      </c>
      <c r="G103" s="40"/>
      <c r="H103" s="40"/>
      <c r="I103" s="40"/>
      <c r="J103" s="40"/>
      <c r="K103" s="40"/>
      <c r="L103" s="40"/>
      <c r="M103" s="41"/>
    </row>
    <row r="104" spans="1:13" x14ac:dyDescent="0.25">
      <c r="A104" s="1087"/>
      <c r="B104" s="679" t="s">
        <v>504</v>
      </c>
      <c r="C104" s="602" t="s">
        <v>213</v>
      </c>
      <c r="D104" s="38" t="s">
        <v>71</v>
      </c>
      <c r="E104" s="39">
        <v>15.2</v>
      </c>
      <c r="F104" s="40">
        <f>E104*F98</f>
        <v>78.417873879999988</v>
      </c>
      <c r="G104" s="40"/>
      <c r="H104" s="40"/>
      <c r="I104" s="40"/>
      <c r="J104" s="40"/>
      <c r="K104" s="40"/>
      <c r="L104" s="40"/>
      <c r="M104" s="41"/>
    </row>
    <row r="105" spans="1:13" ht="16.5" thickBot="1" x14ac:dyDescent="0.35">
      <c r="A105" s="1087"/>
      <c r="B105" s="679"/>
      <c r="C105" s="209" t="s">
        <v>79</v>
      </c>
      <c r="D105" s="38" t="s">
        <v>78</v>
      </c>
      <c r="E105" s="39">
        <v>2.78</v>
      </c>
      <c r="F105" s="40">
        <f>E105*F98</f>
        <v>14.342216406999997</v>
      </c>
      <c r="G105" s="49"/>
      <c r="H105" s="40"/>
      <c r="I105" s="40"/>
      <c r="J105" s="40"/>
      <c r="K105" s="40"/>
      <c r="L105" s="40"/>
      <c r="M105" s="41"/>
    </row>
    <row r="106" spans="1:13" ht="16.5" thickBot="1" x14ac:dyDescent="0.35">
      <c r="A106" s="1088"/>
      <c r="B106" s="355"/>
      <c r="C106" s="210" t="s">
        <v>77</v>
      </c>
      <c r="D106" s="342" t="s">
        <v>78</v>
      </c>
      <c r="E106" s="48">
        <v>4.07</v>
      </c>
      <c r="F106" s="49">
        <f>E106*F98</f>
        <v>20.997417545499999</v>
      </c>
      <c r="G106" s="49"/>
      <c r="H106" s="49"/>
      <c r="I106" s="49"/>
      <c r="J106" s="49"/>
      <c r="K106" s="40"/>
      <c r="L106" s="49"/>
      <c r="M106" s="50"/>
    </row>
    <row r="107" spans="1:13" x14ac:dyDescent="0.25">
      <c r="A107" s="1086">
        <v>4</v>
      </c>
      <c r="B107" s="322" t="s">
        <v>433</v>
      </c>
      <c r="C107" s="19" t="s">
        <v>431</v>
      </c>
      <c r="D107" s="19" t="s">
        <v>87</v>
      </c>
      <c r="E107" s="19"/>
      <c r="F107" s="19">
        <v>4</v>
      </c>
      <c r="G107" s="19"/>
      <c r="H107" s="19"/>
      <c r="I107" s="19"/>
      <c r="J107" s="19"/>
      <c r="K107" s="19"/>
      <c r="L107" s="19"/>
      <c r="M107" s="20"/>
    </row>
    <row r="108" spans="1:13" x14ac:dyDescent="0.25">
      <c r="A108" s="1087"/>
      <c r="B108" s="679"/>
      <c r="C108" s="37" t="s">
        <v>67</v>
      </c>
      <c r="D108" s="38" t="s">
        <v>68</v>
      </c>
      <c r="E108" s="39">
        <v>7.33</v>
      </c>
      <c r="F108" s="40">
        <f>E108*F107</f>
        <v>29.32</v>
      </c>
      <c r="G108" s="40"/>
      <c r="H108" s="40"/>
      <c r="I108" s="40"/>
      <c r="J108" s="40"/>
      <c r="K108" s="40"/>
      <c r="L108" s="40"/>
      <c r="M108" s="41"/>
    </row>
    <row r="109" spans="1:13" x14ac:dyDescent="0.25">
      <c r="A109" s="1087"/>
      <c r="B109" s="679" t="s">
        <v>506</v>
      </c>
      <c r="C109" s="601" t="s">
        <v>381</v>
      </c>
      <c r="D109" s="38" t="s">
        <v>88</v>
      </c>
      <c r="E109" s="43" t="s">
        <v>72</v>
      </c>
      <c r="F109" s="75">
        <f>2.46*F107</f>
        <v>9.84</v>
      </c>
      <c r="G109" s="40"/>
      <c r="H109" s="40"/>
      <c r="I109" s="40"/>
      <c r="J109" s="40"/>
      <c r="K109" s="40"/>
      <c r="L109" s="40"/>
      <c r="M109" s="41"/>
    </row>
    <row r="110" spans="1:13" x14ac:dyDescent="0.25">
      <c r="A110" s="1087"/>
      <c r="B110" s="364" t="s">
        <v>508</v>
      </c>
      <c r="C110" s="601" t="s">
        <v>382</v>
      </c>
      <c r="D110" s="38" t="s">
        <v>88</v>
      </c>
      <c r="E110" s="43" t="s">
        <v>72</v>
      </c>
      <c r="F110" s="75">
        <f>1.6*F107</f>
        <v>6.4</v>
      </c>
      <c r="G110" s="40"/>
      <c r="H110" s="40"/>
      <c r="I110" s="40"/>
      <c r="J110" s="40"/>
      <c r="K110" s="40"/>
      <c r="L110" s="40"/>
      <c r="M110" s="41"/>
    </row>
    <row r="111" spans="1:13" x14ac:dyDescent="0.25">
      <c r="A111" s="1087"/>
      <c r="B111" s="679" t="s">
        <v>507</v>
      </c>
      <c r="C111" s="601" t="s">
        <v>439</v>
      </c>
      <c r="D111" s="38" t="s">
        <v>88</v>
      </c>
      <c r="E111" s="43" t="s">
        <v>72</v>
      </c>
      <c r="F111" s="75">
        <f>F107*4</f>
        <v>16</v>
      </c>
      <c r="G111" s="40"/>
      <c r="H111" s="40"/>
      <c r="I111" s="40"/>
      <c r="J111" s="40"/>
      <c r="K111" s="40"/>
      <c r="L111" s="40"/>
      <c r="M111" s="41"/>
    </row>
    <row r="112" spans="1:13" x14ac:dyDescent="0.25">
      <c r="A112" s="1087"/>
      <c r="B112" s="679" t="s">
        <v>505</v>
      </c>
      <c r="C112" s="601" t="s">
        <v>383</v>
      </c>
      <c r="D112" s="38" t="s">
        <v>88</v>
      </c>
      <c r="E112" s="43" t="s">
        <v>72</v>
      </c>
      <c r="F112" s="75">
        <f>F107*4.71</f>
        <v>18.84</v>
      </c>
      <c r="G112" s="40"/>
      <c r="H112" s="40"/>
      <c r="I112" s="40"/>
      <c r="J112" s="40"/>
      <c r="K112" s="40"/>
      <c r="L112" s="40"/>
      <c r="M112" s="41"/>
    </row>
    <row r="113" spans="1:13" x14ac:dyDescent="0.25">
      <c r="A113" s="1087"/>
      <c r="B113" s="679"/>
      <c r="C113" s="42" t="s">
        <v>434</v>
      </c>
      <c r="D113" s="38" t="s">
        <v>87</v>
      </c>
      <c r="E113" s="43" t="s">
        <v>72</v>
      </c>
      <c r="F113" s="75">
        <f>F107*2</f>
        <v>8</v>
      </c>
      <c r="G113" s="40"/>
      <c r="H113" s="40"/>
      <c r="I113" s="40"/>
      <c r="J113" s="40"/>
      <c r="K113" s="40"/>
      <c r="L113" s="40"/>
      <c r="M113" s="41"/>
    </row>
    <row r="114" spans="1:13" ht="15.75" x14ac:dyDescent="0.3">
      <c r="A114" s="1087"/>
      <c r="B114" s="679"/>
      <c r="C114" s="209" t="s">
        <v>432</v>
      </c>
      <c r="D114" s="38" t="s">
        <v>87</v>
      </c>
      <c r="E114" s="43" t="s">
        <v>72</v>
      </c>
      <c r="F114" s="75">
        <v>2</v>
      </c>
      <c r="G114" s="40"/>
      <c r="H114" s="40"/>
      <c r="I114" s="40"/>
      <c r="J114" s="40"/>
      <c r="K114" s="40"/>
      <c r="L114" s="40"/>
      <c r="M114" s="41"/>
    </row>
    <row r="115" spans="1:13" x14ac:dyDescent="0.25">
      <c r="A115" s="1087"/>
      <c r="B115" s="679" t="s">
        <v>504</v>
      </c>
      <c r="C115" s="602" t="s">
        <v>213</v>
      </c>
      <c r="D115" s="38" t="s">
        <v>71</v>
      </c>
      <c r="E115" s="39">
        <v>0.2</v>
      </c>
      <c r="F115" s="40">
        <f>E115*F107</f>
        <v>0.8</v>
      </c>
      <c r="G115" s="40"/>
      <c r="H115" s="40"/>
      <c r="I115" s="40"/>
      <c r="J115" s="40"/>
      <c r="K115" s="40"/>
      <c r="L115" s="40"/>
      <c r="M115" s="41"/>
    </row>
    <row r="116" spans="1:13" ht="16.5" thickBot="1" x14ac:dyDescent="0.35">
      <c r="A116" s="1087"/>
      <c r="B116" s="679"/>
      <c r="C116" s="209" t="s">
        <v>79</v>
      </c>
      <c r="D116" s="38" t="s">
        <v>78</v>
      </c>
      <c r="E116" s="39">
        <v>0.02</v>
      </c>
      <c r="F116" s="40">
        <f>E116*F107</f>
        <v>0.08</v>
      </c>
      <c r="G116" s="49"/>
      <c r="H116" s="40"/>
      <c r="I116" s="40"/>
      <c r="J116" s="40"/>
      <c r="K116" s="40"/>
      <c r="L116" s="40"/>
      <c r="M116" s="41"/>
    </row>
    <row r="117" spans="1:13" ht="16.5" thickBot="1" x14ac:dyDescent="0.35">
      <c r="A117" s="1088"/>
      <c r="B117" s="355"/>
      <c r="C117" s="210" t="s">
        <v>77</v>
      </c>
      <c r="D117" s="342" t="s">
        <v>78</v>
      </c>
      <c r="E117" s="48">
        <v>0.11</v>
      </c>
      <c r="F117" s="49">
        <f>E117*F107</f>
        <v>0.44</v>
      </c>
      <c r="G117" s="49"/>
      <c r="H117" s="49"/>
      <c r="I117" s="49"/>
      <c r="J117" s="49"/>
      <c r="K117" s="40"/>
      <c r="L117" s="49"/>
      <c r="M117" s="50"/>
    </row>
    <row r="118" spans="1:13" x14ac:dyDescent="0.25">
      <c r="A118" s="1086">
        <v>5</v>
      </c>
      <c r="B118" s="322" t="s">
        <v>436</v>
      </c>
      <c r="C118" s="19" t="s">
        <v>435</v>
      </c>
      <c r="D118" s="19" t="s">
        <v>87</v>
      </c>
      <c r="E118" s="19"/>
      <c r="F118" s="19">
        <v>2</v>
      </c>
      <c r="G118" s="19"/>
      <c r="H118" s="19"/>
      <c r="I118" s="19"/>
      <c r="J118" s="19"/>
      <c r="K118" s="19"/>
      <c r="L118" s="19"/>
      <c r="M118" s="20"/>
    </row>
    <row r="119" spans="1:13" x14ac:dyDescent="0.25">
      <c r="A119" s="1087"/>
      <c r="B119" s="679"/>
      <c r="C119" s="37" t="s">
        <v>67</v>
      </c>
      <c r="D119" s="38" t="s">
        <v>68</v>
      </c>
      <c r="E119" s="39">
        <v>17.2</v>
      </c>
      <c r="F119" s="40">
        <f>E119*F118</f>
        <v>34.4</v>
      </c>
      <c r="G119" s="40"/>
      <c r="H119" s="40"/>
      <c r="I119" s="40"/>
      <c r="J119" s="40"/>
      <c r="K119" s="40"/>
      <c r="L119" s="40"/>
      <c r="M119" s="41"/>
    </row>
    <row r="120" spans="1:13" x14ac:dyDescent="0.25">
      <c r="A120" s="1087"/>
      <c r="B120" s="679" t="s">
        <v>509</v>
      </c>
      <c r="C120" s="601" t="s">
        <v>438</v>
      </c>
      <c r="D120" s="38" t="s">
        <v>88</v>
      </c>
      <c r="E120" s="43" t="s">
        <v>72</v>
      </c>
      <c r="F120" s="75">
        <f>F118*2.74</f>
        <v>5.48</v>
      </c>
      <c r="G120" s="40"/>
      <c r="H120" s="40"/>
      <c r="I120" s="40"/>
      <c r="J120" s="40"/>
      <c r="K120" s="40"/>
      <c r="L120" s="40"/>
      <c r="M120" s="41"/>
    </row>
    <row r="121" spans="1:13" x14ac:dyDescent="0.25">
      <c r="A121" s="1087"/>
      <c r="B121" s="679" t="s">
        <v>506</v>
      </c>
      <c r="C121" s="601" t="s">
        <v>381</v>
      </c>
      <c r="D121" s="38" t="s">
        <v>88</v>
      </c>
      <c r="E121" s="43" t="s">
        <v>72</v>
      </c>
      <c r="F121" s="75">
        <f>2.46*F118</f>
        <v>4.92</v>
      </c>
      <c r="G121" s="40"/>
      <c r="H121" s="40"/>
      <c r="I121" s="40"/>
      <c r="J121" s="40"/>
      <c r="K121" s="40"/>
      <c r="L121" s="40"/>
      <c r="M121" s="41"/>
    </row>
    <row r="122" spans="1:13" x14ac:dyDescent="0.25">
      <c r="A122" s="1087"/>
      <c r="B122" s="364" t="s">
        <v>508</v>
      </c>
      <c r="C122" s="601" t="s">
        <v>382</v>
      </c>
      <c r="D122" s="38" t="s">
        <v>88</v>
      </c>
      <c r="E122" s="43" t="s">
        <v>72</v>
      </c>
      <c r="F122" s="75">
        <f>1.6*F118</f>
        <v>3.2</v>
      </c>
      <c r="G122" s="40"/>
      <c r="H122" s="40"/>
      <c r="I122" s="40"/>
      <c r="J122" s="40"/>
      <c r="K122" s="40"/>
      <c r="L122" s="40"/>
      <c r="M122" s="41"/>
    </row>
    <row r="123" spans="1:13" x14ac:dyDescent="0.25">
      <c r="A123" s="1087"/>
      <c r="B123" s="679" t="s">
        <v>507</v>
      </c>
      <c r="C123" s="601" t="s">
        <v>439</v>
      </c>
      <c r="D123" s="38" t="s">
        <v>88</v>
      </c>
      <c r="E123" s="43" t="s">
        <v>72</v>
      </c>
      <c r="F123" s="75">
        <f>F118*12</f>
        <v>24</v>
      </c>
      <c r="G123" s="40"/>
      <c r="H123" s="40"/>
      <c r="I123" s="40"/>
      <c r="J123" s="40"/>
      <c r="K123" s="40"/>
      <c r="L123" s="40"/>
      <c r="M123" s="41"/>
    </row>
    <row r="124" spans="1:13" x14ac:dyDescent="0.25">
      <c r="A124" s="1087"/>
      <c r="B124" s="679" t="s">
        <v>505</v>
      </c>
      <c r="C124" s="601" t="s">
        <v>383</v>
      </c>
      <c r="D124" s="38" t="s">
        <v>88</v>
      </c>
      <c r="E124" s="43" t="s">
        <v>72</v>
      </c>
      <c r="F124" s="75">
        <f>F118*4.71</f>
        <v>9.42</v>
      </c>
      <c r="G124" s="40"/>
      <c r="H124" s="40"/>
      <c r="I124" s="40"/>
      <c r="J124" s="40"/>
      <c r="K124" s="40"/>
      <c r="L124" s="40"/>
      <c r="M124" s="41"/>
    </row>
    <row r="125" spans="1:13" x14ac:dyDescent="0.25">
      <c r="A125" s="1087"/>
      <c r="B125" s="679"/>
      <c r="C125" s="42" t="s">
        <v>437</v>
      </c>
      <c r="D125" s="38" t="s">
        <v>87</v>
      </c>
      <c r="E125" s="43" t="s">
        <v>72</v>
      </c>
      <c r="F125" s="40">
        <f>F118*2</f>
        <v>4</v>
      </c>
      <c r="G125" s="40"/>
      <c r="H125" s="40"/>
      <c r="I125" s="40"/>
      <c r="J125" s="40"/>
      <c r="K125" s="40"/>
      <c r="L125" s="40"/>
      <c r="M125" s="41"/>
    </row>
    <row r="126" spans="1:13" ht="15.75" x14ac:dyDescent="0.3">
      <c r="A126" s="1087"/>
      <c r="B126" s="679"/>
      <c r="C126" s="209" t="s">
        <v>432</v>
      </c>
      <c r="D126" s="38" t="s">
        <v>87</v>
      </c>
      <c r="E126" s="43" t="s">
        <v>72</v>
      </c>
      <c r="F126" s="40">
        <v>2</v>
      </c>
      <c r="G126" s="40"/>
      <c r="H126" s="40"/>
      <c r="I126" s="40"/>
      <c r="J126" s="40"/>
      <c r="K126" s="40"/>
      <c r="L126" s="40"/>
      <c r="M126" s="41"/>
    </row>
    <row r="127" spans="1:13" x14ac:dyDescent="0.25">
      <c r="A127" s="1087"/>
      <c r="B127" s="679" t="s">
        <v>504</v>
      </c>
      <c r="C127" s="602" t="s">
        <v>213</v>
      </c>
      <c r="D127" s="38" t="s">
        <v>71</v>
      </c>
      <c r="E127" s="39">
        <v>0.2</v>
      </c>
      <c r="F127" s="40">
        <f>E127*F118</f>
        <v>0.4</v>
      </c>
      <c r="G127" s="40"/>
      <c r="H127" s="40"/>
      <c r="I127" s="40"/>
      <c r="J127" s="40"/>
      <c r="K127" s="40"/>
      <c r="L127" s="40"/>
      <c r="M127" s="41"/>
    </row>
    <row r="128" spans="1:13" ht="16.5" thickBot="1" x14ac:dyDescent="0.35">
      <c r="A128" s="1087"/>
      <c r="B128" s="679"/>
      <c r="C128" s="209" t="s">
        <v>79</v>
      </c>
      <c r="D128" s="38" t="s">
        <v>78</v>
      </c>
      <c r="E128" s="39">
        <v>0.2</v>
      </c>
      <c r="F128" s="40">
        <f>E128*F118</f>
        <v>0.4</v>
      </c>
      <c r="G128" s="49"/>
      <c r="H128" s="40"/>
      <c r="I128" s="40"/>
      <c r="J128" s="40"/>
      <c r="K128" s="40"/>
      <c r="L128" s="40"/>
      <c r="M128" s="41"/>
    </row>
    <row r="129" spans="1:13" ht="16.5" thickBot="1" x14ac:dyDescent="0.35">
      <c r="A129" s="1088"/>
      <c r="B129" s="355"/>
      <c r="C129" s="210" t="s">
        <v>77</v>
      </c>
      <c r="D129" s="342" t="s">
        <v>78</v>
      </c>
      <c r="E129" s="48">
        <v>0.7</v>
      </c>
      <c r="F129" s="49">
        <f>E129*F118</f>
        <v>1.4</v>
      </c>
      <c r="G129" s="49"/>
      <c r="H129" s="49"/>
      <c r="I129" s="49"/>
      <c r="J129" s="49"/>
      <c r="K129" s="40"/>
      <c r="L129" s="49"/>
      <c r="M129" s="50"/>
    </row>
    <row r="130" spans="1:13" ht="30" x14ac:dyDescent="0.25">
      <c r="A130" s="1086">
        <v>6</v>
      </c>
      <c r="B130" s="322" t="s">
        <v>91</v>
      </c>
      <c r="C130" s="19" t="s">
        <v>217</v>
      </c>
      <c r="D130" s="19" t="s">
        <v>76</v>
      </c>
      <c r="E130" s="19"/>
      <c r="F130" s="19">
        <f>137*2.35*0.78+(2.09+1)*0.8*2+0.87*0.8*4</f>
        <v>258.84899999999999</v>
      </c>
      <c r="G130" s="19"/>
      <c r="H130" s="19"/>
      <c r="I130" s="19"/>
      <c r="J130" s="19"/>
      <c r="K130" s="19"/>
      <c r="L130" s="19"/>
      <c r="M130" s="20"/>
    </row>
    <row r="131" spans="1:13" x14ac:dyDescent="0.25">
      <c r="A131" s="1087"/>
      <c r="B131" s="679"/>
      <c r="C131" s="37" t="s">
        <v>67</v>
      </c>
      <c r="D131" s="38" t="s">
        <v>68</v>
      </c>
      <c r="E131" s="39">
        <v>0.68</v>
      </c>
      <c r="F131" s="40">
        <f>E131*F130</f>
        <v>176.01732000000001</v>
      </c>
      <c r="G131" s="40"/>
      <c r="H131" s="40"/>
      <c r="I131" s="40"/>
      <c r="J131" s="40"/>
      <c r="K131" s="40"/>
      <c r="L131" s="40"/>
      <c r="M131" s="41"/>
    </row>
    <row r="132" spans="1:13" x14ac:dyDescent="0.25">
      <c r="A132" s="1087"/>
      <c r="B132" s="679" t="s">
        <v>511</v>
      </c>
      <c r="C132" s="365" t="s">
        <v>690</v>
      </c>
      <c r="D132" s="38" t="s">
        <v>71</v>
      </c>
      <c r="E132" s="39">
        <f>(24.4+0.2)/100</f>
        <v>0.24599999999999997</v>
      </c>
      <c r="F132" s="40">
        <f>E132*F130</f>
        <v>63.676853999999992</v>
      </c>
      <c r="G132" s="40"/>
      <c r="H132" s="40"/>
      <c r="I132" s="40"/>
      <c r="J132" s="40"/>
      <c r="K132" s="40"/>
      <c r="L132" s="40"/>
      <c r="M132" s="41"/>
    </row>
    <row r="133" spans="1:13" x14ac:dyDescent="0.25">
      <c r="A133" s="1087"/>
      <c r="B133" s="679" t="s">
        <v>510</v>
      </c>
      <c r="C133" s="37" t="s">
        <v>92</v>
      </c>
      <c r="D133" s="38" t="s">
        <v>71</v>
      </c>
      <c r="E133" s="39">
        <v>2.7E-2</v>
      </c>
      <c r="F133" s="40">
        <f>E133*F130</f>
        <v>6.9889229999999998</v>
      </c>
      <c r="G133" s="40"/>
      <c r="H133" s="40"/>
      <c r="I133" s="40"/>
      <c r="J133" s="40"/>
      <c r="K133" s="40"/>
      <c r="L133" s="40"/>
      <c r="M133" s="41"/>
    </row>
    <row r="134" spans="1:13" ht="15.75" thickBot="1" x14ac:dyDescent="0.3">
      <c r="A134" s="1088"/>
      <c r="B134" s="355"/>
      <c r="C134" s="47" t="s">
        <v>85</v>
      </c>
      <c r="D134" s="342" t="s">
        <v>78</v>
      </c>
      <c r="E134" s="48">
        <v>1.9E-3</v>
      </c>
      <c r="F134" s="49">
        <f>E134*F130</f>
        <v>0.4918131</v>
      </c>
      <c r="G134" s="49"/>
      <c r="H134" s="49"/>
      <c r="I134" s="49"/>
      <c r="J134" s="49"/>
      <c r="K134" s="49"/>
      <c r="L134" s="49"/>
      <c r="M134" s="50"/>
    </row>
    <row r="135" spans="1:13" x14ac:dyDescent="0.25">
      <c r="A135" s="684"/>
      <c r="B135" s="90"/>
      <c r="C135" s="576" t="s">
        <v>113</v>
      </c>
      <c r="D135" s="91"/>
      <c r="E135" s="96"/>
      <c r="F135" s="102"/>
      <c r="G135" s="102"/>
      <c r="H135" s="320"/>
      <c r="I135" s="320"/>
      <c r="J135" s="320"/>
      <c r="K135" s="320"/>
      <c r="L135" s="320"/>
      <c r="M135" s="522"/>
    </row>
    <row r="136" spans="1:13" ht="30" x14ac:dyDescent="0.25">
      <c r="A136" s="135"/>
      <c r="B136" s="679"/>
      <c r="C136" s="121" t="s">
        <v>218</v>
      </c>
      <c r="D136" s="362" t="s">
        <v>757</v>
      </c>
      <c r="E136" s="39"/>
      <c r="F136" s="40"/>
      <c r="G136" s="40"/>
      <c r="H136" s="40"/>
      <c r="I136" s="75"/>
      <c r="J136" s="75"/>
      <c r="K136" s="75"/>
      <c r="L136" s="75"/>
      <c r="M136" s="41"/>
    </row>
    <row r="137" spans="1:13" x14ac:dyDescent="0.25">
      <c r="A137" s="135"/>
      <c r="B137" s="679"/>
      <c r="C137" s="594" t="s">
        <v>24</v>
      </c>
      <c r="D137" s="362"/>
      <c r="E137" s="39"/>
      <c r="F137" s="40"/>
      <c r="G137" s="40"/>
      <c r="H137" s="75"/>
      <c r="I137" s="75"/>
      <c r="J137" s="75"/>
      <c r="K137" s="75"/>
      <c r="L137" s="75"/>
      <c r="M137" s="41"/>
    </row>
    <row r="138" spans="1:13" x14ac:dyDescent="0.25">
      <c r="A138" s="135"/>
      <c r="B138" s="45"/>
      <c r="C138" s="21" t="s">
        <v>117</v>
      </c>
      <c r="D138" s="362" t="s">
        <v>757</v>
      </c>
      <c r="E138" s="61"/>
      <c r="F138" s="75"/>
      <c r="G138" s="75"/>
      <c r="H138" s="75"/>
      <c r="I138" s="40"/>
      <c r="J138" s="40"/>
      <c r="K138" s="40"/>
      <c r="L138" s="24"/>
      <c r="M138" s="25"/>
    </row>
    <row r="139" spans="1:13" x14ac:dyDescent="0.25">
      <c r="A139" s="135"/>
      <c r="B139" s="45"/>
      <c r="C139" s="595" t="s">
        <v>24</v>
      </c>
      <c r="D139" s="362"/>
      <c r="E139" s="61"/>
      <c r="F139" s="75"/>
      <c r="G139" s="75"/>
      <c r="H139" s="75"/>
      <c r="I139" s="40"/>
      <c r="J139" s="40"/>
      <c r="K139" s="40"/>
      <c r="L139" s="40"/>
      <c r="M139" s="25"/>
    </row>
    <row r="140" spans="1:13" x14ac:dyDescent="0.25">
      <c r="A140" s="135"/>
      <c r="B140" s="45"/>
      <c r="C140" s="21" t="s">
        <v>118</v>
      </c>
      <c r="D140" s="362" t="s">
        <v>757</v>
      </c>
      <c r="E140" s="61"/>
      <c r="F140" s="75"/>
      <c r="G140" s="75"/>
      <c r="H140" s="75"/>
      <c r="I140" s="40"/>
      <c r="J140" s="40"/>
      <c r="K140" s="40"/>
      <c r="L140" s="24"/>
      <c r="M140" s="25"/>
    </row>
    <row r="141" spans="1:13" s="765" customFormat="1" ht="15.75" thickBot="1" x14ac:dyDescent="0.3">
      <c r="A141" s="382"/>
      <c r="B141" s="809"/>
      <c r="C141" s="579" t="s">
        <v>24</v>
      </c>
      <c r="D141" s="383"/>
      <c r="E141" s="137"/>
      <c r="F141" s="193"/>
      <c r="G141" s="193"/>
      <c r="H141" s="193"/>
      <c r="I141" s="193"/>
      <c r="J141" s="193"/>
      <c r="K141" s="193"/>
      <c r="L141" s="127"/>
      <c r="M141" s="128"/>
    </row>
    <row r="142" spans="1:13" x14ac:dyDescent="0.25">
      <c r="A142" s="728"/>
      <c r="B142" s="767"/>
      <c r="C142" s="728"/>
      <c r="D142" s="728"/>
      <c r="E142" s="728"/>
      <c r="F142" s="768"/>
      <c r="G142" s="769"/>
      <c r="H142" s="769"/>
      <c r="I142" s="769"/>
      <c r="J142" s="769"/>
      <c r="K142" s="769"/>
      <c r="L142" s="769"/>
      <c r="M142" s="769"/>
    </row>
    <row r="143" spans="1:13" x14ac:dyDescent="0.25">
      <c r="A143" s="728"/>
      <c r="B143" s="767"/>
      <c r="C143" s="728"/>
      <c r="D143" s="728"/>
      <c r="E143" s="728"/>
      <c r="F143" s="768"/>
      <c r="G143" s="769"/>
      <c r="H143" s="769"/>
      <c r="I143" s="769"/>
      <c r="J143" s="769"/>
      <c r="K143" s="769"/>
      <c r="L143" s="769"/>
      <c r="M143" s="769"/>
    </row>
    <row r="145" spans="3:3" x14ac:dyDescent="0.25">
      <c r="C145" s="771"/>
    </row>
  </sheetData>
  <sheetProtection password="CF7A" sheet="1" objects="1" scenarios="1"/>
  <protectedRanges>
    <protectedRange sqref="D135:F141" name="Range2"/>
    <protectedRange sqref="G8:M141" name="Range1"/>
  </protectedRanges>
  <autoFilter ref="A7:M140"/>
  <mergeCells count="33"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I5:J5"/>
    <mergeCell ref="A9:A12"/>
    <mergeCell ref="A118:A129"/>
    <mergeCell ref="A60:A65"/>
    <mergeCell ref="M5:M6"/>
    <mergeCell ref="B17:B18"/>
    <mergeCell ref="A107:A117"/>
    <mergeCell ref="K5:L5"/>
    <mergeCell ref="A66:A71"/>
    <mergeCell ref="A54:A59"/>
    <mergeCell ref="A130:A134"/>
    <mergeCell ref="A13:A16"/>
    <mergeCell ref="A17:A19"/>
    <mergeCell ref="A98:A106"/>
    <mergeCell ref="A86:A90"/>
    <mergeCell ref="A91:A97"/>
    <mergeCell ref="A24:A33"/>
    <mergeCell ref="A20:A23"/>
    <mergeCell ref="A34:A39"/>
    <mergeCell ref="A40:A46"/>
    <mergeCell ref="A47:A52"/>
    <mergeCell ref="A73:A78"/>
    <mergeCell ref="A79:A84"/>
  </mergeCells>
  <conditionalFormatting sqref="B24:F25 B31:B32 B85:F106">
    <cfRule type="cellIs" dxfId="327" priority="84" stopIfTrue="1" operator="equal">
      <formula>8223.307275</formula>
    </cfRule>
  </conditionalFormatting>
  <conditionalFormatting sqref="B29:D29 F29">
    <cfRule type="cellIs" dxfId="326" priority="81" stopIfTrue="1" operator="equal">
      <formula>8223.307275</formula>
    </cfRule>
  </conditionalFormatting>
  <conditionalFormatting sqref="B14:F18">
    <cfRule type="cellIs" dxfId="325" priority="73" stopIfTrue="1" operator="equal">
      <formula>8223.307275</formula>
    </cfRule>
  </conditionalFormatting>
  <conditionalFormatting sqref="B40:F42 B45:F47 B51:F52">
    <cfRule type="cellIs" dxfId="324" priority="66" stopIfTrue="1" operator="equal">
      <formula>8223.307275</formula>
    </cfRule>
  </conditionalFormatting>
  <conditionalFormatting sqref="B48:B49 F48:F50">
    <cfRule type="cellIs" dxfId="323" priority="64" stopIfTrue="1" operator="equal">
      <formula>8223.307275</formula>
    </cfRule>
  </conditionalFormatting>
  <conditionalFormatting sqref="C43:F43">
    <cfRule type="cellIs" dxfId="322" priority="65" stopIfTrue="1" operator="equal">
      <formula>8223.307275</formula>
    </cfRule>
  </conditionalFormatting>
  <conditionalFormatting sqref="B71 C60:F60 C66:F66 D64 B61:D62 F61:F62 B65:D65 F64:F65 F70:F71">
    <cfRule type="cellIs" dxfId="321" priority="60" stopIfTrue="1" operator="equal">
      <formula>8223.307275</formula>
    </cfRule>
  </conditionalFormatting>
  <conditionalFormatting sqref="D63 F63">
    <cfRule type="cellIs" dxfId="320" priority="59" stopIfTrue="1" operator="equal">
      <formula>8223.307275</formula>
    </cfRule>
  </conditionalFormatting>
  <conditionalFormatting sqref="B67:B68 F67:F69">
    <cfRule type="cellIs" dxfId="319" priority="58" stopIfTrue="1" operator="equal">
      <formula>8223.307275</formula>
    </cfRule>
  </conditionalFormatting>
  <conditionalFormatting sqref="B80:B81 F80:F82">
    <cfRule type="cellIs" dxfId="318" priority="52" stopIfTrue="1" operator="equal">
      <formula>8223.307275</formula>
    </cfRule>
  </conditionalFormatting>
  <conditionalFormatting sqref="B84 C79:F79 C73:F73 F83:F84 B74:B75 F74:F75 B78 F77:F78">
    <cfRule type="cellIs" dxfId="317" priority="54" stopIfTrue="1" operator="equal">
      <formula>8223.307275</formula>
    </cfRule>
  </conditionalFormatting>
  <conditionalFormatting sqref="F76">
    <cfRule type="cellIs" dxfId="316" priority="53" stopIfTrue="1" operator="equal">
      <formula>8223.307275</formula>
    </cfRule>
  </conditionalFormatting>
  <conditionalFormatting sqref="C109:F111">
    <cfRule type="cellIs" dxfId="315" priority="51" stopIfTrue="1" operator="equal">
      <formula>8223.307275</formula>
    </cfRule>
  </conditionalFormatting>
  <conditionalFormatting sqref="C112:F112 C113:D113 F113">
    <cfRule type="cellIs" dxfId="314" priority="50" stopIfTrue="1" operator="equal">
      <formula>8223.307275</formula>
    </cfRule>
  </conditionalFormatting>
  <conditionalFormatting sqref="C120:F123">
    <cfRule type="cellIs" dxfId="313" priority="49" stopIfTrue="1" operator="equal">
      <formula>8223.307275</formula>
    </cfRule>
  </conditionalFormatting>
  <conditionalFormatting sqref="C124:F124 C125:D125 F125">
    <cfRule type="cellIs" dxfId="312" priority="48" stopIfTrue="1" operator="equal">
      <formula>8223.307275</formula>
    </cfRule>
  </conditionalFormatting>
  <conditionalFormatting sqref="C64">
    <cfRule type="cellIs" dxfId="311" priority="47" stopIfTrue="1" operator="equal">
      <formula>8223.307275</formula>
    </cfRule>
  </conditionalFormatting>
  <conditionalFormatting sqref="B110">
    <cfRule type="cellIs" dxfId="310" priority="37" stopIfTrue="1" operator="equal">
      <formula>8223.307275</formula>
    </cfRule>
  </conditionalFormatting>
  <conditionalFormatting sqref="B70">
    <cfRule type="cellIs" dxfId="309" priority="45" stopIfTrue="1" operator="equal">
      <formula>8223.307275</formula>
    </cfRule>
  </conditionalFormatting>
  <conditionalFormatting sqref="B83">
    <cfRule type="cellIs" dxfId="308" priority="44" stopIfTrue="1" operator="equal">
      <formula>8223.307275</formula>
    </cfRule>
  </conditionalFormatting>
  <conditionalFormatting sqref="B64">
    <cfRule type="cellIs" dxfId="307" priority="43" stopIfTrue="1" operator="equal">
      <formula>8223.307275</formula>
    </cfRule>
  </conditionalFormatting>
  <conditionalFormatting sqref="B77">
    <cfRule type="cellIs" dxfId="306" priority="42" stopIfTrue="1" operator="equal">
      <formula>8223.307275</formula>
    </cfRule>
  </conditionalFormatting>
  <conditionalFormatting sqref="B109">
    <cfRule type="cellIs" dxfId="305" priority="41" stopIfTrue="1" operator="equal">
      <formula>8223.307275</formula>
    </cfRule>
  </conditionalFormatting>
  <conditionalFormatting sqref="B111">
    <cfRule type="cellIs" dxfId="304" priority="40" stopIfTrue="1" operator="equal">
      <formula>8223.307275</formula>
    </cfRule>
  </conditionalFormatting>
  <conditionalFormatting sqref="B123">
    <cfRule type="cellIs" dxfId="303" priority="39" stopIfTrue="1" operator="equal">
      <formula>8223.307275</formula>
    </cfRule>
  </conditionalFormatting>
  <conditionalFormatting sqref="B121">
    <cfRule type="cellIs" dxfId="302" priority="38" stopIfTrue="1" operator="equal">
      <formula>8223.307275</formula>
    </cfRule>
  </conditionalFormatting>
  <conditionalFormatting sqref="B122">
    <cfRule type="cellIs" dxfId="301" priority="36" stopIfTrue="1" operator="equal">
      <formula>8223.307275</formula>
    </cfRule>
  </conditionalFormatting>
  <conditionalFormatting sqref="C30">
    <cfRule type="cellIs" dxfId="300" priority="34" stopIfTrue="1" operator="equal">
      <formula>0</formula>
    </cfRule>
  </conditionalFormatting>
  <conditionalFormatting sqref="C76">
    <cfRule type="cellIs" dxfId="299" priority="8" stopIfTrue="1" operator="equal">
      <formula>8223.307275</formula>
    </cfRule>
  </conditionalFormatting>
  <conditionalFormatting sqref="D77 C74:D75 C78:D78">
    <cfRule type="cellIs" dxfId="298" priority="13" stopIfTrue="1" operator="equal">
      <formula>8223.307275</formula>
    </cfRule>
  </conditionalFormatting>
  <conditionalFormatting sqref="C80:E81">
    <cfRule type="cellIs" dxfId="297" priority="15" stopIfTrue="1" operator="equal">
      <formula>8223.307275</formula>
    </cfRule>
  </conditionalFormatting>
  <conditionalFormatting sqref="B66">
    <cfRule type="cellIs" dxfId="296" priority="20" stopIfTrue="1" operator="equal">
      <formula>8223.307275</formula>
    </cfRule>
  </conditionalFormatting>
  <conditionalFormatting sqref="B79">
    <cfRule type="cellIs" dxfId="295" priority="5" stopIfTrue="1" operator="equal">
      <formula>8223.307275</formula>
    </cfRule>
  </conditionalFormatting>
  <conditionalFormatting sqref="C48:E49">
    <cfRule type="cellIs" dxfId="294" priority="27" stopIfTrue="1" operator="equal">
      <formula>8223.307275</formula>
    </cfRule>
  </conditionalFormatting>
  <conditionalFormatting sqref="D50:E50">
    <cfRule type="cellIs" dxfId="293" priority="26" stopIfTrue="1" operator="equal">
      <formula>8223.307275</formula>
    </cfRule>
  </conditionalFormatting>
  <conditionalFormatting sqref="E61:E62">
    <cfRule type="cellIs" dxfId="292" priority="25" stopIfTrue="1" operator="equal">
      <formula>8223.307275</formula>
    </cfRule>
  </conditionalFormatting>
  <conditionalFormatting sqref="E63">
    <cfRule type="cellIs" dxfId="291" priority="24" stopIfTrue="1" operator="equal">
      <formula>8223.307275</formula>
    </cfRule>
  </conditionalFormatting>
  <conditionalFormatting sqref="B60">
    <cfRule type="cellIs" dxfId="290" priority="23" stopIfTrue="1" operator="equal">
      <formula>8223.307275</formula>
    </cfRule>
  </conditionalFormatting>
  <conditionalFormatting sqref="E64:E65">
    <cfRule type="cellIs" dxfId="289" priority="21" stopIfTrue="1" operator="equal">
      <formula>8223.307275</formula>
    </cfRule>
  </conditionalFormatting>
  <conditionalFormatting sqref="C70:E71">
    <cfRule type="cellIs" dxfId="288" priority="19" stopIfTrue="1" operator="equal">
      <formula>8223.307275</formula>
    </cfRule>
  </conditionalFormatting>
  <conditionalFormatting sqref="C67:E68">
    <cfRule type="cellIs" dxfId="287" priority="18" stopIfTrue="1" operator="equal">
      <formula>8223.307275</formula>
    </cfRule>
  </conditionalFormatting>
  <conditionalFormatting sqref="D69:E69">
    <cfRule type="cellIs" dxfId="286" priority="17" stopIfTrue="1" operator="equal">
      <formula>8223.307275</formula>
    </cfRule>
  </conditionalFormatting>
  <conditionalFormatting sqref="C83:E84">
    <cfRule type="cellIs" dxfId="285" priority="16" stopIfTrue="1" operator="equal">
      <formula>8223.307275</formula>
    </cfRule>
  </conditionalFormatting>
  <conditionalFormatting sqref="D82:E82">
    <cfRule type="cellIs" dxfId="284" priority="14" stopIfTrue="1" operator="equal">
      <formula>8223.307275</formula>
    </cfRule>
  </conditionalFormatting>
  <conditionalFormatting sqref="D76">
    <cfRule type="cellIs" dxfId="283" priority="12" stopIfTrue="1" operator="equal">
      <formula>8223.307275</formula>
    </cfRule>
  </conditionalFormatting>
  <conditionalFormatting sqref="C77">
    <cfRule type="cellIs" dxfId="282" priority="11" stopIfTrue="1" operator="equal">
      <formula>8223.307275</formula>
    </cfRule>
  </conditionalFormatting>
  <conditionalFormatting sqref="E74:E75">
    <cfRule type="cellIs" dxfId="281" priority="10" stopIfTrue="1" operator="equal">
      <formula>8223.307275</formula>
    </cfRule>
  </conditionalFormatting>
  <conditionalFormatting sqref="E76">
    <cfRule type="cellIs" dxfId="280" priority="9" stopIfTrue="1" operator="equal">
      <formula>8223.307275</formula>
    </cfRule>
  </conditionalFormatting>
  <conditionalFormatting sqref="E77:E78">
    <cfRule type="cellIs" dxfId="279" priority="7" stopIfTrue="1" operator="equal">
      <formula>8223.307275</formula>
    </cfRule>
  </conditionalFormatting>
  <conditionalFormatting sqref="B73">
    <cfRule type="cellIs" dxfId="278" priority="6" stopIfTrue="1" operator="equal">
      <formula>8223.307275</formula>
    </cfRule>
  </conditionalFormatting>
  <conditionalFormatting sqref="C82">
    <cfRule type="cellIs" dxfId="277" priority="4" stopIfTrue="1" operator="equal">
      <formula>8223.307275</formula>
    </cfRule>
  </conditionalFormatting>
  <conditionalFormatting sqref="C50">
    <cfRule type="cellIs" dxfId="276" priority="3" stopIfTrue="1" operator="equal">
      <formula>8223.307275</formula>
    </cfRule>
  </conditionalFormatting>
  <conditionalFormatting sqref="C63">
    <cfRule type="cellIs" dxfId="275" priority="2" stopIfTrue="1" operator="equal">
      <formula>8223.307275</formula>
    </cfRule>
  </conditionalFormatting>
  <conditionalFormatting sqref="C69">
    <cfRule type="cellIs" dxfId="274" priority="1" stopIfTrue="1" operator="equal">
      <formula>8223.307275</formula>
    </cfRule>
  </conditionalFormatting>
  <pageMargins left="0.86" right="0" top="0.36" bottom="0.19685039370078741" header="0.15748031496062992" footer="0.15748031496062992"/>
  <pageSetup paperSize="9" scale="90" orientation="landscape" horizontalDpi="4294967295" verticalDpi="4294967295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4"/>
  <sheetViews>
    <sheetView view="pageBreakPreview" topLeftCell="A25" zoomScaleNormal="120" zoomScaleSheetLayoutView="100" workbookViewId="0">
      <selection activeCell="D45" sqref="D45:M51"/>
    </sheetView>
  </sheetViews>
  <sheetFormatPr defaultRowHeight="15" x14ac:dyDescent="0.25"/>
  <cols>
    <col min="1" max="1" width="4.42578125" style="708" customWidth="1"/>
    <col min="2" max="2" width="9.140625" style="770" customWidth="1"/>
    <col min="3" max="3" width="45.28515625" style="710" customWidth="1"/>
    <col min="4" max="4" width="7.85546875" style="710" bestFit="1" customWidth="1"/>
    <col min="5" max="5" width="9.140625" style="710" bestFit="1" customWidth="1"/>
    <col min="6" max="6" width="8.42578125" style="710" bestFit="1" customWidth="1"/>
    <col min="7" max="7" width="6.5703125" style="709" bestFit="1" customWidth="1"/>
    <col min="8" max="8" width="11.140625" style="709" customWidth="1"/>
    <col min="9" max="9" width="8.42578125" style="709" customWidth="1"/>
    <col min="10" max="12" width="7.5703125" style="709" bestFit="1" customWidth="1"/>
    <col min="13" max="13" width="12.5703125" style="709" bestFit="1" customWidth="1"/>
    <col min="14" max="16384" width="9.140625" style="710"/>
  </cols>
  <sheetData>
    <row r="1" spans="1:13" x14ac:dyDescent="0.25">
      <c r="B1" s="1089" t="s">
        <v>643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3" x14ac:dyDescent="0.25">
      <c r="B2" s="1090" t="s">
        <v>636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x14ac:dyDescent="0.25">
      <c r="A3" s="12"/>
      <c r="B3" s="1091" t="s">
        <v>465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6.5" thickBot="1" x14ac:dyDescent="0.35">
      <c r="A4" s="1092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.7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3">
      <c r="A6" s="1095"/>
      <c r="B6" s="1097"/>
      <c r="C6" s="1099"/>
      <c r="D6" s="1099"/>
      <c r="E6" s="77" t="s">
        <v>399</v>
      </c>
      <c r="F6" s="77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711" customFormat="1" ht="15.75" thickBot="1" x14ac:dyDescent="0.3">
      <c r="A7" s="541"/>
      <c r="B7" s="184" t="s">
        <v>60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6">
        <v>13</v>
      </c>
    </row>
    <row r="8" spans="1:13" s="810" customFormat="1" ht="15.75" thickBot="1" x14ac:dyDescent="0.3">
      <c r="A8" s="1023"/>
      <c r="B8" s="309"/>
      <c r="C8" s="310" t="s">
        <v>464</v>
      </c>
      <c r="D8" s="310"/>
      <c r="E8" s="310"/>
      <c r="F8" s="310"/>
      <c r="G8" s="310"/>
      <c r="H8" s="310"/>
      <c r="I8" s="310"/>
      <c r="J8" s="310"/>
      <c r="K8" s="310"/>
      <c r="L8" s="310"/>
      <c r="M8" s="311"/>
    </row>
    <row r="9" spans="1:13" ht="45" x14ac:dyDescent="0.25">
      <c r="A9" s="1116">
        <v>1</v>
      </c>
      <c r="B9" s="643" t="s">
        <v>168</v>
      </c>
      <c r="C9" s="16" t="s">
        <v>394</v>
      </c>
      <c r="D9" s="16" t="s">
        <v>158</v>
      </c>
      <c r="E9" s="93"/>
      <c r="F9" s="60">
        <f>104.25*0.1</f>
        <v>10.425000000000001</v>
      </c>
      <c r="G9" s="223"/>
      <c r="H9" s="223"/>
      <c r="I9" s="223"/>
      <c r="J9" s="223"/>
      <c r="K9" s="223"/>
      <c r="L9" s="223"/>
      <c r="M9" s="722"/>
    </row>
    <row r="10" spans="1:13" x14ac:dyDescent="0.25">
      <c r="A10" s="1117"/>
      <c r="B10" s="723"/>
      <c r="C10" s="121" t="s">
        <v>159</v>
      </c>
      <c r="D10" s="22" t="s">
        <v>64</v>
      </c>
      <c r="E10" s="158">
        <v>0.15</v>
      </c>
      <c r="F10" s="167">
        <f>E10*F9</f>
        <v>1.56375</v>
      </c>
      <c r="G10" s="409"/>
      <c r="H10" s="409"/>
      <c r="I10" s="409"/>
      <c r="J10" s="409"/>
      <c r="K10" s="409"/>
      <c r="L10" s="409"/>
      <c r="M10" s="25"/>
    </row>
    <row r="11" spans="1:13" ht="22.5" x14ac:dyDescent="0.25">
      <c r="A11" s="1117"/>
      <c r="B11" s="45" t="s">
        <v>476</v>
      </c>
      <c r="C11" s="153" t="s">
        <v>155</v>
      </c>
      <c r="D11" s="117" t="s">
        <v>97</v>
      </c>
      <c r="E11" s="154">
        <v>2.1600000000000001E-2</v>
      </c>
      <c r="F11" s="155">
        <f>E11*F9</f>
        <v>0.22518000000000002</v>
      </c>
      <c r="G11" s="40"/>
      <c r="H11" s="40"/>
      <c r="I11" s="40"/>
      <c r="J11" s="40"/>
      <c r="K11" s="40"/>
      <c r="L11" s="40"/>
      <c r="M11" s="25"/>
    </row>
    <row r="12" spans="1:13" ht="22.5" x14ac:dyDescent="0.25">
      <c r="A12" s="1117"/>
      <c r="B12" s="688" t="s">
        <v>483</v>
      </c>
      <c r="C12" s="121" t="s">
        <v>160</v>
      </c>
      <c r="D12" s="22" t="s">
        <v>104</v>
      </c>
      <c r="E12" s="158">
        <v>2.7300000000000001E-2</v>
      </c>
      <c r="F12" s="167">
        <f>E12*F9</f>
        <v>0.28460250000000004</v>
      </c>
      <c r="G12" s="409"/>
      <c r="H12" s="409"/>
      <c r="I12" s="409"/>
      <c r="J12" s="409"/>
      <c r="K12" s="409"/>
      <c r="L12" s="40"/>
      <c r="M12" s="25"/>
    </row>
    <row r="13" spans="1:13" ht="22.5" x14ac:dyDescent="0.25">
      <c r="A13" s="1117"/>
      <c r="B13" s="45" t="s">
        <v>488</v>
      </c>
      <c r="C13" s="31" t="s">
        <v>161</v>
      </c>
      <c r="D13" s="22" t="s">
        <v>104</v>
      </c>
      <c r="E13" s="158">
        <v>9.7000000000000003E-3</v>
      </c>
      <c r="F13" s="167">
        <f>E13*F9</f>
        <v>0.1011225</v>
      </c>
      <c r="G13" s="409"/>
      <c r="H13" s="409"/>
      <c r="I13" s="409"/>
      <c r="J13" s="409"/>
      <c r="K13" s="409"/>
      <c r="L13" s="40"/>
      <c r="M13" s="25"/>
    </row>
    <row r="14" spans="1:13" x14ac:dyDescent="0.25">
      <c r="A14" s="1117"/>
      <c r="B14" s="679" t="s">
        <v>489</v>
      </c>
      <c r="C14" s="79" t="s">
        <v>94</v>
      </c>
      <c r="D14" s="80" t="s">
        <v>62</v>
      </c>
      <c r="E14" s="81">
        <v>1.22</v>
      </c>
      <c r="F14" s="604">
        <f>E14*F9</f>
        <v>12.718500000000001</v>
      </c>
      <c r="G14" s="83"/>
      <c r="H14" s="83"/>
      <c r="I14" s="83"/>
      <c r="J14" s="83"/>
      <c r="K14" s="83"/>
      <c r="L14" s="83"/>
      <c r="M14" s="84"/>
    </row>
    <row r="15" spans="1:13" ht="15.75" thickBot="1" x14ac:dyDescent="0.3">
      <c r="A15" s="1118"/>
      <c r="B15" s="507" t="s">
        <v>480</v>
      </c>
      <c r="C15" s="724" t="s">
        <v>664</v>
      </c>
      <c r="D15" s="17" t="s">
        <v>65</v>
      </c>
      <c r="E15" s="808">
        <v>1.55</v>
      </c>
      <c r="F15" s="608">
        <f>F14*E15</f>
        <v>19.713675000000002</v>
      </c>
      <c r="G15" s="581"/>
      <c r="H15" s="581"/>
      <c r="I15" s="581"/>
      <c r="J15" s="581"/>
      <c r="K15" s="581"/>
      <c r="L15" s="581"/>
      <c r="M15" s="725"/>
    </row>
    <row r="16" spans="1:13" x14ac:dyDescent="0.25">
      <c r="A16" s="1119">
        <v>2</v>
      </c>
      <c r="B16" s="591" t="s">
        <v>170</v>
      </c>
      <c r="C16" s="171" t="s">
        <v>398</v>
      </c>
      <c r="D16" s="171" t="s">
        <v>88</v>
      </c>
      <c r="E16" s="172"/>
      <c r="F16" s="302">
        <v>28.1</v>
      </c>
      <c r="G16" s="726"/>
      <c r="H16" s="726"/>
      <c r="I16" s="726"/>
      <c r="J16" s="726"/>
      <c r="K16" s="726"/>
      <c r="L16" s="726"/>
      <c r="M16" s="727"/>
    </row>
    <row r="17" spans="1:13" x14ac:dyDescent="0.25">
      <c r="A17" s="1119"/>
      <c r="B17" s="177"/>
      <c r="C17" s="159" t="s">
        <v>63</v>
      </c>
      <c r="D17" s="158" t="s">
        <v>165</v>
      </c>
      <c r="E17" s="158">
        <v>1.1100000000000001</v>
      </c>
      <c r="F17" s="158">
        <f>F16*E17</f>
        <v>31.191000000000006</v>
      </c>
      <c r="G17" s="409"/>
      <c r="H17" s="409"/>
      <c r="I17" s="409"/>
      <c r="J17" s="409"/>
      <c r="K17" s="409"/>
      <c r="L17" s="409"/>
      <c r="M17" s="25"/>
    </row>
    <row r="18" spans="1:13" x14ac:dyDescent="0.25">
      <c r="A18" s="1119"/>
      <c r="B18" s="177"/>
      <c r="C18" s="159" t="s">
        <v>166</v>
      </c>
      <c r="D18" s="158" t="s">
        <v>78</v>
      </c>
      <c r="E18" s="158">
        <v>7.1000000000000004E-3</v>
      </c>
      <c r="F18" s="158">
        <f>E18*F16</f>
        <v>0.19951000000000002</v>
      </c>
      <c r="G18" s="409"/>
      <c r="H18" s="409"/>
      <c r="I18" s="409"/>
      <c r="J18" s="409"/>
      <c r="K18" s="67"/>
      <c r="L18" s="409"/>
      <c r="M18" s="25"/>
    </row>
    <row r="19" spans="1:13" x14ac:dyDescent="0.25">
      <c r="A19" s="1119"/>
      <c r="B19" s="45" t="s">
        <v>477</v>
      </c>
      <c r="C19" s="160" t="s">
        <v>173</v>
      </c>
      <c r="D19" s="158" t="s">
        <v>88</v>
      </c>
      <c r="E19" s="168">
        <v>1</v>
      </c>
      <c r="F19" s="168">
        <f>F16*E19</f>
        <v>28.1</v>
      </c>
      <c r="G19" s="409"/>
      <c r="H19" s="40"/>
      <c r="I19" s="409"/>
      <c r="J19" s="409"/>
      <c r="K19" s="409"/>
      <c r="L19" s="409"/>
      <c r="M19" s="25"/>
    </row>
    <row r="20" spans="1:13" x14ac:dyDescent="0.25">
      <c r="A20" s="1119"/>
      <c r="B20" s="364" t="s">
        <v>478</v>
      </c>
      <c r="C20" s="165" t="s">
        <v>171</v>
      </c>
      <c r="D20" s="166" t="s">
        <v>62</v>
      </c>
      <c r="E20" s="166">
        <v>3.9E-2</v>
      </c>
      <c r="F20" s="167">
        <f>E20*F16</f>
        <v>1.0959000000000001</v>
      </c>
      <c r="G20" s="24"/>
      <c r="H20" s="40"/>
      <c r="I20" s="40"/>
      <c r="J20" s="40"/>
      <c r="K20" s="40"/>
      <c r="L20" s="40"/>
      <c r="M20" s="41"/>
    </row>
    <row r="21" spans="1:13" x14ac:dyDescent="0.25">
      <c r="A21" s="1119"/>
      <c r="B21" s="679" t="s">
        <v>495</v>
      </c>
      <c r="C21" s="165" t="s">
        <v>172</v>
      </c>
      <c r="D21" s="166" t="s">
        <v>62</v>
      </c>
      <c r="E21" s="166">
        <v>5.9999999999999995E-4</v>
      </c>
      <c r="F21" s="167">
        <f>E21*F16</f>
        <v>1.686E-2</v>
      </c>
      <c r="G21" s="24"/>
      <c r="H21" s="40"/>
      <c r="I21" s="40"/>
      <c r="J21" s="40"/>
      <c r="K21" s="40"/>
      <c r="L21" s="40"/>
      <c r="M21" s="41"/>
    </row>
    <row r="22" spans="1:13" ht="15.75" thickBot="1" x14ac:dyDescent="0.3">
      <c r="A22" s="1120"/>
      <c r="B22" s="115"/>
      <c r="C22" s="163" t="s">
        <v>119</v>
      </c>
      <c r="D22" s="162" t="s">
        <v>78</v>
      </c>
      <c r="E22" s="162">
        <v>9.6000000000000002E-2</v>
      </c>
      <c r="F22" s="162">
        <f>E22*F16</f>
        <v>2.6976</v>
      </c>
      <c r="G22" s="581"/>
      <c r="H22" s="581"/>
      <c r="I22" s="581"/>
      <c r="J22" s="581"/>
      <c r="K22" s="581"/>
      <c r="L22" s="581"/>
      <c r="M22" s="85"/>
    </row>
    <row r="23" spans="1:13" s="765" customFormat="1" ht="30" x14ac:dyDescent="0.25">
      <c r="A23" s="1124">
        <v>3</v>
      </c>
      <c r="B23" s="181" t="s">
        <v>182</v>
      </c>
      <c r="C23" s="15" t="s">
        <v>726</v>
      </c>
      <c r="D23" s="16" t="s">
        <v>76</v>
      </c>
      <c r="E23" s="152"/>
      <c r="F23" s="152">
        <v>104.25</v>
      </c>
      <c r="G23" s="223"/>
      <c r="H23" s="223"/>
      <c r="I23" s="223"/>
      <c r="J23" s="223"/>
      <c r="K23" s="223"/>
      <c r="L23" s="223"/>
      <c r="M23" s="722"/>
    </row>
    <row r="24" spans="1:13" x14ac:dyDescent="0.25">
      <c r="A24" s="1119"/>
      <c r="B24" s="123"/>
      <c r="C24" s="363" t="s">
        <v>680</v>
      </c>
      <c r="D24" s="116" t="s">
        <v>64</v>
      </c>
      <c r="E24" s="737">
        <f>(405-10*4.64)/1000</f>
        <v>0.35860000000000003</v>
      </c>
      <c r="F24" s="155">
        <f>F23*E24</f>
        <v>37.384050000000002</v>
      </c>
      <c r="G24" s="409"/>
      <c r="H24" s="409"/>
      <c r="I24" s="409"/>
      <c r="J24" s="409"/>
      <c r="K24" s="409"/>
      <c r="L24" s="409"/>
      <c r="M24" s="25"/>
    </row>
    <row r="25" spans="1:13" ht="22.5" x14ac:dyDescent="0.25">
      <c r="A25" s="1119"/>
      <c r="B25" s="45" t="s">
        <v>488</v>
      </c>
      <c r="C25" s="121" t="s">
        <v>183</v>
      </c>
      <c r="D25" s="22" t="s">
        <v>104</v>
      </c>
      <c r="E25" s="155">
        <f>22.6/1000</f>
        <v>2.2600000000000002E-2</v>
      </c>
      <c r="F25" s="155">
        <f>F23*E25</f>
        <v>2.3560500000000002</v>
      </c>
      <c r="G25" s="409"/>
      <c r="H25" s="409"/>
      <c r="I25" s="409"/>
      <c r="J25" s="409"/>
      <c r="K25" s="409"/>
      <c r="L25" s="409"/>
      <c r="M25" s="25"/>
    </row>
    <row r="26" spans="1:13" x14ac:dyDescent="0.25">
      <c r="A26" s="1119"/>
      <c r="B26" s="123"/>
      <c r="C26" s="121" t="s">
        <v>166</v>
      </c>
      <c r="D26" s="116" t="s">
        <v>78</v>
      </c>
      <c r="E26" s="155">
        <f>(13.5-0.1*10)/1000</f>
        <v>1.2500000000000001E-2</v>
      </c>
      <c r="F26" s="155">
        <f>E26*F23</f>
        <v>1.3031250000000001</v>
      </c>
      <c r="G26" s="409"/>
      <c r="H26" s="409"/>
      <c r="I26" s="409"/>
      <c r="J26" s="409"/>
      <c r="K26" s="67"/>
      <c r="L26" s="409"/>
      <c r="M26" s="25"/>
    </row>
    <row r="27" spans="1:13" ht="15.75" x14ac:dyDescent="0.25">
      <c r="A27" s="1119"/>
      <c r="B27" s="679" t="s">
        <v>478</v>
      </c>
      <c r="C27" s="21" t="s">
        <v>185</v>
      </c>
      <c r="D27" s="22" t="s">
        <v>739</v>
      </c>
      <c r="E27" s="738">
        <f>(204-10*10.2)/1000</f>
        <v>0.10199999999999999</v>
      </c>
      <c r="F27" s="155">
        <f>F23*E27</f>
        <v>10.6335</v>
      </c>
      <c r="G27" s="24"/>
      <c r="H27" s="40"/>
      <c r="I27" s="409"/>
      <c r="J27" s="409"/>
      <c r="K27" s="409"/>
      <c r="L27" s="409"/>
      <c r="M27" s="25"/>
    </row>
    <row r="28" spans="1:13" x14ac:dyDescent="0.25">
      <c r="A28" s="1119"/>
      <c r="B28" s="688" t="s">
        <v>681</v>
      </c>
      <c r="C28" s="21" t="s">
        <v>186</v>
      </c>
      <c r="D28" s="22" t="s">
        <v>88</v>
      </c>
      <c r="E28" s="295" t="s">
        <v>72</v>
      </c>
      <c r="F28" s="117">
        <f>F23*10.03</f>
        <v>1045.6274999999998</v>
      </c>
      <c r="G28" s="409"/>
      <c r="H28" s="40"/>
      <c r="I28" s="409"/>
      <c r="J28" s="409"/>
      <c r="K28" s="409"/>
      <c r="L28" s="409"/>
      <c r="M28" s="25"/>
    </row>
    <row r="29" spans="1:13" x14ac:dyDescent="0.25">
      <c r="A29" s="1119"/>
      <c r="B29" s="45" t="s">
        <v>487</v>
      </c>
      <c r="C29" s="21" t="s">
        <v>187</v>
      </c>
      <c r="D29" s="22" t="s">
        <v>71</v>
      </c>
      <c r="E29" s="295" t="s">
        <v>72</v>
      </c>
      <c r="F29" s="155">
        <f>F23*0.05</f>
        <v>5.2125000000000004</v>
      </c>
      <c r="G29" s="409"/>
      <c r="H29" s="40"/>
      <c r="I29" s="409"/>
      <c r="J29" s="409"/>
      <c r="K29" s="409"/>
      <c r="L29" s="409"/>
      <c r="M29" s="25"/>
    </row>
    <row r="30" spans="1:13" x14ac:dyDescent="0.25">
      <c r="A30" s="1119"/>
      <c r="B30" s="679" t="s">
        <v>492</v>
      </c>
      <c r="C30" s="21" t="s">
        <v>184</v>
      </c>
      <c r="D30" s="22" t="s">
        <v>76</v>
      </c>
      <c r="E30" s="175">
        <f>(11.7-0.59*10)/100</f>
        <v>5.7999999999999996E-2</v>
      </c>
      <c r="F30" s="155">
        <f>F23*E30</f>
        <v>6.0465</v>
      </c>
      <c r="G30" s="409"/>
      <c r="H30" s="40"/>
      <c r="I30" s="409"/>
      <c r="J30" s="409"/>
      <c r="K30" s="409"/>
      <c r="L30" s="409"/>
      <c r="M30" s="25"/>
    </row>
    <row r="31" spans="1:13" ht="15.75" thickBot="1" x14ac:dyDescent="0.3">
      <c r="A31" s="1119"/>
      <c r="B31" s="179"/>
      <c r="C31" s="58" t="s">
        <v>85</v>
      </c>
      <c r="D31" s="176" t="s">
        <v>78</v>
      </c>
      <c r="E31" s="739">
        <f>(6.4-0.19*10)/100</f>
        <v>4.4999999999999998E-2</v>
      </c>
      <c r="F31" s="192">
        <f>F23*E31</f>
        <v>4.6912500000000001</v>
      </c>
      <c r="G31" s="572"/>
      <c r="H31" s="68"/>
      <c r="I31" s="572"/>
      <c r="J31" s="572"/>
      <c r="K31" s="572"/>
      <c r="L31" s="572"/>
      <c r="M31" s="95"/>
    </row>
    <row r="32" spans="1:13" ht="45" x14ac:dyDescent="0.25">
      <c r="A32" s="1136">
        <v>4</v>
      </c>
      <c r="B32" s="607" t="s">
        <v>192</v>
      </c>
      <c r="C32" s="93" t="s">
        <v>196</v>
      </c>
      <c r="D32" s="93" t="s">
        <v>62</v>
      </c>
      <c r="E32" s="161"/>
      <c r="F32" s="60">
        <f>F38*0.05</f>
        <v>5.2125000000000004</v>
      </c>
      <c r="G32" s="731"/>
      <c r="H32" s="731"/>
      <c r="I32" s="731"/>
      <c r="J32" s="731"/>
      <c r="K32" s="731"/>
      <c r="L32" s="731"/>
      <c r="M32" s="732"/>
    </row>
    <row r="33" spans="1:13" x14ac:dyDescent="0.25">
      <c r="A33" s="1137"/>
      <c r="B33" s="45"/>
      <c r="C33" s="159" t="s">
        <v>63</v>
      </c>
      <c r="D33" s="158" t="s">
        <v>165</v>
      </c>
      <c r="E33" s="158">
        <v>2.12</v>
      </c>
      <c r="F33" s="167">
        <f>F32*E33</f>
        <v>11.050500000000001</v>
      </c>
      <c r="G33" s="409"/>
      <c r="H33" s="409"/>
      <c r="I33" s="40"/>
      <c r="J33" s="40"/>
      <c r="K33" s="409"/>
      <c r="L33" s="409"/>
      <c r="M33" s="41"/>
    </row>
    <row r="34" spans="1:13" x14ac:dyDescent="0.25">
      <c r="A34" s="1137"/>
      <c r="B34" s="45"/>
      <c r="C34" s="160" t="s">
        <v>166</v>
      </c>
      <c r="D34" s="158" t="s">
        <v>78</v>
      </c>
      <c r="E34" s="158">
        <v>0.10100000000000001</v>
      </c>
      <c r="F34" s="167">
        <f>E34*F32</f>
        <v>0.52646250000000006</v>
      </c>
      <c r="G34" s="409"/>
      <c r="H34" s="409"/>
      <c r="I34" s="409"/>
      <c r="J34" s="409"/>
      <c r="K34" s="24"/>
      <c r="L34" s="409"/>
      <c r="M34" s="41"/>
    </row>
    <row r="35" spans="1:13" x14ac:dyDescent="0.25">
      <c r="A35" s="1137"/>
      <c r="B35" s="45" t="s">
        <v>491</v>
      </c>
      <c r="C35" s="159" t="s">
        <v>191</v>
      </c>
      <c r="D35" s="158" t="s">
        <v>62</v>
      </c>
      <c r="E35" s="158">
        <v>1.1000000000000001</v>
      </c>
      <c r="F35" s="167">
        <f>E35*F32</f>
        <v>5.7337500000000006</v>
      </c>
      <c r="G35" s="409"/>
      <c r="H35" s="409"/>
      <c r="I35" s="409"/>
      <c r="J35" s="409"/>
      <c r="K35" s="409"/>
      <c r="L35" s="409"/>
      <c r="M35" s="41"/>
    </row>
    <row r="36" spans="1:13" x14ac:dyDescent="0.25">
      <c r="A36" s="1137"/>
      <c r="B36" s="45" t="s">
        <v>480</v>
      </c>
      <c r="C36" s="605" t="s">
        <v>631</v>
      </c>
      <c r="D36" s="158" t="s">
        <v>65</v>
      </c>
      <c r="E36" s="158">
        <v>1.5</v>
      </c>
      <c r="F36" s="167">
        <f>E36*F35</f>
        <v>8.6006250000000009</v>
      </c>
      <c r="G36" s="409"/>
      <c r="H36" s="409"/>
      <c r="I36" s="409"/>
      <c r="J36" s="409"/>
      <c r="K36" s="409"/>
      <c r="L36" s="40"/>
      <c r="M36" s="25"/>
    </row>
    <row r="37" spans="1:13" ht="16.5" thickBot="1" x14ac:dyDescent="0.35">
      <c r="A37" s="1155"/>
      <c r="B37" s="740" t="s">
        <v>493</v>
      </c>
      <c r="C37" s="741" t="s">
        <v>194</v>
      </c>
      <c r="D37" s="571" t="s">
        <v>65</v>
      </c>
      <c r="E37" s="742">
        <f>E35*1.5*0.1</f>
        <v>0.16500000000000004</v>
      </c>
      <c r="F37" s="192">
        <f>E37*F32</f>
        <v>0.86006250000000029</v>
      </c>
      <c r="G37" s="572"/>
      <c r="H37" s="572"/>
      <c r="I37" s="572"/>
      <c r="J37" s="572"/>
      <c r="K37" s="572"/>
      <c r="L37" s="572"/>
      <c r="M37" s="678"/>
    </row>
    <row r="38" spans="1:13" ht="45" x14ac:dyDescent="0.25">
      <c r="A38" s="1136">
        <v>5</v>
      </c>
      <c r="B38" s="636" t="s">
        <v>195</v>
      </c>
      <c r="C38" s="359" t="s">
        <v>720</v>
      </c>
      <c r="D38" s="93" t="s">
        <v>76</v>
      </c>
      <c r="E38" s="161"/>
      <c r="F38" s="60">
        <f>F23</f>
        <v>104.25</v>
      </c>
      <c r="G38" s="731"/>
      <c r="H38" s="731"/>
      <c r="I38" s="731"/>
      <c r="J38" s="731"/>
      <c r="K38" s="731"/>
      <c r="L38" s="731"/>
      <c r="M38" s="732"/>
    </row>
    <row r="39" spans="1:13" x14ac:dyDescent="0.25">
      <c r="A39" s="1137"/>
      <c r="B39" s="169"/>
      <c r="C39" s="159" t="s">
        <v>63</v>
      </c>
      <c r="D39" s="158" t="s">
        <v>165</v>
      </c>
      <c r="E39" s="158">
        <v>0.40200000000000002</v>
      </c>
      <c r="F39" s="167">
        <f>F38*E39</f>
        <v>41.908500000000004</v>
      </c>
      <c r="G39" s="409"/>
      <c r="H39" s="409"/>
      <c r="I39" s="40"/>
      <c r="J39" s="40"/>
      <c r="K39" s="409"/>
      <c r="L39" s="409"/>
      <c r="M39" s="41"/>
    </row>
    <row r="40" spans="1:13" x14ac:dyDescent="0.25">
      <c r="A40" s="1137"/>
      <c r="B40" s="169"/>
      <c r="C40" s="159" t="s">
        <v>166</v>
      </c>
      <c r="D40" s="158" t="s">
        <v>78</v>
      </c>
      <c r="E40" s="158">
        <v>0.129</v>
      </c>
      <c r="F40" s="167">
        <f>F38*E40</f>
        <v>13.44825</v>
      </c>
      <c r="G40" s="409"/>
      <c r="H40" s="409"/>
      <c r="I40" s="409"/>
      <c r="J40" s="409"/>
      <c r="K40" s="24"/>
      <c r="L40" s="409"/>
      <c r="M40" s="41"/>
    </row>
    <row r="41" spans="1:13" x14ac:dyDescent="0.25">
      <c r="A41" s="1137"/>
      <c r="B41" s="169" t="s">
        <v>479</v>
      </c>
      <c r="C41" s="745" t="s">
        <v>682</v>
      </c>
      <c r="D41" s="158" t="s">
        <v>76</v>
      </c>
      <c r="E41" s="167">
        <v>1</v>
      </c>
      <c r="F41" s="167">
        <f>E41*F38</f>
        <v>104.25</v>
      </c>
      <c r="G41" s="409"/>
      <c r="H41" s="409"/>
      <c r="I41" s="409"/>
      <c r="J41" s="409"/>
      <c r="K41" s="409"/>
      <c r="L41" s="409"/>
      <c r="M41" s="41"/>
    </row>
    <row r="42" spans="1:13" x14ac:dyDescent="0.25">
      <c r="A42" s="1137"/>
      <c r="B42" s="45" t="s">
        <v>491</v>
      </c>
      <c r="C42" s="159" t="s">
        <v>191</v>
      </c>
      <c r="D42" s="158" t="s">
        <v>62</v>
      </c>
      <c r="E42" s="158">
        <v>5.0000000000000001E-4</v>
      </c>
      <c r="F42" s="167">
        <f>E42*F38</f>
        <v>5.2124999999999998E-2</v>
      </c>
      <c r="G42" s="409"/>
      <c r="H42" s="409"/>
      <c r="I42" s="409"/>
      <c r="J42" s="409"/>
      <c r="K42" s="409"/>
      <c r="L42" s="409"/>
      <c r="M42" s="41"/>
    </row>
    <row r="43" spans="1:13" ht="15.75" thickBot="1" x14ac:dyDescent="0.3">
      <c r="A43" s="1138"/>
      <c r="B43" s="283" t="s">
        <v>480</v>
      </c>
      <c r="C43" s="586" t="s">
        <v>631</v>
      </c>
      <c r="D43" s="162" t="s">
        <v>65</v>
      </c>
      <c r="E43" s="808">
        <v>1.5</v>
      </c>
      <c r="F43" s="608">
        <f>E43*F42</f>
        <v>7.8187499999999993E-2</v>
      </c>
      <c r="G43" s="581"/>
      <c r="H43" s="581"/>
      <c r="I43" s="581"/>
      <c r="J43" s="581"/>
      <c r="K43" s="581"/>
      <c r="L43" s="49"/>
      <c r="M43" s="28"/>
    </row>
    <row r="44" spans="1:13" ht="15.75" thickBot="1" x14ac:dyDescent="0.3">
      <c r="A44" s="545"/>
      <c r="B44" s="546"/>
      <c r="C44" s="609" t="s">
        <v>113</v>
      </c>
      <c r="D44" s="547"/>
      <c r="E44" s="548"/>
      <c r="F44" s="548"/>
      <c r="G44" s="549"/>
      <c r="H44" s="549"/>
      <c r="I44" s="549"/>
      <c r="J44" s="549"/>
      <c r="K44" s="549"/>
      <c r="L44" s="549"/>
      <c r="M44" s="549"/>
    </row>
    <row r="45" spans="1:13" ht="45" x14ac:dyDescent="0.25">
      <c r="A45" s="1024"/>
      <c r="B45" s="46"/>
      <c r="C45" s="314" t="s">
        <v>197</v>
      </c>
      <c r="D45" s="610" t="s">
        <v>757</v>
      </c>
      <c r="E45" s="113"/>
      <c r="F45" s="113"/>
      <c r="G45" s="103"/>
      <c r="H45" s="74"/>
      <c r="I45" s="74"/>
      <c r="J45" s="74"/>
      <c r="K45" s="74"/>
      <c r="L45" s="74"/>
      <c r="M45" s="114"/>
    </row>
    <row r="46" spans="1:13" x14ac:dyDescent="0.25">
      <c r="A46" s="696"/>
      <c r="B46" s="679"/>
      <c r="C46" s="577" t="s">
        <v>24</v>
      </c>
      <c r="D46" s="362"/>
      <c r="E46" s="39"/>
      <c r="F46" s="39"/>
      <c r="G46" s="40"/>
      <c r="H46" s="75"/>
      <c r="I46" s="75"/>
      <c r="J46" s="75"/>
      <c r="K46" s="75"/>
      <c r="L46" s="75"/>
      <c r="M46" s="597"/>
    </row>
    <row r="47" spans="1:13" x14ac:dyDescent="0.25">
      <c r="A47" s="696"/>
      <c r="B47" s="45"/>
      <c r="C47" s="21" t="s">
        <v>117</v>
      </c>
      <c r="D47" s="362" t="s">
        <v>757</v>
      </c>
      <c r="E47" s="61"/>
      <c r="F47" s="136"/>
      <c r="G47" s="75"/>
      <c r="H47" s="75"/>
      <c r="I47" s="40"/>
      <c r="J47" s="40"/>
      <c r="K47" s="40"/>
      <c r="L47" s="24"/>
      <c r="M47" s="25"/>
    </row>
    <row r="48" spans="1:13" x14ac:dyDescent="0.25">
      <c r="A48" s="696"/>
      <c r="B48" s="45"/>
      <c r="C48" s="578" t="s">
        <v>24</v>
      </c>
      <c r="D48" s="362"/>
      <c r="E48" s="61"/>
      <c r="F48" s="136"/>
      <c r="G48" s="75"/>
      <c r="H48" s="75"/>
      <c r="I48" s="40"/>
      <c r="J48" s="40"/>
      <c r="K48" s="40"/>
      <c r="L48" s="40"/>
      <c r="M48" s="118"/>
    </row>
    <row r="49" spans="1:13" x14ac:dyDescent="0.25">
      <c r="A49" s="696"/>
      <c r="B49" s="45"/>
      <c r="C49" s="21" t="s">
        <v>118</v>
      </c>
      <c r="D49" s="362" t="s">
        <v>757</v>
      </c>
      <c r="E49" s="61"/>
      <c r="F49" s="136"/>
      <c r="G49" s="75"/>
      <c r="H49" s="75"/>
      <c r="I49" s="40"/>
      <c r="J49" s="40"/>
      <c r="K49" s="40"/>
      <c r="L49" s="24"/>
      <c r="M49" s="25"/>
    </row>
    <row r="50" spans="1:13" s="765" customFormat="1" x14ac:dyDescent="0.25">
      <c r="A50" s="1025"/>
      <c r="B50" s="361"/>
      <c r="C50" s="595" t="s">
        <v>24</v>
      </c>
      <c r="D50" s="362"/>
      <c r="E50" s="334"/>
      <c r="F50" s="136"/>
      <c r="G50" s="75"/>
      <c r="H50" s="75"/>
      <c r="I50" s="75"/>
      <c r="J50" s="75"/>
      <c r="K50" s="75"/>
      <c r="L50" s="669"/>
      <c r="M50" s="118">
        <f>SUM(M48:M49)</f>
        <v>0</v>
      </c>
    </row>
    <row r="54" spans="1:13" x14ac:dyDescent="0.25">
      <c r="C54" s="771"/>
    </row>
  </sheetData>
  <sheetProtection password="CF7A" sheet="1" objects="1" scenarios="1"/>
  <protectedRanges>
    <protectedRange sqref="D45:M51" name="Range2"/>
    <protectedRange sqref="G9:M49" name="Range1"/>
  </protectedRanges>
  <autoFilter ref="A7:M50"/>
  <mergeCells count="18"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32:A37"/>
    <mergeCell ref="A23:A31"/>
    <mergeCell ref="A9:A15"/>
    <mergeCell ref="A16:A22"/>
    <mergeCell ref="A38:A43"/>
  </mergeCells>
  <conditionalFormatting sqref="E23:F23 F24:F31 E30:E31">
    <cfRule type="cellIs" dxfId="273" priority="30" stopIfTrue="1" operator="equal">
      <formula>8223.307275</formula>
    </cfRule>
  </conditionalFormatting>
  <conditionalFormatting sqref="C11:F11">
    <cfRule type="cellIs" dxfId="272" priority="32" stopIfTrue="1" operator="equal">
      <formula>8223.307275</formula>
    </cfRule>
  </conditionalFormatting>
  <conditionalFormatting sqref="C23:F23 F24:F31 C30:E31">
    <cfRule type="cellIs" dxfId="271" priority="31" stopIfTrue="1" operator="equal">
      <formula>0</formula>
    </cfRule>
  </conditionalFormatting>
  <conditionalFormatting sqref="B12:B13">
    <cfRule type="cellIs" dxfId="270" priority="6" stopIfTrue="1" operator="equal">
      <formula>8223.307275</formula>
    </cfRule>
  </conditionalFormatting>
  <conditionalFormatting sqref="B11">
    <cfRule type="cellIs" dxfId="269" priority="5" stopIfTrue="1" operator="equal">
      <formula>8223.307275</formula>
    </cfRule>
  </conditionalFormatting>
  <conditionalFormatting sqref="E24:E26">
    <cfRule type="cellIs" dxfId="268" priority="1" stopIfTrue="1" operator="equal">
      <formula>8223.307275</formula>
    </cfRule>
  </conditionalFormatting>
  <conditionalFormatting sqref="B25">
    <cfRule type="cellIs" dxfId="267" priority="3" stopIfTrue="1" operator="equal">
      <formula>8223.307275</formula>
    </cfRule>
  </conditionalFormatting>
  <conditionalFormatting sqref="C24:E26 C27:D29">
    <cfRule type="cellIs" dxfId="266" priority="2" stopIfTrue="1" operator="equal">
      <formula>0</formula>
    </cfRule>
  </conditionalFormatting>
  <pageMargins left="1.0629921259842521" right="0" top="0.23622047244094491" bottom="0.19685039370078741" header="0.15748031496062992" footer="0.15748031496062992"/>
  <pageSetup paperSize="9" scale="90" orientation="landscape" horizontalDpi="4294967295" verticalDpi="4294967295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12"/>
  <sheetViews>
    <sheetView view="pageBreakPreview" topLeftCell="A85" zoomScaleNormal="120" zoomScaleSheetLayoutView="100" workbookViewId="0">
      <selection activeCell="C115" sqref="C115"/>
    </sheetView>
  </sheetViews>
  <sheetFormatPr defaultRowHeight="12.75" x14ac:dyDescent="0.2"/>
  <cols>
    <col min="1" max="1" width="4.28515625" style="811" customWidth="1"/>
    <col min="2" max="2" width="8.42578125" style="767" customWidth="1"/>
    <col min="3" max="3" width="45.5703125" style="811" customWidth="1"/>
    <col min="4" max="4" width="7.85546875" style="811" bestFit="1" customWidth="1"/>
    <col min="5" max="5" width="9.140625" style="811" bestFit="1" customWidth="1"/>
    <col min="6" max="6" width="11.7109375" style="811" customWidth="1"/>
    <col min="7" max="7" width="8.85546875" style="939" bestFit="1" customWidth="1"/>
    <col min="8" max="8" width="13.140625" style="939" customWidth="1"/>
    <col min="9" max="9" width="7.85546875" style="939" bestFit="1" customWidth="1"/>
    <col min="10" max="10" width="10.85546875" style="939" customWidth="1"/>
    <col min="11" max="12" width="7.5703125" style="939" bestFit="1" customWidth="1"/>
    <col min="13" max="13" width="12.5703125" style="939" bestFit="1" customWidth="1"/>
    <col min="14" max="16384" width="9.140625" style="811"/>
  </cols>
  <sheetData>
    <row r="1" spans="1:13" ht="15" x14ac:dyDescent="0.2">
      <c r="B1" s="1073" t="s">
        <v>643</v>
      </c>
      <c r="C1" s="1073"/>
      <c r="D1" s="1073"/>
      <c r="E1" s="1073"/>
      <c r="F1" s="1073"/>
      <c r="G1" s="1073"/>
      <c r="H1" s="1073"/>
      <c r="I1" s="1073"/>
      <c r="J1" s="1073"/>
      <c r="K1" s="1073"/>
      <c r="L1" s="1073"/>
    </row>
    <row r="2" spans="1:13" ht="15" x14ac:dyDescent="0.2">
      <c r="B2" s="1090" t="s">
        <v>637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ht="15" x14ac:dyDescent="0.2">
      <c r="A3" s="12"/>
      <c r="B3" s="1091" t="s">
        <v>453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5.75" thickBot="1" x14ac:dyDescent="0.35">
      <c r="A4" s="1092" t="s">
        <v>472</v>
      </c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25">
      <c r="A6" s="1095"/>
      <c r="B6" s="1097"/>
      <c r="C6" s="1099"/>
      <c r="D6" s="1099"/>
      <c r="E6" s="77" t="s">
        <v>399</v>
      </c>
      <c r="F6" s="77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940" customFormat="1" ht="15.75" thickBot="1" x14ac:dyDescent="0.25">
      <c r="A7" s="187"/>
      <c r="B7" s="188" t="s">
        <v>60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89">
        <v>9</v>
      </c>
      <c r="J7" s="189">
        <v>10</v>
      </c>
      <c r="K7" s="189">
        <v>11</v>
      </c>
      <c r="L7" s="189">
        <v>12</v>
      </c>
      <c r="M7" s="190">
        <v>13</v>
      </c>
    </row>
    <row r="8" spans="1:13" s="1004" customFormat="1" ht="15.75" thickBot="1" x14ac:dyDescent="0.25">
      <c r="A8" s="348"/>
      <c r="B8" s="823"/>
      <c r="C8" s="305" t="s">
        <v>61</v>
      </c>
      <c r="D8" s="305"/>
      <c r="E8" s="305"/>
      <c r="F8" s="305"/>
      <c r="G8" s="305"/>
      <c r="H8" s="305"/>
      <c r="I8" s="305"/>
      <c r="J8" s="305"/>
      <c r="K8" s="305"/>
      <c r="L8" s="305"/>
      <c r="M8" s="349"/>
    </row>
    <row r="9" spans="1:13" ht="45" x14ac:dyDescent="0.2">
      <c r="A9" s="1104" t="s">
        <v>561</v>
      </c>
      <c r="B9" s="181" t="s">
        <v>715</v>
      </c>
      <c r="C9" s="16" t="s">
        <v>223</v>
      </c>
      <c r="D9" s="151" t="s">
        <v>222</v>
      </c>
      <c r="E9" s="60"/>
      <c r="F9" s="60">
        <f>8-3.15</f>
        <v>4.8499999999999996</v>
      </c>
      <c r="G9" s="53"/>
      <c r="H9" s="53"/>
      <c r="I9" s="53"/>
      <c r="J9" s="53"/>
      <c r="K9" s="53"/>
      <c r="L9" s="53"/>
      <c r="M9" s="125"/>
    </row>
    <row r="10" spans="1:13" ht="15" x14ac:dyDescent="0.2">
      <c r="A10" s="1105"/>
      <c r="B10" s="679"/>
      <c r="C10" s="37" t="s">
        <v>67</v>
      </c>
      <c r="D10" s="38" t="s">
        <v>68</v>
      </c>
      <c r="E10" s="39">
        <v>12.7</v>
      </c>
      <c r="F10" s="39">
        <f>E10*F9</f>
        <v>61.594999999999992</v>
      </c>
      <c r="G10" s="40"/>
      <c r="H10" s="40"/>
      <c r="I10" s="40"/>
      <c r="J10" s="40"/>
      <c r="K10" s="40"/>
      <c r="L10" s="40"/>
      <c r="M10" s="41"/>
    </row>
    <row r="11" spans="1:13" ht="22.5" x14ac:dyDescent="0.2">
      <c r="A11" s="1105"/>
      <c r="B11" s="679" t="s">
        <v>502</v>
      </c>
      <c r="C11" s="37" t="s">
        <v>69</v>
      </c>
      <c r="D11" s="38" t="s">
        <v>62</v>
      </c>
      <c r="E11" s="39">
        <v>1.0149999999999999</v>
      </c>
      <c r="F11" s="39">
        <f>E11*F9</f>
        <v>4.9227499999999988</v>
      </c>
      <c r="G11" s="40"/>
      <c r="H11" s="40"/>
      <c r="I11" s="40"/>
      <c r="J11" s="40"/>
      <c r="K11" s="40"/>
      <c r="L11" s="40"/>
      <c r="M11" s="41"/>
    </row>
    <row r="12" spans="1:13" ht="45.75" x14ac:dyDescent="0.2">
      <c r="A12" s="1105"/>
      <c r="B12" s="679" t="s">
        <v>515</v>
      </c>
      <c r="C12" s="37" t="s">
        <v>663</v>
      </c>
      <c r="D12" s="38" t="s">
        <v>78</v>
      </c>
      <c r="E12" s="39">
        <f>E11</f>
        <v>1.0149999999999999</v>
      </c>
      <c r="F12" s="39">
        <f>E12*F9</f>
        <v>4.9227499999999988</v>
      </c>
      <c r="G12" s="40"/>
      <c r="H12" s="40"/>
      <c r="I12" s="40"/>
      <c r="J12" s="40"/>
      <c r="K12" s="40"/>
      <c r="L12" s="40"/>
      <c r="M12" s="41"/>
    </row>
    <row r="13" spans="1:13" ht="15" x14ac:dyDescent="0.2">
      <c r="A13" s="1105"/>
      <c r="B13" s="364" t="s">
        <v>496</v>
      </c>
      <c r="C13" s="601" t="s">
        <v>70</v>
      </c>
      <c r="D13" s="38" t="s">
        <v>71</v>
      </c>
      <c r="E13" s="43" t="s">
        <v>72</v>
      </c>
      <c r="F13" s="136">
        <f>355.43*F9/8</f>
        <v>215.47943749999999</v>
      </c>
      <c r="G13" s="44"/>
      <c r="H13" s="40"/>
      <c r="I13" s="40"/>
      <c r="J13" s="40"/>
      <c r="K13" s="40"/>
      <c r="L13" s="40"/>
      <c r="M13" s="41"/>
    </row>
    <row r="14" spans="1:13" ht="15" x14ac:dyDescent="0.2">
      <c r="A14" s="1105"/>
      <c r="B14" s="45" t="s">
        <v>514</v>
      </c>
      <c r="C14" s="37" t="s">
        <v>74</v>
      </c>
      <c r="D14" s="38" t="s">
        <v>62</v>
      </c>
      <c r="E14" s="39">
        <f>0.102+0.073</f>
        <v>0.17499999999999999</v>
      </c>
      <c r="F14" s="39">
        <f>E14*F9</f>
        <v>0.84874999999999989</v>
      </c>
      <c r="G14" s="24"/>
      <c r="H14" s="40"/>
      <c r="I14" s="40"/>
      <c r="J14" s="40"/>
      <c r="K14" s="40"/>
      <c r="L14" s="40"/>
      <c r="M14" s="41"/>
    </row>
    <row r="15" spans="1:13" ht="15" x14ac:dyDescent="0.2">
      <c r="A15" s="1105"/>
      <c r="B15" s="679"/>
      <c r="C15" s="37" t="s">
        <v>77</v>
      </c>
      <c r="D15" s="38" t="s">
        <v>78</v>
      </c>
      <c r="E15" s="39">
        <v>1.08</v>
      </c>
      <c r="F15" s="39">
        <f>E15*F9</f>
        <v>5.2379999999999995</v>
      </c>
      <c r="G15" s="40"/>
      <c r="H15" s="40"/>
      <c r="I15" s="40"/>
      <c r="J15" s="40"/>
      <c r="K15" s="67"/>
      <c r="L15" s="40"/>
      <c r="M15" s="41"/>
    </row>
    <row r="16" spans="1:13" ht="15.75" thickBot="1" x14ac:dyDescent="0.25">
      <c r="A16" s="1106"/>
      <c r="B16" s="355"/>
      <c r="C16" s="47" t="s">
        <v>79</v>
      </c>
      <c r="D16" s="342" t="s">
        <v>78</v>
      </c>
      <c r="E16" s="48">
        <v>1.67</v>
      </c>
      <c r="F16" s="48">
        <f>E16*F9</f>
        <v>8.099499999999999</v>
      </c>
      <c r="G16" s="49"/>
      <c r="H16" s="49"/>
      <c r="I16" s="49"/>
      <c r="J16" s="49"/>
      <c r="K16" s="49"/>
      <c r="L16" s="49"/>
      <c r="M16" s="50"/>
    </row>
    <row r="17" spans="1:13" ht="30" x14ac:dyDescent="0.2">
      <c r="A17" s="1156">
        <v>2</v>
      </c>
      <c r="B17" s="814" t="s">
        <v>110</v>
      </c>
      <c r="C17" s="73" t="s">
        <v>225</v>
      </c>
      <c r="D17" s="74" t="s">
        <v>76</v>
      </c>
      <c r="E17" s="74"/>
      <c r="F17" s="74">
        <v>12.56</v>
      </c>
      <c r="G17" s="74"/>
      <c r="H17" s="74"/>
      <c r="I17" s="74"/>
      <c r="J17" s="74"/>
      <c r="K17" s="74"/>
      <c r="L17" s="74"/>
      <c r="M17" s="87"/>
    </row>
    <row r="18" spans="1:13" ht="15" x14ac:dyDescent="0.2">
      <c r="A18" s="1156"/>
      <c r="B18" s="679"/>
      <c r="C18" s="37" t="s">
        <v>67</v>
      </c>
      <c r="D18" s="38" t="s">
        <v>68</v>
      </c>
      <c r="E18" s="39">
        <f>(29.4+0.46*4)/100</f>
        <v>0.31240000000000001</v>
      </c>
      <c r="F18" s="39">
        <f>F17*E18</f>
        <v>3.9237440000000001</v>
      </c>
      <c r="G18" s="40"/>
      <c r="H18" s="40"/>
      <c r="I18" s="40"/>
      <c r="J18" s="40"/>
      <c r="K18" s="40"/>
      <c r="L18" s="40"/>
      <c r="M18" s="41"/>
    </row>
    <row r="19" spans="1:13" ht="22.5" x14ac:dyDescent="0.2">
      <c r="A19" s="1156"/>
      <c r="B19" s="679" t="s">
        <v>502</v>
      </c>
      <c r="C19" s="37" t="s">
        <v>95</v>
      </c>
      <c r="D19" s="38" t="s">
        <v>62</v>
      </c>
      <c r="E19" s="39">
        <v>4.0800000000000003E-2</v>
      </c>
      <c r="F19" s="39">
        <f>F17*E19</f>
        <v>0.51244800000000001</v>
      </c>
      <c r="G19" s="40"/>
      <c r="H19" s="40"/>
      <c r="I19" s="40"/>
      <c r="J19" s="40"/>
      <c r="K19" s="40"/>
      <c r="L19" s="40"/>
      <c r="M19" s="41"/>
    </row>
    <row r="20" spans="1:13" ht="45.75" x14ac:dyDescent="0.2">
      <c r="A20" s="1156"/>
      <c r="B20" s="679" t="s">
        <v>515</v>
      </c>
      <c r="C20" s="37" t="s">
        <v>663</v>
      </c>
      <c r="D20" s="38" t="s">
        <v>78</v>
      </c>
      <c r="E20" s="39">
        <f>E19</f>
        <v>4.0800000000000003E-2</v>
      </c>
      <c r="F20" s="39">
        <f>E20*F17</f>
        <v>0.51244800000000001</v>
      </c>
      <c r="G20" s="40"/>
      <c r="H20" s="40"/>
      <c r="I20" s="40"/>
      <c r="J20" s="40"/>
      <c r="K20" s="40"/>
      <c r="L20" s="40"/>
      <c r="M20" s="41"/>
    </row>
    <row r="21" spans="1:13" ht="15.75" thickBot="1" x14ac:dyDescent="0.25">
      <c r="A21" s="1156"/>
      <c r="B21" s="679"/>
      <c r="C21" s="37" t="s">
        <v>85</v>
      </c>
      <c r="D21" s="38" t="s">
        <v>78</v>
      </c>
      <c r="E21" s="39">
        <v>6.3600000000000004E-2</v>
      </c>
      <c r="F21" s="39">
        <f>F17*E21</f>
        <v>0.79881600000000008</v>
      </c>
      <c r="G21" s="49"/>
      <c r="H21" s="40"/>
      <c r="I21" s="40"/>
      <c r="J21" s="40"/>
      <c r="K21" s="40"/>
      <c r="L21" s="40"/>
      <c r="M21" s="41"/>
    </row>
    <row r="22" spans="1:13" ht="15.75" thickBot="1" x14ac:dyDescent="0.25">
      <c r="A22" s="1156"/>
      <c r="B22" s="673"/>
      <c r="C22" s="76" t="s">
        <v>77</v>
      </c>
      <c r="D22" s="675" t="s">
        <v>78</v>
      </c>
      <c r="E22" s="77">
        <v>2.24E-2</v>
      </c>
      <c r="F22" s="77">
        <f>F17*E22</f>
        <v>0.28134399999999998</v>
      </c>
      <c r="G22" s="68"/>
      <c r="H22" s="68"/>
      <c r="I22" s="68"/>
      <c r="J22" s="68"/>
      <c r="K22" s="67"/>
      <c r="L22" s="68"/>
      <c r="M22" s="678"/>
    </row>
    <row r="23" spans="1:13" ht="30" x14ac:dyDescent="0.3">
      <c r="A23" s="1153">
        <v>3</v>
      </c>
      <c r="B23" s="322" t="s">
        <v>96</v>
      </c>
      <c r="C23" s="217" t="s">
        <v>226</v>
      </c>
      <c r="D23" s="19" t="s">
        <v>76</v>
      </c>
      <c r="E23" s="36"/>
      <c r="F23" s="36">
        <f>F41+F35</f>
        <v>20.701000000000001</v>
      </c>
      <c r="G23" s="19"/>
      <c r="H23" s="19"/>
      <c r="I23" s="19"/>
      <c r="J23" s="19"/>
      <c r="K23" s="19"/>
      <c r="L23" s="19"/>
      <c r="M23" s="20"/>
    </row>
    <row r="24" spans="1:13" ht="15" x14ac:dyDescent="0.2">
      <c r="A24" s="1154"/>
      <c r="B24" s="679"/>
      <c r="C24" s="37" t="s">
        <v>67</v>
      </c>
      <c r="D24" s="38" t="s">
        <v>68</v>
      </c>
      <c r="E24" s="39">
        <v>1.01</v>
      </c>
      <c r="F24" s="39">
        <f>E24*F23</f>
        <v>20.908010000000001</v>
      </c>
      <c r="G24" s="40"/>
      <c r="H24" s="40"/>
      <c r="I24" s="40"/>
      <c r="J24" s="40"/>
      <c r="K24" s="40"/>
      <c r="L24" s="40"/>
      <c r="M24" s="41"/>
    </row>
    <row r="25" spans="1:13" ht="22.5" x14ac:dyDescent="0.2">
      <c r="A25" s="1154"/>
      <c r="B25" s="377" t="s">
        <v>716</v>
      </c>
      <c r="C25" s="37" t="s">
        <v>742</v>
      </c>
      <c r="D25" s="38" t="s">
        <v>97</v>
      </c>
      <c r="E25" s="812">
        <v>4.1000000000000002E-2</v>
      </c>
      <c r="F25" s="39">
        <f>E25*F23</f>
        <v>0.84874100000000008</v>
      </c>
      <c r="G25" s="40"/>
      <c r="H25" s="40"/>
      <c r="I25" s="40"/>
      <c r="J25" s="40"/>
      <c r="K25" s="40"/>
      <c r="L25" s="40"/>
      <c r="M25" s="41"/>
    </row>
    <row r="26" spans="1:13" ht="22.5" x14ac:dyDescent="0.2">
      <c r="A26" s="1154"/>
      <c r="B26" s="679" t="s">
        <v>717</v>
      </c>
      <c r="C26" s="368" t="s">
        <v>210</v>
      </c>
      <c r="D26" s="38" t="s">
        <v>62</v>
      </c>
      <c r="E26" s="39">
        <v>2.3800000000000002E-2</v>
      </c>
      <c r="F26" s="39">
        <f>E26*F23</f>
        <v>0.49268380000000006</v>
      </c>
      <c r="G26" s="40"/>
      <c r="H26" s="40"/>
      <c r="I26" s="40"/>
      <c r="J26" s="40"/>
      <c r="K26" s="40"/>
      <c r="L26" s="40"/>
      <c r="M26" s="41"/>
    </row>
    <row r="27" spans="1:13" ht="45.75" x14ac:dyDescent="0.2">
      <c r="A27" s="1154"/>
      <c r="B27" s="679" t="s">
        <v>515</v>
      </c>
      <c r="C27" s="37" t="s">
        <v>224</v>
      </c>
      <c r="D27" s="38" t="s">
        <v>78</v>
      </c>
      <c r="E27" s="39">
        <f>E26</f>
        <v>2.3800000000000002E-2</v>
      </c>
      <c r="F27" s="39">
        <f>E27*F23</f>
        <v>0.49268380000000006</v>
      </c>
      <c r="G27" s="40"/>
      <c r="H27" s="40"/>
      <c r="I27" s="40"/>
      <c r="J27" s="40"/>
      <c r="K27" s="40"/>
      <c r="L27" s="40"/>
      <c r="M27" s="41"/>
    </row>
    <row r="28" spans="1:13" ht="15.75" thickBot="1" x14ac:dyDescent="0.25">
      <c r="A28" s="1157"/>
      <c r="B28" s="355"/>
      <c r="C28" s="47" t="s">
        <v>85</v>
      </c>
      <c r="D28" s="342" t="s">
        <v>62</v>
      </c>
      <c r="E28" s="48">
        <v>3.0000000000000001E-3</v>
      </c>
      <c r="F28" s="48">
        <f>E28*F23</f>
        <v>6.2103000000000005E-2</v>
      </c>
      <c r="G28" s="49"/>
      <c r="H28" s="49"/>
      <c r="I28" s="49"/>
      <c r="J28" s="49"/>
      <c r="K28" s="49"/>
      <c r="L28" s="49"/>
      <c r="M28" s="50"/>
    </row>
    <row r="29" spans="1:13" ht="30" x14ac:dyDescent="0.2">
      <c r="A29" s="1086">
        <v>4</v>
      </c>
      <c r="B29" s="322" t="s">
        <v>189</v>
      </c>
      <c r="C29" s="86" t="s">
        <v>228</v>
      </c>
      <c r="D29" s="19" t="s">
        <v>76</v>
      </c>
      <c r="E29" s="19"/>
      <c r="F29" s="19">
        <v>12.56</v>
      </c>
      <c r="G29" s="19"/>
      <c r="H29" s="19"/>
      <c r="I29" s="19"/>
      <c r="J29" s="19"/>
      <c r="K29" s="19"/>
      <c r="L29" s="19"/>
      <c r="M29" s="20"/>
    </row>
    <row r="30" spans="1:13" ht="15" x14ac:dyDescent="0.2">
      <c r="A30" s="1087"/>
      <c r="B30" s="679"/>
      <c r="C30" s="37" t="s">
        <v>67</v>
      </c>
      <c r="D30" s="38" t="s">
        <v>68</v>
      </c>
      <c r="E30" s="39">
        <v>3.86</v>
      </c>
      <c r="F30" s="39">
        <f>F29*E30</f>
        <v>48.4816</v>
      </c>
      <c r="G30" s="75"/>
      <c r="H30" s="40"/>
      <c r="I30" s="40"/>
      <c r="J30" s="40"/>
      <c r="K30" s="40"/>
      <c r="L30" s="40"/>
      <c r="M30" s="41"/>
    </row>
    <row r="31" spans="1:13" ht="22.5" x14ac:dyDescent="0.2">
      <c r="A31" s="1087"/>
      <c r="B31" s="679" t="s">
        <v>494</v>
      </c>
      <c r="C31" s="37" t="s">
        <v>392</v>
      </c>
      <c r="D31" s="38" t="s">
        <v>71</v>
      </c>
      <c r="E31" s="39">
        <v>6</v>
      </c>
      <c r="F31" s="39">
        <f>F29*E31</f>
        <v>75.36</v>
      </c>
      <c r="G31" s="40"/>
      <c r="H31" s="40"/>
      <c r="I31" s="40"/>
      <c r="J31" s="40"/>
      <c r="K31" s="40"/>
      <c r="L31" s="40"/>
      <c r="M31" s="41"/>
    </row>
    <row r="32" spans="1:13" ht="30" x14ac:dyDescent="0.2">
      <c r="A32" s="1087"/>
      <c r="B32" s="364" t="s">
        <v>531</v>
      </c>
      <c r="C32" s="37" t="s">
        <v>227</v>
      </c>
      <c r="D32" s="38" t="s">
        <v>76</v>
      </c>
      <c r="E32" s="39">
        <v>1</v>
      </c>
      <c r="F32" s="39">
        <f>F29*E32</f>
        <v>12.56</v>
      </c>
      <c r="G32" s="40"/>
      <c r="H32" s="40"/>
      <c r="I32" s="40"/>
      <c r="J32" s="40"/>
      <c r="K32" s="40"/>
      <c r="L32" s="40"/>
      <c r="M32" s="41"/>
    </row>
    <row r="33" spans="1:13" ht="15" x14ac:dyDescent="0.2">
      <c r="A33" s="1087"/>
      <c r="B33" s="679"/>
      <c r="C33" s="37" t="s">
        <v>77</v>
      </c>
      <c r="D33" s="38" t="s">
        <v>78</v>
      </c>
      <c r="E33" s="39">
        <v>3.5999999999999997E-2</v>
      </c>
      <c r="F33" s="39">
        <f>F29*E33</f>
        <v>0.45216000000000001</v>
      </c>
      <c r="G33" s="75"/>
      <c r="H33" s="40"/>
      <c r="I33" s="40"/>
      <c r="J33" s="40"/>
      <c r="K33" s="67"/>
      <c r="L33" s="40"/>
      <c r="M33" s="41"/>
    </row>
    <row r="34" spans="1:13" ht="15.75" thickBot="1" x14ac:dyDescent="0.25">
      <c r="A34" s="1088"/>
      <c r="B34" s="355"/>
      <c r="C34" s="47" t="s">
        <v>85</v>
      </c>
      <c r="D34" s="342" t="s">
        <v>78</v>
      </c>
      <c r="E34" s="48">
        <v>4.2999999999999997E-2</v>
      </c>
      <c r="F34" s="48">
        <f>F29*E34</f>
        <v>0.54008</v>
      </c>
      <c r="G34" s="49"/>
      <c r="H34" s="49"/>
      <c r="I34" s="49"/>
      <c r="J34" s="49"/>
      <c r="K34" s="49"/>
      <c r="L34" s="49"/>
      <c r="M34" s="50"/>
    </row>
    <row r="35" spans="1:13" ht="30" x14ac:dyDescent="0.2">
      <c r="A35" s="1161">
        <v>5</v>
      </c>
      <c r="B35" s="814" t="s">
        <v>229</v>
      </c>
      <c r="C35" s="73" t="s">
        <v>231</v>
      </c>
      <c r="D35" s="74" t="s">
        <v>76</v>
      </c>
      <c r="E35" s="74"/>
      <c r="F35" s="74">
        <v>13.95</v>
      </c>
      <c r="G35" s="74"/>
      <c r="H35" s="74"/>
      <c r="I35" s="74"/>
      <c r="J35" s="74"/>
      <c r="K35" s="74"/>
      <c r="L35" s="74"/>
      <c r="M35" s="87"/>
    </row>
    <row r="36" spans="1:13" ht="15" x14ac:dyDescent="0.2">
      <c r="A36" s="1161"/>
      <c r="B36" s="679"/>
      <c r="C36" s="37" t="s">
        <v>67</v>
      </c>
      <c r="D36" s="38" t="s">
        <v>68</v>
      </c>
      <c r="E36" s="39">
        <v>1.7</v>
      </c>
      <c r="F36" s="39">
        <f>F35*E36</f>
        <v>23.715</v>
      </c>
      <c r="G36" s="75"/>
      <c r="H36" s="40"/>
      <c r="I36" s="40"/>
      <c r="J36" s="40"/>
      <c r="K36" s="40"/>
      <c r="L36" s="40"/>
      <c r="M36" s="41"/>
    </row>
    <row r="37" spans="1:13" ht="22.5" x14ac:dyDescent="0.2">
      <c r="A37" s="1161"/>
      <c r="B37" s="679" t="s">
        <v>111</v>
      </c>
      <c r="C37" s="37" t="s">
        <v>112</v>
      </c>
      <c r="D37" s="38" t="s">
        <v>71</v>
      </c>
      <c r="E37" s="39">
        <v>6</v>
      </c>
      <c r="F37" s="39">
        <f>F35*E37</f>
        <v>83.699999999999989</v>
      </c>
      <c r="G37" s="40"/>
      <c r="H37" s="40"/>
      <c r="I37" s="40"/>
      <c r="J37" s="40"/>
      <c r="K37" s="40"/>
      <c r="L37" s="40"/>
      <c r="M37" s="41"/>
    </row>
    <row r="38" spans="1:13" ht="22.5" x14ac:dyDescent="0.2">
      <c r="A38" s="1161"/>
      <c r="B38" s="364" t="s">
        <v>530</v>
      </c>
      <c r="C38" s="42" t="s">
        <v>230</v>
      </c>
      <c r="D38" s="38" t="s">
        <v>76</v>
      </c>
      <c r="E38" s="39">
        <v>1</v>
      </c>
      <c r="F38" s="39">
        <f>F35*E38</f>
        <v>13.95</v>
      </c>
      <c r="G38" s="40"/>
      <c r="H38" s="40"/>
      <c r="I38" s="40"/>
      <c r="J38" s="40"/>
      <c r="K38" s="40"/>
      <c r="L38" s="40"/>
      <c r="M38" s="41"/>
    </row>
    <row r="39" spans="1:13" ht="15" x14ac:dyDescent="0.2">
      <c r="A39" s="1161"/>
      <c r="B39" s="679"/>
      <c r="C39" s="37" t="s">
        <v>77</v>
      </c>
      <c r="D39" s="38" t="s">
        <v>78</v>
      </c>
      <c r="E39" s="39">
        <v>0.02</v>
      </c>
      <c r="F39" s="39">
        <f>F35*E39</f>
        <v>0.27899999999999997</v>
      </c>
      <c r="G39" s="75"/>
      <c r="H39" s="40"/>
      <c r="I39" s="40"/>
      <c r="J39" s="40"/>
      <c r="K39" s="67"/>
      <c r="L39" s="40"/>
      <c r="M39" s="41"/>
    </row>
    <row r="40" spans="1:13" ht="15.75" thickBot="1" x14ac:dyDescent="0.25">
      <c r="A40" s="1162"/>
      <c r="B40" s="355"/>
      <c r="C40" s="47" t="s">
        <v>85</v>
      </c>
      <c r="D40" s="342" t="s">
        <v>78</v>
      </c>
      <c r="E40" s="48">
        <v>7.0000000000000001E-3</v>
      </c>
      <c r="F40" s="48">
        <f>F35*E40</f>
        <v>9.7650000000000001E-2</v>
      </c>
      <c r="G40" s="49"/>
      <c r="H40" s="49"/>
      <c r="I40" s="49"/>
      <c r="J40" s="49"/>
      <c r="K40" s="49"/>
      <c r="L40" s="49"/>
      <c r="M40" s="50"/>
    </row>
    <row r="41" spans="1:13" ht="30" x14ac:dyDescent="0.2">
      <c r="A41" s="1139">
        <v>6</v>
      </c>
      <c r="B41" s="181" t="s">
        <v>684</v>
      </c>
      <c r="C41" s="164" t="s">
        <v>232</v>
      </c>
      <c r="D41" s="152" t="s">
        <v>76</v>
      </c>
      <c r="E41" s="164"/>
      <c r="F41" s="205">
        <f>4.3*3.14*0.5</f>
        <v>6.7510000000000003</v>
      </c>
      <c r="G41" s="731"/>
      <c r="H41" s="731"/>
      <c r="I41" s="731"/>
      <c r="J41" s="731"/>
      <c r="K41" s="731"/>
      <c r="L41" s="676"/>
      <c r="M41" s="125"/>
    </row>
    <row r="42" spans="1:13" ht="15" x14ac:dyDescent="0.3">
      <c r="A42" s="1140"/>
      <c r="B42" s="134"/>
      <c r="C42" s="198" t="s">
        <v>114</v>
      </c>
      <c r="D42" s="122" t="s">
        <v>68</v>
      </c>
      <c r="E42" s="167">
        <v>8.9</v>
      </c>
      <c r="F42" s="155">
        <f>E42*F41</f>
        <v>60.083900000000007</v>
      </c>
      <c r="G42" s="409"/>
      <c r="H42" s="409"/>
      <c r="I42" s="409"/>
      <c r="J42" s="409"/>
      <c r="K42" s="409"/>
      <c r="L42" s="409"/>
      <c r="M42" s="32"/>
    </row>
    <row r="43" spans="1:13" ht="15" x14ac:dyDescent="0.3">
      <c r="A43" s="1140"/>
      <c r="B43" s="134"/>
      <c r="C43" s="198" t="s">
        <v>166</v>
      </c>
      <c r="D43" s="122" t="s">
        <v>78</v>
      </c>
      <c r="E43" s="167">
        <v>0.13</v>
      </c>
      <c r="F43" s="155">
        <f>E43*F41</f>
        <v>0.87763000000000002</v>
      </c>
      <c r="G43" s="409"/>
      <c r="H43" s="409"/>
      <c r="I43" s="23"/>
      <c r="J43" s="23"/>
      <c r="K43" s="67"/>
      <c r="L43" s="23"/>
      <c r="M43" s="32"/>
    </row>
    <row r="44" spans="1:13" ht="22.5" x14ac:dyDescent="0.2">
      <c r="A44" s="1140"/>
      <c r="B44" s="679" t="s">
        <v>513</v>
      </c>
      <c r="C44" s="367" t="s">
        <v>719</v>
      </c>
      <c r="D44" s="200" t="s">
        <v>62</v>
      </c>
      <c r="E44" s="155">
        <v>3.5999999999999997E-2</v>
      </c>
      <c r="F44" s="155">
        <f>E44*F41</f>
        <v>0.243036</v>
      </c>
      <c r="G44" s="40"/>
      <c r="H44" s="40"/>
      <c r="I44" s="40"/>
      <c r="J44" s="40"/>
      <c r="K44" s="40"/>
      <c r="L44" s="40"/>
      <c r="M44" s="41"/>
    </row>
    <row r="45" spans="1:13" s="873" customFormat="1" ht="15" x14ac:dyDescent="0.2">
      <c r="A45" s="1140"/>
      <c r="B45" s="201" t="s">
        <v>482</v>
      </c>
      <c r="C45" s="197" t="s">
        <v>429</v>
      </c>
      <c r="D45" s="200" t="s">
        <v>76</v>
      </c>
      <c r="E45" s="155">
        <v>0.97</v>
      </c>
      <c r="F45" s="155">
        <f>E45*F41</f>
        <v>6.54847</v>
      </c>
      <c r="G45" s="40"/>
      <c r="H45" s="40"/>
      <c r="I45" s="40"/>
      <c r="J45" s="40"/>
      <c r="K45" s="40"/>
      <c r="L45" s="40"/>
      <c r="M45" s="41"/>
    </row>
    <row r="46" spans="1:13" ht="15.75" thickBot="1" x14ac:dyDescent="0.25">
      <c r="A46" s="1141"/>
      <c r="B46" s="206"/>
      <c r="C46" s="207" t="s">
        <v>119</v>
      </c>
      <c r="D46" s="203" t="s">
        <v>78</v>
      </c>
      <c r="E46" s="180">
        <v>0.1</v>
      </c>
      <c r="F46" s="157">
        <f>E46*F41</f>
        <v>0.67510000000000003</v>
      </c>
      <c r="G46" s="49"/>
      <c r="H46" s="49"/>
      <c r="I46" s="49"/>
      <c r="J46" s="49"/>
      <c r="K46" s="49"/>
      <c r="L46" s="49"/>
      <c r="M46" s="50"/>
    </row>
    <row r="47" spans="1:13" ht="45" x14ac:dyDescent="0.2">
      <c r="A47" s="1124">
        <v>7</v>
      </c>
      <c r="B47" s="181" t="s">
        <v>684</v>
      </c>
      <c r="C47" s="204" t="s">
        <v>423</v>
      </c>
      <c r="D47" s="152" t="s">
        <v>76</v>
      </c>
      <c r="E47" s="205"/>
      <c r="F47" s="205">
        <v>5.04</v>
      </c>
      <c r="G47" s="731"/>
      <c r="H47" s="676"/>
      <c r="I47" s="731"/>
      <c r="J47" s="731"/>
      <c r="K47" s="731"/>
      <c r="L47" s="731"/>
      <c r="M47" s="125"/>
    </row>
    <row r="48" spans="1:13" ht="15" x14ac:dyDescent="0.3">
      <c r="A48" s="1119"/>
      <c r="B48" s="134"/>
      <c r="C48" s="198" t="s">
        <v>114</v>
      </c>
      <c r="D48" s="122" t="s">
        <v>68</v>
      </c>
      <c r="E48" s="167">
        <v>8.9</v>
      </c>
      <c r="F48" s="155">
        <f>E48*F47</f>
        <v>44.856000000000002</v>
      </c>
      <c r="G48" s="409"/>
      <c r="H48" s="409"/>
      <c r="I48" s="409"/>
      <c r="J48" s="409"/>
      <c r="K48" s="409"/>
      <c r="L48" s="409"/>
      <c r="M48" s="32"/>
    </row>
    <row r="49" spans="1:13" ht="15" x14ac:dyDescent="0.3">
      <c r="A49" s="1119"/>
      <c r="B49" s="134"/>
      <c r="C49" s="198" t="s">
        <v>166</v>
      </c>
      <c r="D49" s="122" t="s">
        <v>78</v>
      </c>
      <c r="E49" s="167">
        <v>0.13</v>
      </c>
      <c r="F49" s="155">
        <f>E49*F47</f>
        <v>0.6552</v>
      </c>
      <c r="G49" s="409"/>
      <c r="H49" s="409"/>
      <c r="I49" s="23"/>
      <c r="J49" s="23"/>
      <c r="K49" s="67"/>
      <c r="L49" s="23"/>
      <c r="M49" s="32"/>
    </row>
    <row r="50" spans="1:13" ht="22.5" x14ac:dyDescent="0.2">
      <c r="A50" s="1119"/>
      <c r="B50" s="679" t="s">
        <v>513</v>
      </c>
      <c r="C50" s="367" t="s">
        <v>719</v>
      </c>
      <c r="D50" s="200" t="s">
        <v>62</v>
      </c>
      <c r="E50" s="155">
        <v>3.5999999999999997E-2</v>
      </c>
      <c r="F50" s="155">
        <f>E50*F47</f>
        <v>0.18143999999999999</v>
      </c>
      <c r="G50" s="40"/>
      <c r="H50" s="40"/>
      <c r="I50" s="40"/>
      <c r="J50" s="40"/>
      <c r="K50" s="40"/>
      <c r="L50" s="40"/>
      <c r="M50" s="41"/>
    </row>
    <row r="51" spans="1:13" ht="30" x14ac:dyDescent="0.2">
      <c r="A51" s="1119"/>
      <c r="B51" s="366" t="s">
        <v>500</v>
      </c>
      <c r="C51" s="367" t="s">
        <v>501</v>
      </c>
      <c r="D51" s="200" t="s">
        <v>76</v>
      </c>
      <c r="E51" s="155">
        <v>0.97</v>
      </c>
      <c r="F51" s="155">
        <f>E51*F47</f>
        <v>4.8887999999999998</v>
      </c>
      <c r="G51" s="40"/>
      <c r="H51" s="40"/>
      <c r="I51" s="40"/>
      <c r="J51" s="40"/>
      <c r="K51" s="40"/>
      <c r="L51" s="40"/>
      <c r="M51" s="41"/>
    </row>
    <row r="52" spans="1:13" ht="15.75" thickBot="1" x14ac:dyDescent="0.25">
      <c r="A52" s="1119"/>
      <c r="B52" s="206"/>
      <c r="C52" s="207" t="s">
        <v>119</v>
      </c>
      <c r="D52" s="203" t="s">
        <v>78</v>
      </c>
      <c r="E52" s="180">
        <v>0.1</v>
      </c>
      <c r="F52" s="192">
        <f>E52*F47</f>
        <v>0.504</v>
      </c>
      <c r="G52" s="49"/>
      <c r="H52" s="68"/>
      <c r="I52" s="68"/>
      <c r="J52" s="68"/>
      <c r="K52" s="68"/>
      <c r="L52" s="68"/>
      <c r="M52" s="678"/>
    </row>
    <row r="53" spans="1:13" ht="15" x14ac:dyDescent="0.2">
      <c r="A53" s="345"/>
      <c r="B53" s="672"/>
      <c r="C53" s="615" t="s">
        <v>113</v>
      </c>
      <c r="D53" s="674"/>
      <c r="E53" s="275"/>
      <c r="F53" s="275"/>
      <c r="G53" s="676"/>
      <c r="H53" s="19"/>
      <c r="I53" s="19"/>
      <c r="J53" s="19"/>
      <c r="K53" s="19"/>
      <c r="L53" s="19"/>
      <c r="M53" s="20"/>
    </row>
    <row r="54" spans="1:13" ht="30" x14ac:dyDescent="0.2">
      <c r="A54" s="135"/>
      <c r="B54" s="679"/>
      <c r="C54" s="121" t="s">
        <v>148</v>
      </c>
      <c r="D54" s="362" t="s">
        <v>757</v>
      </c>
      <c r="E54" s="39"/>
      <c r="F54" s="39"/>
      <c r="G54" s="40"/>
      <c r="H54" s="75"/>
      <c r="I54" s="75"/>
      <c r="J54" s="75"/>
      <c r="K54" s="75"/>
      <c r="L54" s="75"/>
      <c r="M54" s="41"/>
    </row>
    <row r="55" spans="1:13" ht="15" x14ac:dyDescent="0.2">
      <c r="A55" s="135"/>
      <c r="B55" s="679"/>
      <c r="C55" s="594" t="s">
        <v>24</v>
      </c>
      <c r="D55" s="362"/>
      <c r="E55" s="39"/>
      <c r="F55" s="39"/>
      <c r="G55" s="40"/>
      <c r="H55" s="75"/>
      <c r="I55" s="75"/>
      <c r="J55" s="75"/>
      <c r="K55" s="75"/>
      <c r="L55" s="75"/>
      <c r="M55" s="597"/>
    </row>
    <row r="56" spans="1:13" ht="15" x14ac:dyDescent="0.2">
      <c r="A56" s="135"/>
      <c r="B56" s="45"/>
      <c r="C56" s="21" t="s">
        <v>117</v>
      </c>
      <c r="D56" s="362" t="s">
        <v>757</v>
      </c>
      <c r="E56" s="61"/>
      <c r="F56" s="136"/>
      <c r="G56" s="75"/>
      <c r="H56" s="75"/>
      <c r="I56" s="40"/>
      <c r="J56" s="40"/>
      <c r="K56" s="40"/>
      <c r="L56" s="24"/>
      <c r="M56" s="25"/>
    </row>
    <row r="57" spans="1:13" ht="15" x14ac:dyDescent="0.2">
      <c r="A57" s="135"/>
      <c r="B57" s="45"/>
      <c r="C57" s="595" t="s">
        <v>24</v>
      </c>
      <c r="D57" s="362"/>
      <c r="E57" s="61"/>
      <c r="F57" s="136"/>
      <c r="G57" s="75"/>
      <c r="H57" s="75"/>
      <c r="I57" s="40"/>
      <c r="J57" s="40"/>
      <c r="K57" s="40"/>
      <c r="L57" s="40"/>
      <c r="M57" s="118"/>
    </row>
    <row r="58" spans="1:13" ht="15" x14ac:dyDescent="0.2">
      <c r="A58" s="135"/>
      <c r="B58" s="45"/>
      <c r="C58" s="21" t="s">
        <v>118</v>
      </c>
      <c r="D58" s="362" t="s">
        <v>757</v>
      </c>
      <c r="E58" s="61"/>
      <c r="F58" s="136"/>
      <c r="G58" s="75"/>
      <c r="H58" s="75"/>
      <c r="I58" s="40"/>
      <c r="J58" s="40"/>
      <c r="K58" s="40"/>
      <c r="L58" s="24"/>
      <c r="M58" s="25"/>
    </row>
    <row r="59" spans="1:13" s="873" customFormat="1" ht="15.75" thickBot="1" x14ac:dyDescent="0.25">
      <c r="A59" s="391"/>
      <c r="B59" s="825"/>
      <c r="C59" s="614" t="s">
        <v>344</v>
      </c>
      <c r="D59" s="392"/>
      <c r="E59" s="393"/>
      <c r="F59" s="394"/>
      <c r="G59" s="395"/>
      <c r="H59" s="395"/>
      <c r="I59" s="395"/>
      <c r="J59" s="395"/>
      <c r="K59" s="395"/>
      <c r="L59" s="396"/>
      <c r="M59" s="397"/>
    </row>
    <row r="60" spans="1:13" ht="15.75" thickBot="1" x14ac:dyDescent="0.25">
      <c r="A60" s="385"/>
      <c r="B60" s="826"/>
      <c r="C60" s="386" t="s">
        <v>721</v>
      </c>
      <c r="D60" s="387"/>
      <c r="E60" s="827"/>
      <c r="F60" s="388"/>
      <c r="G60" s="389"/>
      <c r="H60" s="389"/>
      <c r="I60" s="389"/>
      <c r="J60" s="389"/>
      <c r="K60" s="389"/>
      <c r="L60" s="389"/>
      <c r="M60" s="390"/>
    </row>
    <row r="61" spans="1:13" ht="15" x14ac:dyDescent="0.2">
      <c r="A61" s="1158">
        <v>1</v>
      </c>
      <c r="B61" s="1005" t="s">
        <v>691</v>
      </c>
      <c r="C61" s="263" t="s">
        <v>126</v>
      </c>
      <c r="D61" s="315" t="s">
        <v>127</v>
      </c>
      <c r="E61" s="315"/>
      <c r="F61" s="223">
        <f>F65+F66</f>
        <v>24</v>
      </c>
      <c r="G61" s="224"/>
      <c r="H61" s="224"/>
      <c r="I61" s="224"/>
      <c r="J61" s="224"/>
      <c r="K61" s="224"/>
      <c r="L61" s="224"/>
      <c r="M61" s="225"/>
    </row>
    <row r="62" spans="1:13" ht="15" x14ac:dyDescent="0.2">
      <c r="A62" s="1159"/>
      <c r="B62" s="828"/>
      <c r="C62" s="21" t="s">
        <v>63</v>
      </c>
      <c r="D62" s="116" t="s">
        <v>64</v>
      </c>
      <c r="E62" s="221">
        <f>95.9/1000</f>
        <v>9.5899999999999999E-2</v>
      </c>
      <c r="F62" s="226">
        <f>E62*F61</f>
        <v>2.3016000000000001</v>
      </c>
      <c r="G62" s="227"/>
      <c r="H62" s="227"/>
      <c r="I62" s="227"/>
      <c r="J62" s="227"/>
      <c r="K62" s="227"/>
      <c r="L62" s="227"/>
      <c r="M62" s="228"/>
    </row>
    <row r="63" spans="1:13" ht="15" x14ac:dyDescent="0.2">
      <c r="A63" s="1159"/>
      <c r="B63" s="828"/>
      <c r="C63" s="21" t="s">
        <v>82</v>
      </c>
      <c r="D63" s="116" t="s">
        <v>78</v>
      </c>
      <c r="E63" s="221">
        <f>45.2/1000</f>
        <v>4.5200000000000004E-2</v>
      </c>
      <c r="F63" s="226">
        <v>2.0999999999999999E-3</v>
      </c>
      <c r="G63" s="227"/>
      <c r="H63" s="227"/>
      <c r="I63" s="227"/>
      <c r="J63" s="227"/>
      <c r="K63" s="67"/>
      <c r="L63" s="227"/>
      <c r="M63" s="228"/>
    </row>
    <row r="64" spans="1:13" ht="15" x14ac:dyDescent="0.2">
      <c r="A64" s="1159"/>
      <c r="B64" s="828"/>
      <c r="C64" s="21" t="s">
        <v>79</v>
      </c>
      <c r="D64" s="116" t="s">
        <v>78</v>
      </c>
      <c r="E64" s="221">
        <f>0.6/1000</f>
        <v>5.9999999999999995E-4</v>
      </c>
      <c r="F64" s="226">
        <v>0.156</v>
      </c>
      <c r="G64" s="40"/>
      <c r="H64" s="227"/>
      <c r="I64" s="227"/>
      <c r="J64" s="227"/>
      <c r="K64" s="227"/>
      <c r="L64" s="227"/>
      <c r="M64" s="228"/>
    </row>
    <row r="65" spans="1:13" ht="15" x14ac:dyDescent="0.2">
      <c r="A65" s="1159"/>
      <c r="B65" s="828"/>
      <c r="C65" s="616" t="s">
        <v>128</v>
      </c>
      <c r="D65" s="221" t="s">
        <v>127</v>
      </c>
      <c r="E65" s="829" t="s">
        <v>72</v>
      </c>
      <c r="F65" s="584">
        <v>20</v>
      </c>
      <c r="G65" s="227"/>
      <c r="H65" s="227"/>
      <c r="I65" s="227"/>
      <c r="J65" s="227"/>
      <c r="K65" s="227"/>
      <c r="L65" s="227"/>
      <c r="M65" s="228"/>
    </row>
    <row r="66" spans="1:13" ht="15" x14ac:dyDescent="0.2">
      <c r="A66" s="1159"/>
      <c r="B66" s="828"/>
      <c r="C66" s="616" t="s">
        <v>129</v>
      </c>
      <c r="D66" s="221" t="s">
        <v>127</v>
      </c>
      <c r="E66" s="829" t="s">
        <v>72</v>
      </c>
      <c r="F66" s="584">
        <v>4</v>
      </c>
      <c r="G66" s="227"/>
      <c r="H66" s="227"/>
      <c r="I66" s="227"/>
      <c r="J66" s="227"/>
      <c r="K66" s="227"/>
      <c r="L66" s="227"/>
      <c r="M66" s="228"/>
    </row>
    <row r="67" spans="1:13" ht="15" x14ac:dyDescent="0.2">
      <c r="A67" s="1159"/>
      <c r="B67" s="828" t="s">
        <v>520</v>
      </c>
      <c r="C67" s="616" t="s">
        <v>130</v>
      </c>
      <c r="D67" s="221" t="s">
        <v>87</v>
      </c>
      <c r="E67" s="829" t="s">
        <v>72</v>
      </c>
      <c r="F67" s="617">
        <v>1</v>
      </c>
      <c r="G67" s="227"/>
      <c r="H67" s="227"/>
      <c r="I67" s="227"/>
      <c r="J67" s="227"/>
      <c r="K67" s="227"/>
      <c r="L67" s="227"/>
      <c r="M67" s="228"/>
    </row>
    <row r="68" spans="1:13" ht="15" x14ac:dyDescent="0.2">
      <c r="A68" s="1159"/>
      <c r="B68" s="830" t="s">
        <v>521</v>
      </c>
      <c r="C68" s="616" t="s">
        <v>131</v>
      </c>
      <c r="D68" s="221" t="s">
        <v>87</v>
      </c>
      <c r="E68" s="829" t="s">
        <v>72</v>
      </c>
      <c r="F68" s="617">
        <v>1</v>
      </c>
      <c r="G68" s="227"/>
      <c r="H68" s="227"/>
      <c r="I68" s="227"/>
      <c r="J68" s="227"/>
      <c r="K68" s="227"/>
      <c r="L68" s="227"/>
      <c r="M68" s="228"/>
    </row>
    <row r="69" spans="1:13" ht="15" x14ac:dyDescent="0.2">
      <c r="A69" s="1159"/>
      <c r="B69" s="828" t="s">
        <v>524</v>
      </c>
      <c r="C69" s="616" t="s">
        <v>132</v>
      </c>
      <c r="D69" s="221" t="s">
        <v>87</v>
      </c>
      <c r="E69" s="829" t="s">
        <v>72</v>
      </c>
      <c r="F69" s="584">
        <v>1</v>
      </c>
      <c r="G69" s="227"/>
      <c r="H69" s="227"/>
      <c r="I69" s="227"/>
      <c r="J69" s="227"/>
      <c r="K69" s="227"/>
      <c r="L69" s="227"/>
      <c r="M69" s="228"/>
    </row>
    <row r="70" spans="1:13" ht="15" x14ac:dyDescent="0.2">
      <c r="A70" s="1159"/>
      <c r="B70" s="828" t="s">
        <v>516</v>
      </c>
      <c r="C70" s="616" t="s">
        <v>133</v>
      </c>
      <c r="D70" s="221" t="s">
        <v>87</v>
      </c>
      <c r="E70" s="829" t="s">
        <v>72</v>
      </c>
      <c r="F70" s="584">
        <v>1</v>
      </c>
      <c r="G70" s="227"/>
      <c r="H70" s="227"/>
      <c r="I70" s="227"/>
      <c r="J70" s="227"/>
      <c r="K70" s="227"/>
      <c r="L70" s="227"/>
      <c r="M70" s="228"/>
    </row>
    <row r="71" spans="1:13" ht="15" x14ac:dyDescent="0.2">
      <c r="A71" s="1159"/>
      <c r="B71" s="828" t="s">
        <v>517</v>
      </c>
      <c r="C71" s="616" t="s">
        <v>134</v>
      </c>
      <c r="D71" s="221" t="s">
        <v>87</v>
      </c>
      <c r="E71" s="829" t="s">
        <v>72</v>
      </c>
      <c r="F71" s="584">
        <v>1</v>
      </c>
      <c r="G71" s="227"/>
      <c r="H71" s="227"/>
      <c r="I71" s="227"/>
      <c r="J71" s="227"/>
      <c r="K71" s="227"/>
      <c r="L71" s="227"/>
      <c r="M71" s="228"/>
    </row>
    <row r="72" spans="1:13" ht="15.75" thickBot="1" x14ac:dyDescent="0.25">
      <c r="A72" s="1160"/>
      <c r="B72" s="831" t="s">
        <v>518</v>
      </c>
      <c r="C72" s="587" t="s">
        <v>135</v>
      </c>
      <c r="D72" s="316" t="s">
        <v>87</v>
      </c>
      <c r="E72" s="832" t="s">
        <v>72</v>
      </c>
      <c r="F72" s="618">
        <v>1</v>
      </c>
      <c r="G72" s="231"/>
      <c r="H72" s="231"/>
      <c r="I72" s="231"/>
      <c r="J72" s="231"/>
      <c r="K72" s="231"/>
      <c r="L72" s="231"/>
      <c r="M72" s="232"/>
    </row>
    <row r="73" spans="1:13" ht="30" x14ac:dyDescent="0.2">
      <c r="A73" s="1158">
        <v>2</v>
      </c>
      <c r="B73" s="1005" t="s">
        <v>691</v>
      </c>
      <c r="C73" s="655" t="s">
        <v>692</v>
      </c>
      <c r="D73" s="315" t="s">
        <v>127</v>
      </c>
      <c r="E73" s="315"/>
      <c r="F73" s="224">
        <f>F77</f>
        <v>2.2999999999999998</v>
      </c>
      <c r="G73" s="224"/>
      <c r="H73" s="224"/>
      <c r="I73" s="224"/>
      <c r="J73" s="224"/>
      <c r="K73" s="224"/>
      <c r="L73" s="224"/>
      <c r="M73" s="225"/>
    </row>
    <row r="74" spans="1:13" ht="15" x14ac:dyDescent="0.2">
      <c r="A74" s="1159"/>
      <c r="B74" s="828"/>
      <c r="C74" s="21" t="s">
        <v>63</v>
      </c>
      <c r="D74" s="116" t="s">
        <v>64</v>
      </c>
      <c r="E74" s="221">
        <f>95.9/1000</f>
        <v>9.5899999999999999E-2</v>
      </c>
      <c r="F74" s="226">
        <f>E74*F73</f>
        <v>0.22056999999999999</v>
      </c>
      <c r="G74" s="227"/>
      <c r="H74" s="247"/>
      <c r="I74" s="227"/>
      <c r="J74" s="247"/>
      <c r="K74" s="227"/>
      <c r="L74" s="247"/>
      <c r="M74" s="228"/>
    </row>
    <row r="75" spans="1:13" ht="15" x14ac:dyDescent="0.2">
      <c r="A75" s="1159"/>
      <c r="B75" s="828"/>
      <c r="C75" s="21" t="s">
        <v>82</v>
      </c>
      <c r="D75" s="116" t="s">
        <v>78</v>
      </c>
      <c r="E75" s="221">
        <f>45.2/1000</f>
        <v>4.5200000000000004E-2</v>
      </c>
      <c r="F75" s="226">
        <f>E75*F73</f>
        <v>0.10396</v>
      </c>
      <c r="G75" s="227"/>
      <c r="H75" s="247"/>
      <c r="I75" s="227"/>
      <c r="J75" s="247"/>
      <c r="K75" s="67"/>
      <c r="L75" s="247"/>
      <c r="M75" s="228"/>
    </row>
    <row r="76" spans="1:13" ht="15" x14ac:dyDescent="0.2">
      <c r="A76" s="1159"/>
      <c r="B76" s="828"/>
      <c r="C76" s="21" t="s">
        <v>79</v>
      </c>
      <c r="D76" s="116" t="s">
        <v>78</v>
      </c>
      <c r="E76" s="221">
        <f>0.6/1000</f>
        <v>5.9999999999999995E-4</v>
      </c>
      <c r="F76" s="226">
        <f>E76*F73</f>
        <v>1.3799999999999997E-3</v>
      </c>
      <c r="G76" s="40"/>
      <c r="H76" s="227"/>
      <c r="I76" s="227"/>
      <c r="J76" s="247"/>
      <c r="K76" s="227"/>
      <c r="L76" s="247"/>
      <c r="M76" s="228"/>
    </row>
    <row r="77" spans="1:13" ht="30" x14ac:dyDescent="0.2">
      <c r="A77" s="1159"/>
      <c r="B77" s="828"/>
      <c r="C77" s="212" t="s">
        <v>137</v>
      </c>
      <c r="D77" s="221" t="s">
        <v>127</v>
      </c>
      <c r="E77" s="833" t="s">
        <v>72</v>
      </c>
      <c r="F77" s="227">
        <v>2.2999999999999998</v>
      </c>
      <c r="G77" s="227"/>
      <c r="H77" s="247"/>
      <c r="I77" s="227"/>
      <c r="J77" s="247"/>
      <c r="K77" s="227"/>
      <c r="L77" s="247"/>
      <c r="M77" s="228"/>
    </row>
    <row r="78" spans="1:13" ht="15" x14ac:dyDescent="0.2">
      <c r="A78" s="1159"/>
      <c r="B78" s="830" t="s">
        <v>526</v>
      </c>
      <c r="C78" s="212" t="s">
        <v>139</v>
      </c>
      <c r="D78" s="221" t="s">
        <v>87</v>
      </c>
      <c r="E78" s="833" t="s">
        <v>72</v>
      </c>
      <c r="F78" s="617">
        <v>1</v>
      </c>
      <c r="G78" s="227"/>
      <c r="H78" s="247"/>
      <c r="I78" s="227"/>
      <c r="J78" s="247"/>
      <c r="K78" s="227"/>
      <c r="L78" s="247"/>
      <c r="M78" s="228"/>
    </row>
    <row r="79" spans="1:13" ht="15" x14ac:dyDescent="0.2">
      <c r="A79" s="1159"/>
      <c r="B79" s="830" t="s">
        <v>523</v>
      </c>
      <c r="C79" s="212" t="s">
        <v>142</v>
      </c>
      <c r="D79" s="221" t="s">
        <v>87</v>
      </c>
      <c r="E79" s="833" t="s">
        <v>72</v>
      </c>
      <c r="F79" s="617">
        <v>4</v>
      </c>
      <c r="G79" s="227"/>
      <c r="H79" s="247"/>
      <c r="I79" s="227"/>
      <c r="J79" s="247"/>
      <c r="K79" s="227"/>
      <c r="L79" s="247"/>
      <c r="M79" s="228"/>
    </row>
    <row r="80" spans="1:13" ht="15.75" thickBot="1" x14ac:dyDescent="0.25">
      <c r="A80" s="1159"/>
      <c r="B80" s="830" t="s">
        <v>526</v>
      </c>
      <c r="C80" s="212" t="s">
        <v>144</v>
      </c>
      <c r="D80" s="221" t="s">
        <v>87</v>
      </c>
      <c r="E80" s="833" t="s">
        <v>72</v>
      </c>
      <c r="F80" s="617">
        <v>3</v>
      </c>
      <c r="G80" s="227"/>
      <c r="H80" s="247"/>
      <c r="I80" s="227"/>
      <c r="J80" s="247"/>
      <c r="K80" s="227"/>
      <c r="L80" s="247"/>
      <c r="M80" s="228"/>
    </row>
    <row r="81" spans="1:13" ht="30" x14ac:dyDescent="0.2">
      <c r="A81" s="1163">
        <v>3</v>
      </c>
      <c r="B81" s="1006" t="s">
        <v>694</v>
      </c>
      <c r="C81" s="655" t="s">
        <v>693</v>
      </c>
      <c r="D81" s="315" t="s">
        <v>127</v>
      </c>
      <c r="E81" s="315"/>
      <c r="F81" s="224">
        <v>7.8</v>
      </c>
      <c r="G81" s="224"/>
      <c r="H81" s="224"/>
      <c r="I81" s="224"/>
      <c r="J81" s="224"/>
      <c r="K81" s="224"/>
      <c r="L81" s="224"/>
      <c r="M81" s="225"/>
    </row>
    <row r="82" spans="1:13" ht="15" x14ac:dyDescent="0.2">
      <c r="A82" s="1164"/>
      <c r="B82" s="828"/>
      <c r="C82" s="21" t="s">
        <v>63</v>
      </c>
      <c r="D82" s="116" t="s">
        <v>64</v>
      </c>
      <c r="E82" s="23">
        <f>119/1000</f>
        <v>0.11899999999999999</v>
      </c>
      <c r="F82" s="226">
        <f>F81*E82</f>
        <v>0.92819999999999991</v>
      </c>
      <c r="G82" s="227"/>
      <c r="H82" s="247"/>
      <c r="I82" s="227"/>
      <c r="J82" s="247"/>
      <c r="K82" s="227"/>
      <c r="L82" s="247"/>
      <c r="M82" s="228"/>
    </row>
    <row r="83" spans="1:13" ht="15" x14ac:dyDescent="0.2">
      <c r="A83" s="1164"/>
      <c r="B83" s="828"/>
      <c r="C83" s="21" t="s">
        <v>82</v>
      </c>
      <c r="D83" s="116" t="s">
        <v>78</v>
      </c>
      <c r="E83" s="839">
        <f>67.5/1000</f>
        <v>6.7500000000000004E-2</v>
      </c>
      <c r="F83" s="226">
        <f>F81*E83</f>
        <v>0.52649999999999997</v>
      </c>
      <c r="G83" s="227"/>
      <c r="H83" s="247"/>
      <c r="I83" s="227"/>
      <c r="J83" s="247"/>
      <c r="K83" s="67"/>
      <c r="L83" s="247"/>
      <c r="M83" s="228"/>
    </row>
    <row r="84" spans="1:13" ht="15.75" thickBot="1" x14ac:dyDescent="0.25">
      <c r="A84" s="1165"/>
      <c r="B84" s="834"/>
      <c r="C84" s="219" t="s">
        <v>79</v>
      </c>
      <c r="D84" s="656" t="s">
        <v>78</v>
      </c>
      <c r="E84" s="220">
        <f>2.16/1000</f>
        <v>2.16E-3</v>
      </c>
      <c r="F84" s="1007">
        <f>F81*E84</f>
        <v>1.6847999999999998E-2</v>
      </c>
      <c r="G84" s="49"/>
      <c r="H84" s="229"/>
      <c r="I84" s="229"/>
      <c r="J84" s="253"/>
      <c r="K84" s="229"/>
      <c r="L84" s="253"/>
      <c r="M84" s="230"/>
    </row>
    <row r="85" spans="1:13" ht="30" x14ac:dyDescent="0.2">
      <c r="A85" s="1163">
        <v>4</v>
      </c>
      <c r="B85" s="835"/>
      <c r="C85" s="836" t="s">
        <v>136</v>
      </c>
      <c r="D85" s="657" t="s">
        <v>127</v>
      </c>
      <c r="E85" s="837" t="s">
        <v>72</v>
      </c>
      <c r="F85" s="224">
        <v>7.8</v>
      </c>
      <c r="G85" s="658"/>
      <c r="H85" s="659"/>
      <c r="I85" s="658"/>
      <c r="J85" s="659"/>
      <c r="K85" s="658"/>
      <c r="L85" s="659"/>
      <c r="M85" s="660"/>
    </row>
    <row r="86" spans="1:13" ht="15" x14ac:dyDescent="0.2">
      <c r="A86" s="1164"/>
      <c r="B86" s="830" t="s">
        <v>525</v>
      </c>
      <c r="C86" s="212" t="s">
        <v>138</v>
      </c>
      <c r="D86" s="221" t="s">
        <v>87</v>
      </c>
      <c r="E86" s="833" t="s">
        <v>72</v>
      </c>
      <c r="F86" s="227">
        <v>1</v>
      </c>
      <c r="G86" s="227"/>
      <c r="H86" s="247"/>
      <c r="I86" s="227"/>
      <c r="J86" s="247"/>
      <c r="K86" s="227"/>
      <c r="L86" s="247"/>
      <c r="M86" s="228"/>
    </row>
    <row r="87" spans="1:13" ht="15" x14ac:dyDescent="0.2">
      <c r="A87" s="1164"/>
      <c r="B87" s="828" t="s">
        <v>525</v>
      </c>
      <c r="C87" s="212" t="s">
        <v>140</v>
      </c>
      <c r="D87" s="221" t="s">
        <v>87</v>
      </c>
      <c r="E87" s="833" t="s">
        <v>72</v>
      </c>
      <c r="F87" s="227">
        <v>1</v>
      </c>
      <c r="G87" s="227"/>
      <c r="H87" s="247"/>
      <c r="I87" s="227"/>
      <c r="J87" s="247"/>
      <c r="K87" s="227"/>
      <c r="L87" s="247"/>
      <c r="M87" s="228"/>
    </row>
    <row r="88" spans="1:13" ht="15" x14ac:dyDescent="0.2">
      <c r="A88" s="1164"/>
      <c r="B88" s="828" t="s">
        <v>522</v>
      </c>
      <c r="C88" s="212" t="s">
        <v>141</v>
      </c>
      <c r="D88" s="221" t="s">
        <v>87</v>
      </c>
      <c r="E88" s="833" t="s">
        <v>72</v>
      </c>
      <c r="F88" s="227">
        <v>2</v>
      </c>
      <c r="G88" s="227"/>
      <c r="H88" s="247"/>
      <c r="I88" s="227"/>
      <c r="J88" s="247"/>
      <c r="K88" s="227"/>
      <c r="L88" s="247"/>
      <c r="M88" s="228"/>
    </row>
    <row r="89" spans="1:13" ht="15" x14ac:dyDescent="0.2">
      <c r="A89" s="1164"/>
      <c r="B89" s="828" t="s">
        <v>525</v>
      </c>
      <c r="C89" s="212" t="s">
        <v>143</v>
      </c>
      <c r="D89" s="221" t="s">
        <v>87</v>
      </c>
      <c r="E89" s="833" t="s">
        <v>72</v>
      </c>
      <c r="F89" s="227">
        <v>1</v>
      </c>
      <c r="G89" s="227"/>
      <c r="H89" s="247"/>
      <c r="I89" s="227"/>
      <c r="J89" s="247"/>
      <c r="K89" s="227"/>
      <c r="L89" s="247"/>
      <c r="M89" s="228"/>
    </row>
    <row r="90" spans="1:13" ht="15.75" thickBot="1" x14ac:dyDescent="0.25">
      <c r="A90" s="1165"/>
      <c r="B90" s="834" t="s">
        <v>519</v>
      </c>
      <c r="C90" s="26" t="s">
        <v>145</v>
      </c>
      <c r="D90" s="222" t="s">
        <v>87</v>
      </c>
      <c r="E90" s="838" t="s">
        <v>72</v>
      </c>
      <c r="F90" s="229">
        <v>1</v>
      </c>
      <c r="G90" s="229"/>
      <c r="H90" s="253"/>
      <c r="I90" s="229"/>
      <c r="J90" s="253"/>
      <c r="K90" s="229"/>
      <c r="L90" s="253"/>
      <c r="M90" s="230"/>
    </row>
    <row r="91" spans="1:13" ht="15.75" thickBot="1" x14ac:dyDescent="0.25">
      <c r="A91" s="1163">
        <v>5</v>
      </c>
      <c r="B91" s="1006" t="s">
        <v>695</v>
      </c>
      <c r="C91" s="655" t="s">
        <v>697</v>
      </c>
      <c r="D91" s="315" t="s">
        <v>87</v>
      </c>
      <c r="E91" s="315"/>
      <c r="F91" s="224">
        <v>1</v>
      </c>
      <c r="G91" s="224"/>
      <c r="H91" s="224"/>
      <c r="I91" s="224"/>
      <c r="J91" s="224"/>
      <c r="K91" s="224"/>
      <c r="L91" s="224"/>
      <c r="M91" s="225"/>
    </row>
    <row r="92" spans="1:13" ht="15" x14ac:dyDescent="0.2">
      <c r="A92" s="1164"/>
      <c r="B92" s="828" t="s">
        <v>723</v>
      </c>
      <c r="C92" s="21" t="s">
        <v>63</v>
      </c>
      <c r="D92" s="657" t="s">
        <v>87</v>
      </c>
      <c r="E92" s="23">
        <v>1</v>
      </c>
      <c r="F92" s="226">
        <f>F91*E92</f>
        <v>1</v>
      </c>
      <c r="G92" s="227"/>
      <c r="H92" s="247"/>
      <c r="I92" s="227"/>
      <c r="J92" s="247"/>
      <c r="K92" s="227"/>
      <c r="L92" s="247"/>
      <c r="M92" s="228"/>
    </row>
    <row r="93" spans="1:13" ht="15" x14ac:dyDescent="0.2">
      <c r="A93" s="1164"/>
      <c r="B93" s="828"/>
      <c r="C93" s="21" t="s">
        <v>82</v>
      </c>
      <c r="D93" s="116" t="s">
        <v>78</v>
      </c>
      <c r="E93" s="839">
        <v>0.02</v>
      </c>
      <c r="F93" s="226">
        <f>F91*E93</f>
        <v>0.02</v>
      </c>
      <c r="G93" s="227"/>
      <c r="H93" s="247"/>
      <c r="I93" s="227"/>
      <c r="J93" s="247"/>
      <c r="K93" s="67"/>
      <c r="L93" s="247"/>
      <c r="M93" s="228"/>
    </row>
    <row r="94" spans="1:13" ht="15.75" thickBot="1" x14ac:dyDescent="0.25">
      <c r="A94" s="1164"/>
      <c r="B94" s="828"/>
      <c r="C94" s="21" t="s">
        <v>79</v>
      </c>
      <c r="D94" s="116" t="s">
        <v>78</v>
      </c>
      <c r="E94" s="840">
        <v>0.11</v>
      </c>
      <c r="F94" s="1007">
        <f>F91*E94</f>
        <v>0.11</v>
      </c>
      <c r="G94" s="40"/>
      <c r="H94" s="227"/>
      <c r="I94" s="227"/>
      <c r="J94" s="247"/>
      <c r="K94" s="227"/>
      <c r="L94" s="247"/>
      <c r="M94" s="228"/>
    </row>
    <row r="95" spans="1:13" ht="15.75" thickBot="1" x14ac:dyDescent="0.25">
      <c r="A95" s="1165"/>
      <c r="B95" s="834" t="s">
        <v>528</v>
      </c>
      <c r="C95" s="662" t="s">
        <v>527</v>
      </c>
      <c r="D95" s="222" t="s">
        <v>87</v>
      </c>
      <c r="E95" s="838" t="s">
        <v>72</v>
      </c>
      <c r="F95" s="229">
        <v>1</v>
      </c>
      <c r="G95" s="229"/>
      <c r="H95" s="253"/>
      <c r="I95" s="229"/>
      <c r="J95" s="253"/>
      <c r="K95" s="229"/>
      <c r="L95" s="253"/>
      <c r="M95" s="230"/>
    </row>
    <row r="96" spans="1:13" ht="15.75" thickBot="1" x14ac:dyDescent="0.25">
      <c r="A96" s="1163">
        <v>6</v>
      </c>
      <c r="B96" s="1006" t="s">
        <v>699</v>
      </c>
      <c r="C96" s="655" t="s">
        <v>696</v>
      </c>
      <c r="D96" s="315" t="s">
        <v>87</v>
      </c>
      <c r="E96" s="315"/>
      <c r="F96" s="224">
        <f>F100+F101</f>
        <v>2</v>
      </c>
      <c r="G96" s="224"/>
      <c r="H96" s="224"/>
      <c r="I96" s="224"/>
      <c r="J96" s="224"/>
      <c r="K96" s="224"/>
      <c r="L96" s="224"/>
      <c r="M96" s="225"/>
    </row>
    <row r="97" spans="1:13" ht="15" x14ac:dyDescent="0.2">
      <c r="A97" s="1164"/>
      <c r="B97" s="828" t="s">
        <v>723</v>
      </c>
      <c r="C97" s="21" t="s">
        <v>63</v>
      </c>
      <c r="D97" s="657" t="s">
        <v>87</v>
      </c>
      <c r="E97" s="23">
        <v>1</v>
      </c>
      <c r="F97" s="226">
        <f>F96*E97</f>
        <v>2</v>
      </c>
      <c r="G97" s="227"/>
      <c r="H97" s="247"/>
      <c r="I97" s="227"/>
      <c r="J97" s="247"/>
      <c r="K97" s="227"/>
      <c r="L97" s="247"/>
      <c r="M97" s="228"/>
    </row>
    <row r="98" spans="1:13" ht="15" x14ac:dyDescent="0.2">
      <c r="A98" s="1164"/>
      <c r="B98" s="828"/>
      <c r="C98" s="21" t="s">
        <v>82</v>
      </c>
      <c r="D98" s="116" t="s">
        <v>78</v>
      </c>
      <c r="E98" s="839">
        <v>0.03</v>
      </c>
      <c r="F98" s="226">
        <f>F96*E98</f>
        <v>0.06</v>
      </c>
      <c r="G98" s="227"/>
      <c r="H98" s="247"/>
      <c r="I98" s="227"/>
      <c r="J98" s="247"/>
      <c r="K98" s="67"/>
      <c r="L98" s="247"/>
      <c r="M98" s="228"/>
    </row>
    <row r="99" spans="1:13" ht="15.75" thickBot="1" x14ac:dyDescent="0.25">
      <c r="A99" s="1164"/>
      <c r="B99" s="828"/>
      <c r="C99" s="21" t="s">
        <v>79</v>
      </c>
      <c r="D99" s="116" t="s">
        <v>78</v>
      </c>
      <c r="E99" s="840">
        <v>0.18</v>
      </c>
      <c r="F99" s="1007">
        <f>F96*E99</f>
        <v>0.36</v>
      </c>
      <c r="G99" s="40"/>
      <c r="H99" s="227"/>
      <c r="I99" s="227"/>
      <c r="J99" s="247"/>
      <c r="K99" s="227"/>
      <c r="L99" s="247"/>
      <c r="M99" s="228"/>
    </row>
    <row r="100" spans="1:13" ht="15" x14ac:dyDescent="0.2">
      <c r="A100" s="1164"/>
      <c r="B100" s="831" t="s">
        <v>529</v>
      </c>
      <c r="C100" s="661" t="s">
        <v>698</v>
      </c>
      <c r="D100" s="221" t="s">
        <v>87</v>
      </c>
      <c r="E100" s="833" t="s">
        <v>72</v>
      </c>
      <c r="F100" s="227">
        <v>1</v>
      </c>
      <c r="G100" s="227"/>
      <c r="H100" s="247"/>
      <c r="I100" s="227"/>
      <c r="J100" s="247"/>
      <c r="K100" s="227"/>
      <c r="L100" s="247"/>
      <c r="M100" s="228"/>
    </row>
    <row r="101" spans="1:13" ht="15.75" thickBot="1" x14ac:dyDescent="0.25">
      <c r="A101" s="1165"/>
      <c r="B101" s="834"/>
      <c r="C101" s="26" t="s">
        <v>146</v>
      </c>
      <c r="D101" s="222" t="s">
        <v>87</v>
      </c>
      <c r="E101" s="838" t="s">
        <v>72</v>
      </c>
      <c r="F101" s="229">
        <v>1</v>
      </c>
      <c r="G101" s="229"/>
      <c r="H101" s="253"/>
      <c r="I101" s="229"/>
      <c r="J101" s="253"/>
      <c r="K101" s="229"/>
      <c r="L101" s="253"/>
      <c r="M101" s="230"/>
    </row>
    <row r="102" spans="1:13" ht="30.75" thickBot="1" x14ac:dyDescent="0.35">
      <c r="A102" s="841">
        <v>7</v>
      </c>
      <c r="B102" s="1008" t="s">
        <v>722</v>
      </c>
      <c r="C102" s="1009" t="s">
        <v>365</v>
      </c>
      <c r="D102" s="1010" t="s">
        <v>120</v>
      </c>
      <c r="E102" s="1008"/>
      <c r="F102" s="1011">
        <v>1</v>
      </c>
      <c r="G102" s="1012"/>
      <c r="H102" s="1012"/>
      <c r="I102" s="1012"/>
      <c r="J102" s="1012"/>
      <c r="K102" s="1012"/>
      <c r="L102" s="1012"/>
      <c r="M102" s="1013"/>
    </row>
    <row r="103" spans="1:13" ht="15.75" thickBot="1" x14ac:dyDescent="0.25">
      <c r="A103" s="682"/>
      <c r="B103" s="842"/>
      <c r="C103" s="611" t="s">
        <v>113</v>
      </c>
      <c r="D103" s="88"/>
      <c r="E103" s="101"/>
      <c r="F103" s="101"/>
      <c r="G103" s="88"/>
      <c r="H103" s="89"/>
      <c r="I103" s="89"/>
      <c r="J103" s="89"/>
      <c r="K103" s="89"/>
      <c r="L103" s="89"/>
      <c r="M103" s="89"/>
    </row>
    <row r="104" spans="1:13" ht="15" x14ac:dyDescent="0.2">
      <c r="A104" s="144"/>
      <c r="B104" s="78"/>
      <c r="C104" s="51" t="s">
        <v>422</v>
      </c>
      <c r="D104" s="146"/>
      <c r="E104" s="147"/>
      <c r="F104" s="147"/>
      <c r="G104" s="146"/>
      <c r="H104" s="148"/>
      <c r="I104" s="148"/>
      <c r="J104" s="148"/>
      <c r="K104" s="148"/>
      <c r="L104" s="148"/>
      <c r="M104" s="1014"/>
    </row>
    <row r="105" spans="1:13" ht="30" x14ac:dyDescent="0.3">
      <c r="A105" s="328"/>
      <c r="B105" s="1015"/>
      <c r="C105" s="22" t="s">
        <v>116</v>
      </c>
      <c r="D105" s="325" t="s">
        <v>757</v>
      </c>
      <c r="E105" s="843"/>
      <c r="F105" s="122"/>
      <c r="G105" s="24"/>
      <c r="H105" s="24"/>
      <c r="I105" s="24"/>
      <c r="J105" s="24"/>
      <c r="K105" s="24"/>
      <c r="L105" s="24"/>
      <c r="M105" s="25"/>
    </row>
    <row r="106" spans="1:13" ht="15" x14ac:dyDescent="0.3">
      <c r="A106" s="328"/>
      <c r="B106" s="1015"/>
      <c r="C106" s="595" t="s">
        <v>24</v>
      </c>
      <c r="D106" s="325"/>
      <c r="E106" s="843"/>
      <c r="F106" s="122"/>
      <c r="G106" s="24"/>
      <c r="H106" s="24"/>
      <c r="I106" s="24"/>
      <c r="J106" s="24"/>
      <c r="K106" s="24"/>
      <c r="L106" s="24"/>
      <c r="M106" s="118"/>
    </row>
    <row r="107" spans="1:13" ht="15" x14ac:dyDescent="0.2">
      <c r="A107" s="328"/>
      <c r="B107" s="45"/>
      <c r="C107" s="122" t="s">
        <v>117</v>
      </c>
      <c r="D107" s="325" t="s">
        <v>757</v>
      </c>
      <c r="E107" s="122"/>
      <c r="F107" s="122"/>
      <c r="G107" s="24"/>
      <c r="H107" s="24"/>
      <c r="I107" s="24"/>
      <c r="J107" s="24"/>
      <c r="K107" s="24"/>
      <c r="L107" s="24"/>
      <c r="M107" s="25"/>
    </row>
    <row r="108" spans="1:13" ht="15" x14ac:dyDescent="0.2">
      <c r="A108" s="680"/>
      <c r="B108" s="45"/>
      <c r="C108" s="613" t="s">
        <v>24</v>
      </c>
      <c r="D108" s="325"/>
      <c r="E108" s="122"/>
      <c r="F108" s="122"/>
      <c r="G108" s="24"/>
      <c r="H108" s="24"/>
      <c r="I108" s="24"/>
      <c r="J108" s="24"/>
      <c r="K108" s="24"/>
      <c r="L108" s="24"/>
      <c r="M108" s="25"/>
    </row>
    <row r="109" spans="1:13" ht="15" x14ac:dyDescent="0.2">
      <c r="A109" s="680"/>
      <c r="B109" s="45"/>
      <c r="C109" s="122" t="s">
        <v>118</v>
      </c>
      <c r="D109" s="325" t="s">
        <v>757</v>
      </c>
      <c r="E109" s="122"/>
      <c r="F109" s="122"/>
      <c r="G109" s="24"/>
      <c r="H109" s="24"/>
      <c r="I109" s="24"/>
      <c r="J109" s="24"/>
      <c r="K109" s="24"/>
      <c r="L109" s="24"/>
      <c r="M109" s="25"/>
    </row>
    <row r="110" spans="1:13" s="873" customFormat="1" ht="15" x14ac:dyDescent="0.2">
      <c r="A110" s="1016"/>
      <c r="B110" s="361"/>
      <c r="C110" s="612" t="s">
        <v>153</v>
      </c>
      <c r="D110" s="333"/>
      <c r="E110" s="398"/>
      <c r="F110" s="334"/>
      <c r="G110" s="669"/>
      <c r="H110" s="669"/>
      <c r="I110" s="669"/>
      <c r="J110" s="669"/>
      <c r="K110" s="669"/>
      <c r="L110" s="669"/>
      <c r="M110" s="118"/>
    </row>
    <row r="111" spans="1:13" ht="15" x14ac:dyDescent="0.3">
      <c r="A111" s="1017"/>
      <c r="B111" s="1018"/>
      <c r="C111" s="1019" t="s">
        <v>366</v>
      </c>
      <c r="D111" s="1020"/>
      <c r="E111" s="1020"/>
      <c r="F111" s="1020"/>
      <c r="G111" s="1020"/>
      <c r="H111" s="1020"/>
      <c r="I111" s="1020"/>
      <c r="J111" s="1020"/>
      <c r="K111" s="1020"/>
      <c r="L111" s="1020"/>
      <c r="M111" s="1021"/>
    </row>
    <row r="112" spans="1:13" ht="15" x14ac:dyDescent="0.3">
      <c r="C112" s="979"/>
    </row>
  </sheetData>
  <sheetProtection password="CF7A" sheet="1" objects="1" scenarios="1"/>
  <protectedRanges>
    <protectedRange sqref="D103:F111" name="Range3"/>
    <protectedRange sqref="G8:M111" name="Range1"/>
    <protectedRange sqref="D53:F58" name="Range2"/>
  </protectedRanges>
  <autoFilter ref="A7:M107"/>
  <mergeCells count="26">
    <mergeCell ref="A96:A101"/>
    <mergeCell ref="A73:A80"/>
    <mergeCell ref="A81:A84"/>
    <mergeCell ref="A85:A90"/>
    <mergeCell ref="A91:A95"/>
    <mergeCell ref="A23:A28"/>
    <mergeCell ref="A61:A72"/>
    <mergeCell ref="A41:A46"/>
    <mergeCell ref="A29:A34"/>
    <mergeCell ref="A35:A40"/>
    <mergeCell ref="A47:A52"/>
    <mergeCell ref="A9:A16"/>
    <mergeCell ref="A17:A22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K5:L5"/>
    <mergeCell ref="M5:M6"/>
    <mergeCell ref="I5:J5"/>
  </mergeCells>
  <conditionalFormatting sqref="B17 B67:F72 B77:F79 C81:F81 B82:F88">
    <cfRule type="cellIs" dxfId="265" priority="52" stopIfTrue="1" operator="equal">
      <formula>8223.307275</formula>
    </cfRule>
  </conditionalFormatting>
  <conditionalFormatting sqref="B65:F66">
    <cfRule type="cellIs" dxfId="264" priority="45" stopIfTrue="1" operator="equal">
      <formula>8223.307275</formula>
    </cfRule>
  </conditionalFormatting>
  <conditionalFormatting sqref="B61:F64">
    <cfRule type="cellIs" dxfId="263" priority="46" stopIfTrue="1" operator="equal">
      <formula>8223.307275</formula>
    </cfRule>
  </conditionalFormatting>
  <conditionalFormatting sqref="B14">
    <cfRule type="cellIs" dxfId="262" priority="43" stopIfTrue="1" operator="equal">
      <formula>8223.307275</formula>
    </cfRule>
  </conditionalFormatting>
  <conditionalFormatting sqref="F42:F46 C41:F41">
    <cfRule type="cellIs" dxfId="261" priority="42" stopIfTrue="1" operator="equal">
      <formula>8223.307275</formula>
    </cfRule>
  </conditionalFormatting>
  <conditionalFormatting sqref="F51:F52">
    <cfRule type="cellIs" dxfId="260" priority="38" stopIfTrue="1" operator="equal">
      <formula>8223.307275</formula>
    </cfRule>
  </conditionalFormatting>
  <conditionalFormatting sqref="F48:F50">
    <cfRule type="cellIs" dxfId="259" priority="36" stopIfTrue="1" operator="equal">
      <formula>8223.307275</formula>
    </cfRule>
  </conditionalFormatting>
  <conditionalFormatting sqref="C47:F47">
    <cfRule type="cellIs" dxfId="258" priority="37" stopIfTrue="1" operator="equal">
      <formula>8223.307275</formula>
    </cfRule>
  </conditionalFormatting>
  <conditionalFormatting sqref="C51:E52">
    <cfRule type="cellIs" dxfId="257" priority="18" stopIfTrue="1" operator="equal">
      <formula>8223.307275</formula>
    </cfRule>
  </conditionalFormatting>
  <conditionalFormatting sqref="E42:E43">
    <cfRule type="cellIs" dxfId="256" priority="26" stopIfTrue="1" operator="equal">
      <formula>8223.307275</formula>
    </cfRule>
  </conditionalFormatting>
  <conditionalFormatting sqref="D50:E50">
    <cfRule type="cellIs" dxfId="255" priority="16" stopIfTrue="1" operator="equal">
      <formula>8223.307275</formula>
    </cfRule>
  </conditionalFormatting>
  <conditionalFormatting sqref="E74:E76">
    <cfRule type="cellIs" dxfId="254" priority="12" stopIfTrue="1" operator="equal">
      <formula>8223.307275</formula>
    </cfRule>
  </conditionalFormatting>
  <conditionalFormatting sqref="B41">
    <cfRule type="cellIs" dxfId="253" priority="31" stopIfTrue="1" operator="equal">
      <formula>8223.307275</formula>
    </cfRule>
  </conditionalFormatting>
  <conditionalFormatting sqref="D45 B42:D43 B46:D46">
    <cfRule type="cellIs" dxfId="252" priority="30" stopIfTrue="1" operator="equal">
      <formula>8223.307275</formula>
    </cfRule>
  </conditionalFormatting>
  <conditionalFormatting sqref="D44">
    <cfRule type="cellIs" dxfId="251" priority="29" stopIfTrue="1" operator="equal">
      <formula>8223.307275</formula>
    </cfRule>
  </conditionalFormatting>
  <conditionalFormatting sqref="C45">
    <cfRule type="cellIs" dxfId="250" priority="28" stopIfTrue="1" operator="equal">
      <formula>8223.307275</formula>
    </cfRule>
  </conditionalFormatting>
  <conditionalFormatting sqref="B45">
    <cfRule type="cellIs" dxfId="249" priority="27" stopIfTrue="1" operator="equal">
      <formula>8223.307275</formula>
    </cfRule>
  </conditionalFormatting>
  <conditionalFormatting sqref="B47">
    <cfRule type="cellIs" dxfId="248" priority="22" stopIfTrue="1" operator="equal">
      <formula>8223.307275</formula>
    </cfRule>
  </conditionalFormatting>
  <conditionalFormatting sqref="E44">
    <cfRule type="cellIs" dxfId="247" priority="25" stopIfTrue="1" operator="equal">
      <formula>8223.307275</formula>
    </cfRule>
  </conditionalFormatting>
  <conditionalFormatting sqref="C44">
    <cfRule type="cellIs" dxfId="246" priority="24" stopIfTrue="1" operator="equal">
      <formula>8223.307275</formula>
    </cfRule>
  </conditionalFormatting>
  <conditionalFormatting sqref="E45:E46">
    <cfRule type="cellIs" dxfId="245" priority="23" stopIfTrue="1" operator="equal">
      <formula>8223.307275</formula>
    </cfRule>
  </conditionalFormatting>
  <conditionalFormatting sqref="B52">
    <cfRule type="cellIs" dxfId="244" priority="21" stopIfTrue="1" operator="equal">
      <formula>8223.307275</formula>
    </cfRule>
  </conditionalFormatting>
  <conditionalFormatting sqref="B48:B49">
    <cfRule type="cellIs" dxfId="243" priority="20" stopIfTrue="1" operator="equal">
      <formula>8223.307275</formula>
    </cfRule>
  </conditionalFormatting>
  <conditionalFormatting sqref="B51">
    <cfRule type="cellIs" dxfId="242" priority="19" stopIfTrue="1" operator="equal">
      <formula>8223.307275</formula>
    </cfRule>
  </conditionalFormatting>
  <conditionalFormatting sqref="B80">
    <cfRule type="cellIs" dxfId="241" priority="14" stopIfTrue="1" operator="equal">
      <formula>8223.307275</formula>
    </cfRule>
  </conditionalFormatting>
  <conditionalFormatting sqref="C48:E49">
    <cfRule type="cellIs" dxfId="240" priority="17" stopIfTrue="1" operator="equal">
      <formula>8223.307275</formula>
    </cfRule>
  </conditionalFormatting>
  <conditionalFormatting sqref="C73:F73 B74:D76 F74:F76">
    <cfRule type="cellIs" dxfId="239" priority="15" stopIfTrue="1" operator="equal">
      <formula>8223.307275</formula>
    </cfRule>
  </conditionalFormatting>
  <conditionalFormatting sqref="B73">
    <cfRule type="cellIs" dxfId="238" priority="13" stopIfTrue="1" operator="equal">
      <formula>8223.307275</formula>
    </cfRule>
  </conditionalFormatting>
  <conditionalFormatting sqref="B81">
    <cfRule type="cellIs" dxfId="237" priority="11" stopIfTrue="1" operator="equal">
      <formula>8223.307275</formula>
    </cfRule>
  </conditionalFormatting>
  <conditionalFormatting sqref="C91:F91 B93:E94 B92:F92">
    <cfRule type="cellIs" dxfId="236" priority="10" stopIfTrue="1" operator="equal">
      <formula>8223.307275</formula>
    </cfRule>
  </conditionalFormatting>
  <conditionalFormatting sqref="B91">
    <cfRule type="cellIs" dxfId="235" priority="9" stopIfTrue="1" operator="equal">
      <formula>8223.307275</formula>
    </cfRule>
  </conditionalFormatting>
  <conditionalFormatting sqref="C96:F96 B98:E99 C97">
    <cfRule type="cellIs" dxfId="234" priority="8" stopIfTrue="1" operator="equal">
      <formula>8223.307275</formula>
    </cfRule>
  </conditionalFormatting>
  <conditionalFormatting sqref="B96">
    <cfRule type="cellIs" dxfId="233" priority="7" stopIfTrue="1" operator="equal">
      <formula>8223.307275</formula>
    </cfRule>
  </conditionalFormatting>
  <conditionalFormatting sqref="C50">
    <cfRule type="cellIs" dxfId="232" priority="6" stopIfTrue="1" operator="equal">
      <formula>8223.307275</formula>
    </cfRule>
  </conditionalFormatting>
  <conditionalFormatting sqref="F93:F94">
    <cfRule type="cellIs" dxfId="231" priority="5" stopIfTrue="1" operator="equal">
      <formula>8223.307275</formula>
    </cfRule>
  </conditionalFormatting>
  <conditionalFormatting sqref="D97:E97">
    <cfRule type="cellIs" dxfId="230" priority="4" stopIfTrue="1" operator="equal">
      <formula>8223.307275</formula>
    </cfRule>
  </conditionalFormatting>
  <conditionalFormatting sqref="B97">
    <cfRule type="cellIs" dxfId="229" priority="3" stopIfTrue="1" operator="equal">
      <formula>8223.307275</formula>
    </cfRule>
  </conditionalFormatting>
  <conditionalFormatting sqref="F97">
    <cfRule type="cellIs" dxfId="228" priority="2" stopIfTrue="1" operator="equal">
      <formula>8223.307275</formula>
    </cfRule>
  </conditionalFormatting>
  <conditionalFormatting sqref="F98:F99">
    <cfRule type="cellIs" dxfId="227" priority="1" stopIfTrue="1" operator="equal">
      <formula>8223.307275</formula>
    </cfRule>
  </conditionalFormatting>
  <pageMargins left="0.65" right="0" top="0.22" bottom="0.23622047244094491" header="0.15748031496062992" footer="0.15748031496062992"/>
  <pageSetup paperSize="9" scale="90" orientation="landscape" horizontalDpi="4294967295" verticalDpi="4294967295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25"/>
  <sheetViews>
    <sheetView view="pageBreakPreview" topLeftCell="A19" zoomScaleNormal="120" zoomScaleSheetLayoutView="100" workbookViewId="0">
      <selection activeCell="E40" sqref="E40"/>
    </sheetView>
  </sheetViews>
  <sheetFormatPr defaultRowHeight="15" x14ac:dyDescent="0.25"/>
  <cols>
    <col min="1" max="1" width="4.7109375" style="708" customWidth="1"/>
    <col min="2" max="2" width="10.42578125" style="770" customWidth="1"/>
    <col min="3" max="3" width="44.28515625" style="710" customWidth="1"/>
    <col min="4" max="4" width="7.85546875" style="710" bestFit="1" customWidth="1"/>
    <col min="5" max="5" width="6.42578125" style="710" bestFit="1" customWidth="1"/>
    <col min="6" max="6" width="9.5703125" style="710" customWidth="1"/>
    <col min="7" max="7" width="6.42578125" style="709" bestFit="1" customWidth="1"/>
    <col min="8" max="8" width="10.85546875" style="709" customWidth="1"/>
    <col min="9" max="9" width="5.28515625" style="709" bestFit="1" customWidth="1"/>
    <col min="10" max="10" width="11" style="709" customWidth="1"/>
    <col min="11" max="11" width="5.42578125" style="709" bestFit="1" customWidth="1"/>
    <col min="12" max="12" width="10.28515625" style="709" customWidth="1"/>
    <col min="13" max="13" width="12.5703125" style="709" bestFit="1" customWidth="1"/>
    <col min="14" max="16384" width="9.140625" style="710"/>
  </cols>
  <sheetData>
    <row r="1" spans="1:13" x14ac:dyDescent="0.25">
      <c r="B1" s="1089" t="s">
        <v>643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3" x14ac:dyDescent="0.25">
      <c r="B2" s="1090" t="s">
        <v>257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x14ac:dyDescent="0.25">
      <c r="A3" s="12"/>
      <c r="B3" s="1091" t="s">
        <v>629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6.5" customHeight="1" thickBot="1" x14ac:dyDescent="0.35">
      <c r="A4" s="1092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.7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3">
      <c r="A6" s="1095"/>
      <c r="B6" s="1097"/>
      <c r="C6" s="1099"/>
      <c r="D6" s="1099"/>
      <c r="E6" s="77" t="s">
        <v>399</v>
      </c>
      <c r="F6" s="77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ht="15.75" thickBot="1" x14ac:dyDescent="0.3">
      <c r="A7" s="541"/>
      <c r="B7" s="184" t="s">
        <v>60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6">
        <v>13</v>
      </c>
    </row>
    <row r="8" spans="1:13" ht="15.75" thickBot="1" x14ac:dyDescent="0.3">
      <c r="A8" s="1023"/>
      <c r="B8" s="309"/>
      <c r="C8" s="310" t="s">
        <v>630</v>
      </c>
      <c r="D8" s="310"/>
      <c r="E8" s="310"/>
      <c r="F8" s="310"/>
      <c r="G8" s="310"/>
      <c r="H8" s="310"/>
      <c r="I8" s="310"/>
      <c r="J8" s="310"/>
      <c r="K8" s="310"/>
      <c r="L8" s="310"/>
      <c r="M8" s="311"/>
    </row>
    <row r="9" spans="1:13" ht="45" x14ac:dyDescent="0.25">
      <c r="A9" s="1108">
        <v>1</v>
      </c>
      <c r="B9" s="622" t="s">
        <v>109</v>
      </c>
      <c r="C9" s="92" t="s">
        <v>108</v>
      </c>
      <c r="D9" s="29" t="s">
        <v>62</v>
      </c>
      <c r="E9" s="98"/>
      <c r="F9" s="98">
        <f>F36*0.2</f>
        <v>10.624000000000001</v>
      </c>
      <c r="G9" s="150"/>
      <c r="H9" s="150"/>
      <c r="I9" s="150"/>
      <c r="J9" s="150"/>
      <c r="K9" s="150"/>
      <c r="L9" s="150"/>
      <c r="M9" s="211"/>
    </row>
    <row r="10" spans="1:13" s="765" customFormat="1" x14ac:dyDescent="0.25">
      <c r="A10" s="1109"/>
      <c r="B10" s="688"/>
      <c r="C10" s="57" t="s">
        <v>63</v>
      </c>
      <c r="D10" s="22" t="s">
        <v>64</v>
      </c>
      <c r="E10" s="61">
        <v>3.4000000000000002E-2</v>
      </c>
      <c r="F10" s="61">
        <f>E10*F9</f>
        <v>0.36121600000000004</v>
      </c>
      <c r="G10" s="24"/>
      <c r="H10" s="24"/>
      <c r="I10" s="24"/>
      <c r="J10" s="24"/>
      <c r="K10" s="24"/>
      <c r="L10" s="24"/>
      <c r="M10" s="25"/>
    </row>
    <row r="11" spans="1:13" x14ac:dyDescent="0.25">
      <c r="A11" s="1110"/>
      <c r="B11" s="358"/>
      <c r="C11" s="94" t="s">
        <v>82</v>
      </c>
      <c r="D11" s="33" t="s">
        <v>78</v>
      </c>
      <c r="E11" s="66">
        <v>5.5999999999999999E-3</v>
      </c>
      <c r="F11" s="66">
        <f>E11*F9</f>
        <v>5.9494400000000003E-2</v>
      </c>
      <c r="G11" s="67"/>
      <c r="H11" s="67"/>
      <c r="I11" s="67"/>
      <c r="J11" s="67"/>
      <c r="K11" s="67"/>
      <c r="L11" s="67"/>
      <c r="M11" s="25"/>
    </row>
    <row r="12" spans="1:13" ht="30.75" thickBot="1" x14ac:dyDescent="0.3">
      <c r="A12" s="1110"/>
      <c r="B12" s="673" t="s">
        <v>486</v>
      </c>
      <c r="C12" s="94" t="s">
        <v>103</v>
      </c>
      <c r="D12" s="33" t="s">
        <v>104</v>
      </c>
      <c r="E12" s="66">
        <v>8.0299999999999996E-2</v>
      </c>
      <c r="F12" s="66">
        <f>E12*F9</f>
        <v>0.85310719999999995</v>
      </c>
      <c r="G12" s="67"/>
      <c r="H12" s="67"/>
      <c r="I12" s="67"/>
      <c r="J12" s="67"/>
      <c r="K12" s="67"/>
      <c r="L12" s="67"/>
      <c r="M12" s="95"/>
    </row>
    <row r="13" spans="1:13" ht="30" x14ac:dyDescent="0.25">
      <c r="A13" s="1111">
        <v>2</v>
      </c>
      <c r="B13" s="1114" t="s">
        <v>105</v>
      </c>
      <c r="C13" s="15" t="s">
        <v>106</v>
      </c>
      <c r="D13" s="16" t="s">
        <v>62</v>
      </c>
      <c r="E13" s="303"/>
      <c r="F13" s="303">
        <f>F9*0.1</f>
        <v>1.0624</v>
      </c>
      <c r="G13" s="53"/>
      <c r="H13" s="53"/>
      <c r="I13" s="53"/>
      <c r="J13" s="53"/>
      <c r="K13" s="53"/>
      <c r="L13" s="53"/>
      <c r="M13" s="54"/>
    </row>
    <row r="14" spans="1:13" ht="15.75" x14ac:dyDescent="0.3">
      <c r="A14" s="1112"/>
      <c r="B14" s="1115"/>
      <c r="C14" s="306" t="s">
        <v>107</v>
      </c>
      <c r="D14" s="307" t="s">
        <v>64</v>
      </c>
      <c r="E14" s="304">
        <v>2.06</v>
      </c>
      <c r="F14" s="304">
        <f>F13*E14</f>
        <v>2.1885440000000003</v>
      </c>
      <c r="G14" s="24"/>
      <c r="H14" s="24"/>
      <c r="I14" s="24"/>
      <c r="J14" s="24"/>
      <c r="K14" s="24"/>
      <c r="L14" s="24"/>
      <c r="M14" s="25"/>
    </row>
    <row r="15" spans="1:13" ht="15.75" thickBot="1" x14ac:dyDescent="0.3">
      <c r="A15" s="1113"/>
      <c r="B15" s="673" t="s">
        <v>66</v>
      </c>
      <c r="C15" s="587" t="s">
        <v>156</v>
      </c>
      <c r="D15" s="33" t="s">
        <v>65</v>
      </c>
      <c r="E15" s="66">
        <v>1.8</v>
      </c>
      <c r="F15" s="393">
        <f>E15*(F13+F9)</f>
        <v>21.035520000000002</v>
      </c>
      <c r="G15" s="67"/>
      <c r="H15" s="67"/>
      <c r="I15" s="67"/>
      <c r="J15" s="67"/>
      <c r="K15" s="67"/>
      <c r="L15" s="67"/>
      <c r="M15" s="95"/>
    </row>
    <row r="16" spans="1:13" ht="45" x14ac:dyDescent="0.25">
      <c r="A16" s="1116">
        <v>3</v>
      </c>
      <c r="B16" s="643" t="s">
        <v>168</v>
      </c>
      <c r="C16" s="705" t="s">
        <v>394</v>
      </c>
      <c r="D16" s="16" t="s">
        <v>158</v>
      </c>
      <c r="E16" s="93"/>
      <c r="F16" s="60">
        <f>F36*0.1</f>
        <v>5.3120000000000003</v>
      </c>
      <c r="G16" s="223"/>
      <c r="H16" s="223"/>
      <c r="I16" s="223"/>
      <c r="J16" s="223"/>
      <c r="K16" s="223"/>
      <c r="L16" s="223"/>
      <c r="M16" s="722"/>
    </row>
    <row r="17" spans="1:13" x14ac:dyDescent="0.25">
      <c r="A17" s="1117"/>
      <c r="B17" s="723"/>
      <c r="C17" s="121" t="s">
        <v>159</v>
      </c>
      <c r="D17" s="22" t="s">
        <v>64</v>
      </c>
      <c r="E17" s="158">
        <v>0.15</v>
      </c>
      <c r="F17" s="167">
        <f>E17*F16</f>
        <v>0.79680000000000006</v>
      </c>
      <c r="G17" s="409"/>
      <c r="H17" s="409"/>
      <c r="I17" s="409"/>
      <c r="J17" s="409"/>
      <c r="K17" s="409"/>
      <c r="L17" s="409"/>
      <c r="M17" s="25"/>
    </row>
    <row r="18" spans="1:13" x14ac:dyDescent="0.25">
      <c r="A18" s="1117"/>
      <c r="B18" s="45" t="s">
        <v>476</v>
      </c>
      <c r="C18" s="153" t="s">
        <v>155</v>
      </c>
      <c r="D18" s="117" t="s">
        <v>97</v>
      </c>
      <c r="E18" s="154">
        <v>2.1600000000000001E-2</v>
      </c>
      <c r="F18" s="155">
        <f>E18*F16</f>
        <v>0.11473920000000001</v>
      </c>
      <c r="G18" s="40"/>
      <c r="H18" s="40"/>
      <c r="I18" s="40"/>
      <c r="J18" s="40"/>
      <c r="K18" s="40"/>
      <c r="L18" s="40"/>
      <c r="M18" s="25"/>
    </row>
    <row r="19" spans="1:13" x14ac:dyDescent="0.25">
      <c r="A19" s="1117"/>
      <c r="B19" s="688" t="s">
        <v>483</v>
      </c>
      <c r="C19" s="121" t="s">
        <v>160</v>
      </c>
      <c r="D19" s="22" t="s">
        <v>104</v>
      </c>
      <c r="E19" s="158">
        <v>2.7300000000000001E-2</v>
      </c>
      <c r="F19" s="167">
        <f>E19*F16</f>
        <v>0.14501760000000002</v>
      </c>
      <c r="G19" s="409"/>
      <c r="H19" s="409"/>
      <c r="I19" s="409"/>
      <c r="J19" s="409"/>
      <c r="K19" s="409"/>
      <c r="L19" s="40"/>
      <c r="M19" s="25"/>
    </row>
    <row r="20" spans="1:13" x14ac:dyDescent="0.25">
      <c r="A20" s="1117"/>
      <c r="B20" s="45" t="s">
        <v>488</v>
      </c>
      <c r="C20" s="31" t="s">
        <v>161</v>
      </c>
      <c r="D20" s="22" t="s">
        <v>104</v>
      </c>
      <c r="E20" s="158">
        <v>9.7000000000000003E-3</v>
      </c>
      <c r="F20" s="167">
        <f>E20*F16</f>
        <v>5.1526400000000007E-2</v>
      </c>
      <c r="G20" s="409"/>
      <c r="H20" s="409"/>
      <c r="I20" s="409"/>
      <c r="J20" s="409"/>
      <c r="K20" s="409"/>
      <c r="L20" s="40"/>
      <c r="M20" s="25"/>
    </row>
    <row r="21" spans="1:13" x14ac:dyDescent="0.25">
      <c r="A21" s="1117"/>
      <c r="B21" s="679" t="s">
        <v>489</v>
      </c>
      <c r="C21" s="79" t="s">
        <v>94</v>
      </c>
      <c r="D21" s="80" t="s">
        <v>62</v>
      </c>
      <c r="E21" s="81">
        <v>1.22</v>
      </c>
      <c r="F21" s="604">
        <f>E21*F16</f>
        <v>6.4806400000000002</v>
      </c>
      <c r="G21" s="83"/>
      <c r="H21" s="83"/>
      <c r="I21" s="83"/>
      <c r="J21" s="83"/>
      <c r="K21" s="83"/>
      <c r="L21" s="83"/>
      <c r="M21" s="84"/>
    </row>
    <row r="22" spans="1:13" ht="15.75" thickBot="1" x14ac:dyDescent="0.3">
      <c r="A22" s="1118"/>
      <c r="B22" s="507" t="s">
        <v>480</v>
      </c>
      <c r="C22" s="724" t="s">
        <v>664</v>
      </c>
      <c r="D22" s="17" t="s">
        <v>65</v>
      </c>
      <c r="E22" s="162">
        <v>1.55</v>
      </c>
      <c r="F22" s="608">
        <f>E22*F21</f>
        <v>10.044992000000001</v>
      </c>
      <c r="G22" s="581"/>
      <c r="H22" s="581"/>
      <c r="I22" s="581"/>
      <c r="J22" s="581"/>
      <c r="K22" s="581"/>
      <c r="L22" s="581"/>
      <c r="M22" s="725"/>
    </row>
    <row r="23" spans="1:13" x14ac:dyDescent="0.25">
      <c r="A23" s="1119">
        <v>4</v>
      </c>
      <c r="B23" s="591" t="s">
        <v>170</v>
      </c>
      <c r="C23" s="171" t="s">
        <v>164</v>
      </c>
      <c r="D23" s="171" t="s">
        <v>88</v>
      </c>
      <c r="E23" s="172"/>
      <c r="F23" s="302">
        <v>40.700000000000003</v>
      </c>
      <c r="G23" s="726"/>
      <c r="H23" s="726"/>
      <c r="I23" s="726"/>
      <c r="J23" s="726"/>
      <c r="K23" s="726"/>
      <c r="L23" s="726"/>
      <c r="M23" s="727"/>
    </row>
    <row r="24" spans="1:13" x14ac:dyDescent="0.25">
      <c r="A24" s="1119"/>
      <c r="B24" s="177"/>
      <c r="C24" s="159" t="s">
        <v>63</v>
      </c>
      <c r="D24" s="158" t="s">
        <v>165</v>
      </c>
      <c r="E24" s="158">
        <v>1.1100000000000001</v>
      </c>
      <c r="F24" s="158">
        <f>F23*E24</f>
        <v>45.177000000000007</v>
      </c>
      <c r="G24" s="409"/>
      <c r="H24" s="409"/>
      <c r="I24" s="409"/>
      <c r="J24" s="409"/>
      <c r="K24" s="409"/>
      <c r="L24" s="409"/>
      <c r="M24" s="25"/>
    </row>
    <row r="25" spans="1:13" x14ac:dyDescent="0.25">
      <c r="A25" s="1119"/>
      <c r="B25" s="177"/>
      <c r="C25" s="159" t="s">
        <v>166</v>
      </c>
      <c r="D25" s="158" t="s">
        <v>78</v>
      </c>
      <c r="E25" s="158">
        <v>7.1000000000000004E-3</v>
      </c>
      <c r="F25" s="158">
        <f>E25*F23</f>
        <v>0.28897000000000006</v>
      </c>
      <c r="G25" s="409"/>
      <c r="H25" s="409"/>
      <c r="I25" s="409"/>
      <c r="J25" s="409"/>
      <c r="K25" s="67"/>
      <c r="L25" s="409"/>
      <c r="M25" s="25"/>
    </row>
    <row r="26" spans="1:13" x14ac:dyDescent="0.25">
      <c r="A26" s="1119"/>
      <c r="B26" s="45" t="s">
        <v>477</v>
      </c>
      <c r="C26" s="160" t="s">
        <v>173</v>
      </c>
      <c r="D26" s="158" t="s">
        <v>88</v>
      </c>
      <c r="E26" s="168">
        <v>1</v>
      </c>
      <c r="F26" s="168">
        <f>F23*E26</f>
        <v>40.700000000000003</v>
      </c>
      <c r="G26" s="409"/>
      <c r="H26" s="40"/>
      <c r="I26" s="409"/>
      <c r="J26" s="409"/>
      <c r="K26" s="409"/>
      <c r="L26" s="409"/>
      <c r="M26" s="25"/>
    </row>
    <row r="27" spans="1:13" x14ac:dyDescent="0.25">
      <c r="A27" s="1119"/>
      <c r="B27" s="364" t="s">
        <v>478</v>
      </c>
      <c r="C27" s="165" t="s">
        <v>171</v>
      </c>
      <c r="D27" s="166" t="s">
        <v>62</v>
      </c>
      <c r="E27" s="166">
        <v>3.9E-2</v>
      </c>
      <c r="F27" s="167">
        <f>E27*F23</f>
        <v>1.5873000000000002</v>
      </c>
      <c r="G27" s="24"/>
      <c r="H27" s="40"/>
      <c r="I27" s="40"/>
      <c r="J27" s="40"/>
      <c r="K27" s="40"/>
      <c r="L27" s="40"/>
      <c r="M27" s="41"/>
    </row>
    <row r="28" spans="1:13" x14ac:dyDescent="0.25">
      <c r="A28" s="1119"/>
      <c r="B28" s="679" t="s">
        <v>495</v>
      </c>
      <c r="C28" s="165" t="s">
        <v>172</v>
      </c>
      <c r="D28" s="166" t="s">
        <v>62</v>
      </c>
      <c r="E28" s="166">
        <v>5.9999999999999995E-4</v>
      </c>
      <c r="F28" s="167">
        <f>E28*F23</f>
        <v>2.4420000000000001E-2</v>
      </c>
      <c r="G28" s="24"/>
      <c r="H28" s="40"/>
      <c r="I28" s="40"/>
      <c r="J28" s="40"/>
      <c r="K28" s="40"/>
      <c r="L28" s="40"/>
      <c r="M28" s="41"/>
    </row>
    <row r="29" spans="1:13" ht="15.75" thickBot="1" x14ac:dyDescent="0.3">
      <c r="A29" s="1119"/>
      <c r="B29" s="64"/>
      <c r="C29" s="173" t="s">
        <v>119</v>
      </c>
      <c r="D29" s="174" t="s">
        <v>78</v>
      </c>
      <c r="E29" s="174">
        <v>9.6000000000000002E-2</v>
      </c>
      <c r="F29" s="174">
        <f>E29*F23</f>
        <v>3.9072000000000005</v>
      </c>
      <c r="G29" s="572"/>
      <c r="H29" s="572"/>
      <c r="I29" s="572"/>
      <c r="J29" s="572"/>
      <c r="K29" s="572"/>
      <c r="L29" s="572"/>
      <c r="M29" s="112"/>
    </row>
    <row r="30" spans="1:13" s="765" customFormat="1" ht="45" x14ac:dyDescent="0.25">
      <c r="A30" s="1125">
        <v>5</v>
      </c>
      <c r="B30" s="592" t="s">
        <v>192</v>
      </c>
      <c r="C30" s="93" t="s">
        <v>196</v>
      </c>
      <c r="D30" s="93" t="s">
        <v>62</v>
      </c>
      <c r="E30" s="161"/>
      <c r="F30" s="60">
        <f>F36*0.05</f>
        <v>2.6560000000000001</v>
      </c>
      <c r="G30" s="731"/>
      <c r="H30" s="731"/>
      <c r="I30" s="731"/>
      <c r="J30" s="731"/>
      <c r="K30" s="731"/>
      <c r="L30" s="731"/>
      <c r="M30" s="732"/>
    </row>
    <row r="31" spans="1:13" s="765" customFormat="1" x14ac:dyDescent="0.25">
      <c r="A31" s="1126"/>
      <c r="B31" s="45"/>
      <c r="C31" s="159" t="s">
        <v>63</v>
      </c>
      <c r="D31" s="158" t="s">
        <v>165</v>
      </c>
      <c r="E31" s="158">
        <v>2.12</v>
      </c>
      <c r="F31" s="167">
        <f>F30*E31</f>
        <v>5.6307200000000002</v>
      </c>
      <c r="G31" s="409"/>
      <c r="H31" s="409"/>
      <c r="I31" s="40"/>
      <c r="J31" s="40"/>
      <c r="K31" s="409"/>
      <c r="L31" s="409"/>
      <c r="M31" s="41"/>
    </row>
    <row r="32" spans="1:13" s="765" customFormat="1" x14ac:dyDescent="0.25">
      <c r="A32" s="1126"/>
      <c r="B32" s="45"/>
      <c r="C32" s="160" t="s">
        <v>166</v>
      </c>
      <c r="D32" s="158" t="s">
        <v>78</v>
      </c>
      <c r="E32" s="158">
        <v>0.10100000000000001</v>
      </c>
      <c r="F32" s="167">
        <f>E32*F30</f>
        <v>0.26825600000000005</v>
      </c>
      <c r="G32" s="409"/>
      <c r="H32" s="409"/>
      <c r="I32" s="409"/>
      <c r="J32" s="409"/>
      <c r="K32" s="67"/>
      <c r="L32" s="409"/>
      <c r="M32" s="41"/>
    </row>
    <row r="33" spans="1:13" s="765" customFormat="1" x14ac:dyDescent="0.25">
      <c r="A33" s="1126"/>
      <c r="B33" s="45" t="s">
        <v>491</v>
      </c>
      <c r="C33" s="159" t="s">
        <v>191</v>
      </c>
      <c r="D33" s="158" t="s">
        <v>62</v>
      </c>
      <c r="E33" s="158">
        <v>1.1000000000000001</v>
      </c>
      <c r="F33" s="167">
        <f>E33*F30</f>
        <v>2.9216000000000002</v>
      </c>
      <c r="G33" s="409"/>
      <c r="H33" s="409"/>
      <c r="I33" s="409"/>
      <c r="J33" s="409"/>
      <c r="K33" s="409"/>
      <c r="L33" s="409"/>
      <c r="M33" s="41"/>
    </row>
    <row r="34" spans="1:13" s="765" customFormat="1" x14ac:dyDescent="0.25">
      <c r="A34" s="1126"/>
      <c r="B34" s="64" t="s">
        <v>480</v>
      </c>
      <c r="C34" s="585" t="s">
        <v>631</v>
      </c>
      <c r="D34" s="174" t="s">
        <v>65</v>
      </c>
      <c r="E34" s="174">
        <v>1.5</v>
      </c>
      <c r="F34" s="620">
        <f>E34*F33</f>
        <v>4.3824000000000005</v>
      </c>
      <c r="G34" s="572"/>
      <c r="H34" s="572"/>
      <c r="I34" s="572"/>
      <c r="J34" s="409"/>
      <c r="K34" s="409"/>
      <c r="L34" s="40"/>
      <c r="M34" s="25"/>
    </row>
    <row r="35" spans="1:13" s="765" customFormat="1" ht="16.5" thickBot="1" x14ac:dyDescent="0.35">
      <c r="A35" s="1126"/>
      <c r="B35" s="740" t="s">
        <v>493</v>
      </c>
      <c r="C35" s="741" t="s">
        <v>194</v>
      </c>
      <c r="D35" s="571" t="s">
        <v>65</v>
      </c>
      <c r="E35" s="742">
        <f>E33*1.5*0.1</f>
        <v>0.16500000000000004</v>
      </c>
      <c r="F35" s="192">
        <f>E35*F30</f>
        <v>0.43824000000000013</v>
      </c>
      <c r="G35" s="572"/>
      <c r="H35" s="572"/>
      <c r="I35" s="572"/>
      <c r="J35" s="572"/>
      <c r="K35" s="572"/>
      <c r="L35" s="572"/>
      <c r="M35" s="678"/>
    </row>
    <row r="36" spans="1:13" s="765" customFormat="1" ht="45" x14ac:dyDescent="0.25">
      <c r="A36" s="1125">
        <v>6</v>
      </c>
      <c r="B36" s="636" t="s">
        <v>195</v>
      </c>
      <c r="C36" s="359" t="s">
        <v>700</v>
      </c>
      <c r="D36" s="93" t="s">
        <v>76</v>
      </c>
      <c r="E36" s="161"/>
      <c r="F36" s="60">
        <v>53.12</v>
      </c>
      <c r="G36" s="731"/>
      <c r="H36" s="731"/>
      <c r="I36" s="731"/>
      <c r="J36" s="731"/>
      <c r="K36" s="731"/>
      <c r="L36" s="731"/>
      <c r="M36" s="732"/>
    </row>
    <row r="37" spans="1:13" s="765" customFormat="1" x14ac:dyDescent="0.25">
      <c r="A37" s="1126"/>
      <c r="B37" s="169"/>
      <c r="C37" s="159" t="s">
        <v>63</v>
      </c>
      <c r="D37" s="158" t="s">
        <v>165</v>
      </c>
      <c r="E37" s="158">
        <v>0.40200000000000002</v>
      </c>
      <c r="F37" s="167">
        <f>F36*E37</f>
        <v>21.354240000000001</v>
      </c>
      <c r="G37" s="409"/>
      <c r="H37" s="409"/>
      <c r="I37" s="40"/>
      <c r="J37" s="40"/>
      <c r="K37" s="409"/>
      <c r="L37" s="409"/>
      <c r="M37" s="41"/>
    </row>
    <row r="38" spans="1:13" s="765" customFormat="1" x14ac:dyDescent="0.25">
      <c r="A38" s="1126"/>
      <c r="B38" s="169"/>
      <c r="C38" s="159" t="s">
        <v>166</v>
      </c>
      <c r="D38" s="158" t="s">
        <v>78</v>
      </c>
      <c r="E38" s="158">
        <v>0.129</v>
      </c>
      <c r="F38" s="167">
        <f>F36*E38</f>
        <v>6.8524799999999999</v>
      </c>
      <c r="G38" s="409"/>
      <c r="H38" s="409"/>
      <c r="I38" s="409"/>
      <c r="J38" s="409"/>
      <c r="K38" s="24"/>
      <c r="L38" s="409"/>
      <c r="M38" s="41"/>
    </row>
    <row r="39" spans="1:13" s="765" customFormat="1" x14ac:dyDescent="0.25">
      <c r="A39" s="1126"/>
      <c r="B39" s="169" t="s">
        <v>479</v>
      </c>
      <c r="C39" s="745" t="s">
        <v>682</v>
      </c>
      <c r="D39" s="158" t="s">
        <v>76</v>
      </c>
      <c r="E39" s="167">
        <v>1</v>
      </c>
      <c r="F39" s="167">
        <f>E39*F36</f>
        <v>53.12</v>
      </c>
      <c r="G39" s="409"/>
      <c r="H39" s="409"/>
      <c r="I39" s="409"/>
      <c r="J39" s="409"/>
      <c r="K39" s="409"/>
      <c r="L39" s="409"/>
      <c r="M39" s="41"/>
    </row>
    <row r="40" spans="1:13" s="765" customFormat="1" x14ac:dyDescent="0.25">
      <c r="A40" s="1126"/>
      <c r="B40" s="45" t="s">
        <v>491</v>
      </c>
      <c r="C40" s="159" t="s">
        <v>191</v>
      </c>
      <c r="D40" s="158" t="s">
        <v>62</v>
      </c>
      <c r="E40" s="158">
        <v>5.0000000000000001E-4</v>
      </c>
      <c r="F40" s="167">
        <f>E40*F36</f>
        <v>2.656E-2</v>
      </c>
      <c r="G40" s="409"/>
      <c r="H40" s="409"/>
      <c r="I40" s="409"/>
      <c r="J40" s="409"/>
      <c r="K40" s="409"/>
      <c r="L40" s="409"/>
      <c r="M40" s="41"/>
    </row>
    <row r="41" spans="1:13" s="765" customFormat="1" ht="15.75" thickBot="1" x14ac:dyDescent="0.3">
      <c r="A41" s="1126"/>
      <c r="B41" s="556" t="s">
        <v>480</v>
      </c>
      <c r="C41" s="585" t="s">
        <v>631</v>
      </c>
      <c r="D41" s="174" t="s">
        <v>65</v>
      </c>
      <c r="E41" s="174">
        <v>1.5</v>
      </c>
      <c r="F41" s="620">
        <f>E41*F40</f>
        <v>3.984E-2</v>
      </c>
      <c r="G41" s="572"/>
      <c r="H41" s="572"/>
      <c r="I41" s="572"/>
      <c r="J41" s="572"/>
      <c r="K41" s="572"/>
      <c r="L41" s="68"/>
      <c r="M41" s="95"/>
    </row>
    <row r="42" spans="1:13" s="765" customFormat="1" ht="30" x14ac:dyDescent="0.25">
      <c r="A42" s="1125">
        <v>7</v>
      </c>
      <c r="B42" s="561" t="s">
        <v>651</v>
      </c>
      <c r="C42" s="359" t="s">
        <v>652</v>
      </c>
      <c r="D42" s="93" t="s">
        <v>76</v>
      </c>
      <c r="E42" s="161"/>
      <c r="F42" s="60">
        <v>588</v>
      </c>
      <c r="G42" s="731"/>
      <c r="H42" s="731"/>
      <c r="I42" s="731"/>
      <c r="J42" s="731"/>
      <c r="K42" s="731"/>
      <c r="L42" s="731"/>
      <c r="M42" s="732"/>
    </row>
    <row r="43" spans="1:13" s="765" customFormat="1" ht="15.75" thickBot="1" x14ac:dyDescent="0.3">
      <c r="A43" s="1126"/>
      <c r="B43" s="64"/>
      <c r="C43" s="173" t="s">
        <v>63</v>
      </c>
      <c r="D43" s="174" t="s">
        <v>165</v>
      </c>
      <c r="E43" s="174">
        <v>0.14000000000000001</v>
      </c>
      <c r="F43" s="182">
        <f>F42*E43</f>
        <v>82.320000000000007</v>
      </c>
      <c r="G43" s="572"/>
      <c r="H43" s="572"/>
      <c r="I43" s="68"/>
      <c r="J43" s="68"/>
      <c r="K43" s="572"/>
      <c r="L43" s="572"/>
      <c r="M43" s="694"/>
    </row>
    <row r="44" spans="1:13" ht="15.75" thickBot="1" x14ac:dyDescent="0.3">
      <c r="A44" s="648"/>
      <c r="B44" s="649"/>
      <c r="C44" s="650" t="s">
        <v>113</v>
      </c>
      <c r="D44" s="651"/>
      <c r="E44" s="652"/>
      <c r="F44" s="652"/>
      <c r="G44" s="653"/>
      <c r="H44" s="653"/>
      <c r="I44" s="653"/>
      <c r="J44" s="653"/>
      <c r="K44" s="653"/>
      <c r="L44" s="653"/>
      <c r="M44" s="1026"/>
    </row>
    <row r="45" spans="1:13" ht="45" x14ac:dyDescent="0.25">
      <c r="A45" s="692"/>
      <c r="B45" s="329"/>
      <c r="C45" s="555" t="s">
        <v>632</v>
      </c>
      <c r="D45" s="588" t="s">
        <v>757</v>
      </c>
      <c r="E45" s="275"/>
      <c r="F45" s="275"/>
      <c r="G45" s="676"/>
      <c r="H45" s="676"/>
      <c r="I45" s="19"/>
      <c r="J45" s="19"/>
      <c r="K45" s="19"/>
      <c r="L45" s="19"/>
      <c r="M45" s="677"/>
    </row>
    <row r="46" spans="1:13" x14ac:dyDescent="0.25">
      <c r="A46" s="696"/>
      <c r="B46" s="343"/>
      <c r="C46" s="594" t="s">
        <v>24</v>
      </c>
      <c r="D46" s="362"/>
      <c r="E46" s="39"/>
      <c r="F46" s="39"/>
      <c r="G46" s="40"/>
      <c r="H46" s="75"/>
      <c r="I46" s="75"/>
      <c r="J46" s="75"/>
      <c r="K46" s="75"/>
      <c r="L46" s="75"/>
      <c r="M46" s="597"/>
    </row>
    <row r="47" spans="1:13" x14ac:dyDescent="0.25">
      <c r="A47" s="696"/>
      <c r="B47" s="123"/>
      <c r="C47" s="21" t="s">
        <v>117</v>
      </c>
      <c r="D47" s="362" t="s">
        <v>757</v>
      </c>
      <c r="E47" s="61"/>
      <c r="F47" s="136"/>
      <c r="G47" s="75"/>
      <c r="H47" s="75"/>
      <c r="I47" s="40"/>
      <c r="J47" s="40"/>
      <c r="K47" s="40"/>
      <c r="L47" s="24"/>
      <c r="M47" s="25"/>
    </row>
    <row r="48" spans="1:13" x14ac:dyDescent="0.25">
      <c r="A48" s="696"/>
      <c r="B48" s="123"/>
      <c r="C48" s="595" t="s">
        <v>24</v>
      </c>
      <c r="D48" s="362"/>
      <c r="E48" s="61"/>
      <c r="F48" s="136"/>
      <c r="G48" s="75"/>
      <c r="H48" s="75"/>
      <c r="I48" s="40"/>
      <c r="J48" s="40"/>
      <c r="K48" s="40"/>
      <c r="L48" s="40"/>
      <c r="M48" s="118"/>
    </row>
    <row r="49" spans="1:13" x14ac:dyDescent="0.25">
      <c r="A49" s="696"/>
      <c r="B49" s="123"/>
      <c r="C49" s="21" t="s">
        <v>118</v>
      </c>
      <c r="D49" s="362" t="s">
        <v>757</v>
      </c>
      <c r="E49" s="61"/>
      <c r="F49" s="136"/>
      <c r="G49" s="75"/>
      <c r="H49" s="75"/>
      <c r="I49" s="40"/>
      <c r="J49" s="40"/>
      <c r="K49" s="40"/>
      <c r="L49" s="24"/>
      <c r="M49" s="25"/>
    </row>
    <row r="50" spans="1:13" ht="15.75" thickBot="1" x14ac:dyDescent="0.3">
      <c r="A50" s="697"/>
      <c r="B50" s="277"/>
      <c r="C50" s="579" t="s">
        <v>24</v>
      </c>
      <c r="D50" s="414"/>
      <c r="E50" s="70"/>
      <c r="F50" s="48"/>
      <c r="G50" s="49"/>
      <c r="H50" s="49"/>
      <c r="I50" s="49"/>
      <c r="J50" s="49"/>
      <c r="K50" s="49"/>
      <c r="L50" s="27"/>
      <c r="M50" s="128"/>
    </row>
    <row r="51" spans="1:13" x14ac:dyDescent="0.25">
      <c r="A51" s="766"/>
      <c r="B51" s="767"/>
      <c r="C51" s="728"/>
      <c r="D51" s="728"/>
      <c r="E51" s="728"/>
      <c r="F51" s="728"/>
      <c r="G51" s="769"/>
      <c r="H51" s="769"/>
      <c r="I51" s="769"/>
      <c r="J51" s="769"/>
      <c r="K51" s="769"/>
      <c r="L51" s="769"/>
      <c r="M51" s="769"/>
    </row>
    <row r="52" spans="1:13" x14ac:dyDescent="0.25">
      <c r="A52" s="766"/>
      <c r="B52" s="767"/>
      <c r="C52" s="811"/>
      <c r="D52" s="728"/>
      <c r="E52" s="728"/>
      <c r="F52" s="728"/>
      <c r="G52" s="769"/>
      <c r="H52" s="769"/>
      <c r="I52" s="769"/>
      <c r="J52" s="769"/>
      <c r="K52" s="769"/>
      <c r="L52" s="769"/>
      <c r="M52" s="769"/>
    </row>
    <row r="53" spans="1:13" x14ac:dyDescent="0.25">
      <c r="A53" s="416"/>
      <c r="B53" s="463"/>
      <c r="C53" s="461"/>
      <c r="D53" s="464"/>
      <c r="E53" s="417"/>
      <c r="F53" s="417"/>
      <c r="G53" s="418"/>
      <c r="H53" s="418"/>
      <c r="I53" s="418"/>
      <c r="J53" s="418"/>
      <c r="K53" s="418"/>
      <c r="L53" s="418"/>
      <c r="M53" s="418"/>
    </row>
    <row r="54" spans="1:13" x14ac:dyDescent="0.25">
      <c r="A54" s="416"/>
      <c r="B54" s="437"/>
      <c r="C54" s="438"/>
      <c r="D54" s="464"/>
      <c r="E54" s="428"/>
      <c r="F54" s="417"/>
      <c r="G54" s="418"/>
      <c r="H54" s="418"/>
      <c r="I54" s="418"/>
      <c r="J54" s="418"/>
      <c r="K54" s="418"/>
      <c r="L54" s="424"/>
      <c r="M54" s="424"/>
    </row>
    <row r="55" spans="1:13" x14ac:dyDescent="0.25">
      <c r="A55" s="416"/>
      <c r="B55" s="437"/>
      <c r="C55" s="438"/>
      <c r="D55" s="464"/>
      <c r="E55" s="428"/>
      <c r="F55" s="417"/>
      <c r="G55" s="418"/>
      <c r="H55" s="418"/>
      <c r="I55" s="418"/>
      <c r="J55" s="418"/>
      <c r="K55" s="418"/>
      <c r="L55" s="418"/>
      <c r="M55" s="424"/>
    </row>
    <row r="56" spans="1:13" x14ac:dyDescent="0.25">
      <c r="A56" s="416"/>
      <c r="B56" s="437"/>
      <c r="C56" s="438"/>
      <c r="D56" s="464"/>
      <c r="E56" s="428"/>
      <c r="F56" s="417"/>
      <c r="G56" s="418"/>
      <c r="H56" s="418"/>
      <c r="I56" s="418"/>
      <c r="J56" s="418"/>
      <c r="K56" s="418"/>
      <c r="L56" s="424"/>
      <c r="M56" s="424"/>
    </row>
    <row r="57" spans="1:13" x14ac:dyDescent="0.25">
      <c r="A57" s="416"/>
      <c r="B57" s="437"/>
      <c r="C57" s="438"/>
      <c r="D57" s="464"/>
      <c r="E57" s="428"/>
      <c r="F57" s="417"/>
      <c r="G57" s="418"/>
      <c r="H57" s="418"/>
      <c r="I57" s="418"/>
      <c r="J57" s="418"/>
      <c r="K57" s="418"/>
      <c r="L57" s="424"/>
      <c r="M57" s="424"/>
    </row>
    <row r="58" spans="1:13" x14ac:dyDescent="0.25">
      <c r="A58" s="416"/>
      <c r="B58" s="437"/>
      <c r="C58" s="528"/>
      <c r="D58" s="529"/>
      <c r="E58" s="530"/>
      <c r="F58" s="428"/>
      <c r="G58" s="424"/>
      <c r="H58" s="424"/>
      <c r="I58" s="424"/>
      <c r="J58" s="424"/>
      <c r="K58" s="424"/>
      <c r="L58" s="424"/>
      <c r="M58" s="424"/>
    </row>
    <row r="59" spans="1:13" x14ac:dyDescent="0.25">
      <c r="A59" s="416"/>
      <c r="B59" s="437"/>
      <c r="C59" s="528"/>
      <c r="D59" s="529"/>
      <c r="E59" s="530"/>
      <c r="F59" s="428"/>
      <c r="G59" s="424"/>
      <c r="H59" s="424"/>
      <c r="I59" s="424"/>
      <c r="J59" s="424"/>
      <c r="K59" s="424"/>
      <c r="L59" s="424"/>
      <c r="M59" s="424"/>
    </row>
    <row r="60" spans="1:13" x14ac:dyDescent="0.25">
      <c r="A60" s="427"/>
      <c r="B60" s="782"/>
      <c r="C60" s="528"/>
      <c r="D60" s="427"/>
      <c r="E60" s="427"/>
      <c r="F60" s="483"/>
      <c r="G60" s="783"/>
      <c r="H60" s="783"/>
      <c r="I60" s="783"/>
      <c r="J60" s="783"/>
      <c r="K60" s="783"/>
      <c r="L60" s="783"/>
      <c r="M60" s="418"/>
    </row>
    <row r="61" spans="1:13" x14ac:dyDescent="0.25">
      <c r="A61" s="427"/>
      <c r="B61" s="422"/>
      <c r="C61" s="528"/>
      <c r="D61" s="427"/>
      <c r="E61" s="427"/>
      <c r="F61" s="483"/>
      <c r="G61" s="783"/>
      <c r="H61" s="783"/>
      <c r="I61" s="783"/>
      <c r="J61" s="783"/>
      <c r="K61" s="783"/>
      <c r="L61" s="783"/>
      <c r="M61" s="418"/>
    </row>
    <row r="62" spans="1:13" x14ac:dyDescent="0.25">
      <c r="A62" s="437"/>
      <c r="B62" s="437"/>
      <c r="C62" s="465"/>
      <c r="D62" s="3"/>
      <c r="E62" s="467"/>
      <c r="F62" s="467"/>
      <c r="G62" s="467"/>
      <c r="H62" s="467"/>
      <c r="I62" s="467"/>
      <c r="J62" s="467"/>
      <c r="K62" s="467"/>
      <c r="L62" s="467"/>
      <c r="M62" s="467"/>
    </row>
    <row r="63" spans="1:13" x14ac:dyDescent="0.25">
      <c r="A63" s="437"/>
      <c r="B63" s="437"/>
      <c r="C63" s="430"/>
      <c r="D63" s="526"/>
      <c r="E63" s="445"/>
      <c r="F63" s="445"/>
      <c r="G63" s="424"/>
      <c r="H63" s="424"/>
      <c r="I63" s="424"/>
      <c r="J63" s="424"/>
      <c r="K63" s="424"/>
      <c r="L63" s="424"/>
      <c r="M63" s="418"/>
    </row>
    <row r="64" spans="1:13" x14ac:dyDescent="0.25">
      <c r="A64" s="437"/>
      <c r="B64" s="437"/>
      <c r="C64" s="527"/>
      <c r="D64" s="427"/>
      <c r="E64" s="784"/>
      <c r="F64" s="424"/>
      <c r="G64" s="424"/>
      <c r="H64" s="424"/>
      <c r="I64" s="424"/>
      <c r="J64" s="424"/>
      <c r="K64" s="424"/>
      <c r="L64" s="424"/>
      <c r="M64" s="418"/>
    </row>
    <row r="65" spans="1:13" x14ac:dyDescent="0.25">
      <c r="A65" s="437"/>
      <c r="B65" s="437"/>
      <c r="C65" s="527"/>
      <c r="D65" s="427"/>
      <c r="E65" s="784"/>
      <c r="F65" s="424"/>
      <c r="G65" s="424"/>
      <c r="H65" s="424"/>
      <c r="I65" s="424"/>
      <c r="J65" s="424"/>
      <c r="K65" s="424"/>
      <c r="L65" s="424"/>
      <c r="M65" s="418"/>
    </row>
    <row r="66" spans="1:13" x14ac:dyDescent="0.25">
      <c r="A66" s="437"/>
      <c r="B66" s="437"/>
      <c r="C66" s="527"/>
      <c r="D66" s="427"/>
      <c r="E66" s="424"/>
      <c r="F66" s="424"/>
      <c r="G66" s="424"/>
      <c r="H66" s="424"/>
      <c r="I66" s="424"/>
      <c r="J66" s="424"/>
      <c r="K66" s="424"/>
      <c r="L66" s="424"/>
      <c r="M66" s="418"/>
    </row>
    <row r="67" spans="1:13" x14ac:dyDescent="0.25">
      <c r="A67" s="437"/>
      <c r="B67" s="437"/>
      <c r="C67" s="3"/>
      <c r="D67" s="3"/>
      <c r="E67" s="467"/>
      <c r="F67" s="467"/>
      <c r="G67" s="467"/>
      <c r="H67" s="467"/>
      <c r="I67" s="467"/>
      <c r="J67" s="467"/>
      <c r="K67" s="467"/>
      <c r="L67" s="467"/>
      <c r="M67" s="467"/>
    </row>
    <row r="68" spans="1:13" x14ac:dyDescent="0.25">
      <c r="A68" s="437"/>
      <c r="B68" s="437"/>
      <c r="C68" s="430"/>
      <c r="D68" s="526"/>
      <c r="E68" s="445"/>
      <c r="F68" s="441"/>
      <c r="G68" s="424"/>
      <c r="H68" s="424"/>
      <c r="I68" s="424"/>
      <c r="J68" s="424"/>
      <c r="K68" s="424"/>
      <c r="L68" s="424"/>
      <c r="M68" s="418"/>
    </row>
    <row r="69" spans="1:13" x14ac:dyDescent="0.25">
      <c r="A69" s="437"/>
      <c r="B69" s="437"/>
      <c r="C69" s="527"/>
      <c r="D69" s="427"/>
      <c r="E69" s="784"/>
      <c r="F69" s="483"/>
      <c r="G69" s="424"/>
      <c r="H69" s="424"/>
      <c r="I69" s="424"/>
      <c r="J69" s="424"/>
      <c r="K69" s="424"/>
      <c r="L69" s="424"/>
      <c r="M69" s="418"/>
    </row>
    <row r="70" spans="1:13" x14ac:dyDescent="0.25">
      <c r="A70" s="437"/>
      <c r="B70" s="437"/>
      <c r="C70" s="527"/>
      <c r="D70" s="427"/>
      <c r="E70" s="784"/>
      <c r="F70" s="483"/>
      <c r="G70" s="424"/>
      <c r="H70" s="424"/>
      <c r="I70" s="424"/>
      <c r="J70" s="424"/>
      <c r="K70" s="424"/>
      <c r="L70" s="424"/>
      <c r="M70" s="418"/>
    </row>
    <row r="71" spans="1:13" x14ac:dyDescent="0.25">
      <c r="A71" s="437"/>
      <c r="B71" s="437"/>
      <c r="C71" s="527"/>
      <c r="D71" s="427"/>
      <c r="E71" s="424"/>
      <c r="F71" s="424"/>
      <c r="G71" s="424"/>
      <c r="H71" s="424"/>
      <c r="I71" s="424"/>
      <c r="J71" s="424"/>
      <c r="K71" s="424"/>
      <c r="L71" s="424"/>
      <c r="M71" s="418"/>
    </row>
    <row r="72" spans="1:13" x14ac:dyDescent="0.25">
      <c r="A72" s="427"/>
      <c r="B72" s="429"/>
      <c r="C72" s="459"/>
      <c r="D72" s="416"/>
      <c r="E72" s="417"/>
      <c r="F72" s="417"/>
      <c r="G72" s="418"/>
      <c r="H72" s="418"/>
      <c r="I72" s="418"/>
      <c r="J72" s="418"/>
      <c r="K72" s="418"/>
      <c r="L72" s="418"/>
      <c r="M72" s="418"/>
    </row>
    <row r="73" spans="1:13" x14ac:dyDescent="0.25">
      <c r="A73" s="416"/>
      <c r="B73" s="463"/>
      <c r="C73" s="430"/>
      <c r="D73" s="464"/>
      <c r="E73" s="417"/>
      <c r="F73" s="417"/>
      <c r="G73" s="418"/>
      <c r="H73" s="418"/>
      <c r="I73" s="170"/>
      <c r="J73" s="170"/>
      <c r="K73" s="170"/>
      <c r="L73" s="170"/>
      <c r="M73" s="418"/>
    </row>
    <row r="74" spans="1:13" x14ac:dyDescent="0.25">
      <c r="A74" s="416"/>
      <c r="B74" s="463"/>
      <c r="C74" s="461"/>
      <c r="D74" s="464"/>
      <c r="E74" s="417"/>
      <c r="F74" s="417"/>
      <c r="G74" s="418"/>
      <c r="H74" s="170"/>
      <c r="I74" s="170"/>
      <c r="J74" s="170"/>
      <c r="K74" s="170"/>
      <c r="L74" s="170"/>
      <c r="M74" s="418"/>
    </row>
    <row r="75" spans="1:13" x14ac:dyDescent="0.25">
      <c r="A75" s="416"/>
      <c r="B75" s="437"/>
      <c r="C75" s="438"/>
      <c r="D75" s="464"/>
      <c r="E75" s="428"/>
      <c r="F75" s="458"/>
      <c r="G75" s="170"/>
      <c r="H75" s="170"/>
      <c r="I75" s="418"/>
      <c r="J75" s="418"/>
      <c r="K75" s="418"/>
      <c r="L75" s="424"/>
      <c r="M75" s="424"/>
    </row>
    <row r="76" spans="1:13" x14ac:dyDescent="0.25">
      <c r="A76" s="416"/>
      <c r="B76" s="437"/>
      <c r="C76" s="438"/>
      <c r="D76" s="464"/>
      <c r="E76" s="428"/>
      <c r="F76" s="458"/>
      <c r="G76" s="170"/>
      <c r="H76" s="170"/>
      <c r="I76" s="418"/>
      <c r="J76" s="418"/>
      <c r="K76" s="418"/>
      <c r="L76" s="418"/>
      <c r="M76" s="424"/>
    </row>
    <row r="77" spans="1:13" x14ac:dyDescent="0.25">
      <c r="A77" s="416"/>
      <c r="B77" s="437"/>
      <c r="C77" s="438"/>
      <c r="D77" s="464"/>
      <c r="E77" s="428"/>
      <c r="F77" s="458"/>
      <c r="G77" s="170"/>
      <c r="H77" s="170"/>
      <c r="I77" s="418"/>
      <c r="J77" s="418"/>
      <c r="K77" s="418"/>
      <c r="L77" s="424"/>
      <c r="M77" s="424"/>
    </row>
    <row r="78" spans="1:13" x14ac:dyDescent="0.25">
      <c r="A78" s="416"/>
      <c r="B78" s="437"/>
      <c r="C78" s="438"/>
      <c r="D78" s="464"/>
      <c r="E78" s="428"/>
      <c r="F78" s="417"/>
      <c r="G78" s="418"/>
      <c r="H78" s="418"/>
      <c r="I78" s="418"/>
      <c r="J78" s="418"/>
      <c r="K78" s="418"/>
      <c r="L78" s="424"/>
      <c r="M78" s="424"/>
    </row>
    <row r="79" spans="1:13" x14ac:dyDescent="0.25">
      <c r="A79" s="416"/>
      <c r="B79" s="437"/>
      <c r="C79" s="528"/>
      <c r="D79" s="529"/>
      <c r="E79" s="530"/>
      <c r="F79" s="428"/>
      <c r="G79" s="424"/>
      <c r="H79" s="424"/>
      <c r="I79" s="424"/>
      <c r="J79" s="424"/>
      <c r="K79" s="424"/>
      <c r="L79" s="424"/>
      <c r="M79" s="424"/>
    </row>
    <row r="80" spans="1:13" x14ac:dyDescent="0.25">
      <c r="A80" s="416"/>
      <c r="B80" s="465"/>
      <c r="C80" s="432"/>
      <c r="D80" s="531"/>
      <c r="E80" s="532"/>
      <c r="F80" s="423"/>
      <c r="G80" s="467"/>
      <c r="H80" s="467"/>
      <c r="I80" s="467"/>
      <c r="J80" s="467"/>
      <c r="K80" s="467"/>
      <c r="L80" s="467"/>
      <c r="M80" s="467"/>
    </row>
    <row r="81" spans="1:13" x14ac:dyDescent="0.25">
      <c r="A81" s="421"/>
      <c r="B81" s="420"/>
      <c r="C81" s="468"/>
      <c r="D81" s="421"/>
      <c r="E81" s="421"/>
      <c r="F81" s="421"/>
      <c r="G81" s="421"/>
      <c r="H81" s="421"/>
      <c r="I81" s="421"/>
      <c r="J81" s="421"/>
      <c r="K81" s="421"/>
      <c r="L81" s="421"/>
      <c r="M81" s="421"/>
    </row>
    <row r="82" spans="1:13" x14ac:dyDescent="0.25">
      <c r="A82" s="416"/>
      <c r="B82" s="422"/>
      <c r="C82" s="533"/>
      <c r="D82" s="436"/>
      <c r="E82" s="534"/>
      <c r="F82" s="535"/>
      <c r="G82" s="418"/>
      <c r="H82" s="418"/>
      <c r="I82" s="418"/>
      <c r="J82" s="418"/>
      <c r="K82" s="418"/>
      <c r="L82" s="418"/>
      <c r="M82" s="418"/>
    </row>
    <row r="83" spans="1:13" x14ac:dyDescent="0.25">
      <c r="A83" s="416"/>
      <c r="B83" s="422"/>
      <c r="C83" s="479"/>
      <c r="D83" s="444"/>
      <c r="E83" s="480"/>
      <c r="F83" s="441"/>
      <c r="G83" s="418"/>
      <c r="H83" s="418"/>
      <c r="I83" s="418"/>
      <c r="J83" s="418"/>
      <c r="K83" s="418"/>
      <c r="L83" s="418"/>
      <c r="M83" s="424"/>
    </row>
    <row r="84" spans="1:13" x14ac:dyDescent="0.25">
      <c r="A84" s="416"/>
      <c r="B84" s="422"/>
      <c r="C84" s="479"/>
      <c r="D84" s="444"/>
      <c r="E84" s="480"/>
      <c r="F84" s="441"/>
      <c r="G84" s="418"/>
      <c r="H84" s="418"/>
      <c r="I84" s="418"/>
      <c r="J84" s="418"/>
      <c r="K84" s="418"/>
      <c r="L84" s="418"/>
      <c r="M84" s="424"/>
    </row>
    <row r="85" spans="1:13" x14ac:dyDescent="0.25">
      <c r="A85" s="416"/>
      <c r="B85" s="422"/>
      <c r="C85" s="479"/>
      <c r="D85" s="444"/>
      <c r="E85" s="480"/>
      <c r="F85" s="441"/>
      <c r="G85" s="418"/>
      <c r="H85" s="418"/>
      <c r="I85" s="418"/>
      <c r="J85" s="418"/>
      <c r="K85" s="418"/>
      <c r="L85" s="418"/>
      <c r="M85" s="424"/>
    </row>
    <row r="86" spans="1:13" x14ac:dyDescent="0.25">
      <c r="A86" s="416"/>
      <c r="B86" s="422"/>
      <c r="C86" s="533"/>
      <c r="D86" s="436"/>
      <c r="E86" s="534"/>
      <c r="F86" s="536"/>
      <c r="G86" s="418"/>
      <c r="H86" s="418"/>
      <c r="I86" s="418"/>
      <c r="J86" s="418"/>
      <c r="K86" s="418"/>
      <c r="L86" s="418"/>
      <c r="M86" s="418"/>
    </row>
    <row r="87" spans="1:13" x14ac:dyDescent="0.25">
      <c r="A87" s="416"/>
      <c r="B87" s="422"/>
      <c r="C87" s="479"/>
      <c r="D87" s="444"/>
      <c r="E87" s="480"/>
      <c r="F87" s="441"/>
      <c r="G87" s="418"/>
      <c r="H87" s="418"/>
      <c r="I87" s="418"/>
      <c r="J87" s="418"/>
      <c r="K87" s="418"/>
      <c r="L87" s="418"/>
      <c r="M87" s="424"/>
    </row>
    <row r="88" spans="1:13" x14ac:dyDescent="0.25">
      <c r="A88" s="1028"/>
      <c r="B88" s="472"/>
      <c r="C88" s="170"/>
      <c r="D88" s="537"/>
      <c r="E88" s="443"/>
      <c r="F88" s="537"/>
      <c r="G88" s="537"/>
      <c r="H88" s="538"/>
      <c r="I88" s="538"/>
      <c r="J88" s="538"/>
      <c r="K88" s="538"/>
      <c r="L88" s="538"/>
      <c r="M88" s="538"/>
    </row>
    <row r="89" spans="1:13" x14ac:dyDescent="0.25">
      <c r="A89" s="1028"/>
      <c r="B89" s="472"/>
      <c r="C89" s="461"/>
      <c r="D89" s="539"/>
      <c r="E89" s="540"/>
      <c r="F89" s="540"/>
      <c r="G89" s="538"/>
      <c r="H89" s="538"/>
      <c r="I89" s="538"/>
      <c r="J89" s="538"/>
      <c r="K89" s="538"/>
      <c r="L89" s="538"/>
      <c r="M89" s="538"/>
    </row>
    <row r="90" spans="1:13" x14ac:dyDescent="0.25">
      <c r="A90" s="1028"/>
      <c r="B90" s="429"/>
      <c r="C90" s="170"/>
      <c r="D90" s="537"/>
      <c r="E90" s="538"/>
      <c r="F90" s="537"/>
      <c r="G90" s="537"/>
      <c r="H90" s="538"/>
      <c r="I90" s="538"/>
      <c r="J90" s="538"/>
      <c r="K90" s="538"/>
      <c r="L90" s="538"/>
      <c r="M90" s="538"/>
    </row>
    <row r="91" spans="1:13" x14ac:dyDescent="0.25">
      <c r="A91" s="1029"/>
      <c r="B91" s="422"/>
      <c r="C91" s="671"/>
      <c r="D91" s="3"/>
      <c r="E91" s="423"/>
      <c r="F91" s="423"/>
      <c r="G91" s="424"/>
      <c r="H91" s="424"/>
      <c r="I91" s="424"/>
      <c r="J91" s="424"/>
      <c r="K91" s="424"/>
      <c r="L91" s="424"/>
      <c r="M91" s="467"/>
    </row>
    <row r="92" spans="1:13" x14ac:dyDescent="0.25">
      <c r="A92" s="1029"/>
      <c r="B92" s="425"/>
      <c r="C92" s="426"/>
      <c r="D92" s="427"/>
      <c r="E92" s="428"/>
      <c r="F92" s="428"/>
      <c r="G92" s="424"/>
      <c r="H92" s="424"/>
      <c r="I92" s="424"/>
      <c r="J92" s="424"/>
      <c r="K92" s="424"/>
      <c r="L92" s="424"/>
      <c r="M92" s="424"/>
    </row>
    <row r="93" spans="1:13" x14ac:dyDescent="0.25">
      <c r="A93" s="1029"/>
      <c r="B93" s="425"/>
      <c r="C93" s="426"/>
      <c r="D93" s="427"/>
      <c r="E93" s="428"/>
      <c r="F93" s="428"/>
      <c r="G93" s="424"/>
      <c r="H93" s="424"/>
      <c r="I93" s="424"/>
      <c r="J93" s="424"/>
      <c r="K93" s="424"/>
      <c r="L93" s="424"/>
      <c r="M93" s="424"/>
    </row>
    <row r="94" spans="1:13" x14ac:dyDescent="0.25">
      <c r="A94" s="1029"/>
      <c r="B94" s="429"/>
      <c r="C94" s="426"/>
      <c r="D94" s="427"/>
      <c r="E94" s="428"/>
      <c r="F94" s="428"/>
      <c r="G94" s="424"/>
      <c r="H94" s="424"/>
      <c r="I94" s="424"/>
      <c r="J94" s="424"/>
      <c r="K94" s="424"/>
      <c r="L94" s="424"/>
      <c r="M94" s="424"/>
    </row>
    <row r="95" spans="1:13" x14ac:dyDescent="0.25">
      <c r="A95" s="1030"/>
      <c r="B95" s="475"/>
      <c r="C95" s="671"/>
      <c r="D95" s="3"/>
      <c r="E95" s="431"/>
      <c r="F95" s="431"/>
      <c r="G95" s="424"/>
      <c r="H95" s="424"/>
      <c r="I95" s="424"/>
      <c r="J95" s="424"/>
      <c r="K95" s="424"/>
      <c r="L95" s="424"/>
      <c r="M95" s="467"/>
    </row>
    <row r="96" spans="1:13" ht="15.75" x14ac:dyDescent="0.3">
      <c r="A96" s="1030"/>
      <c r="B96" s="475"/>
      <c r="C96" s="469"/>
      <c r="D96" s="470"/>
      <c r="E96" s="471"/>
      <c r="F96" s="471"/>
      <c r="G96" s="424"/>
      <c r="H96" s="424"/>
      <c r="I96" s="424"/>
      <c r="J96" s="424"/>
      <c r="K96" s="424"/>
      <c r="L96" s="424"/>
      <c r="M96" s="424"/>
    </row>
    <row r="97" spans="1:13" x14ac:dyDescent="0.25">
      <c r="A97" s="1030"/>
      <c r="B97" s="429"/>
      <c r="C97" s="478"/>
      <c r="D97" s="427"/>
      <c r="E97" s="428"/>
      <c r="F97" s="428"/>
      <c r="G97" s="424"/>
      <c r="H97" s="424"/>
      <c r="I97" s="424"/>
      <c r="J97" s="424"/>
      <c r="K97" s="424"/>
      <c r="L97" s="424"/>
      <c r="M97" s="424"/>
    </row>
    <row r="98" spans="1:13" x14ac:dyDescent="0.25">
      <c r="A98" s="791"/>
      <c r="B98" s="787"/>
      <c r="C98" s="3"/>
      <c r="D98" s="3"/>
      <c r="E98" s="449"/>
      <c r="F98" s="467"/>
      <c r="G98" s="788"/>
      <c r="H98" s="788"/>
      <c r="I98" s="788"/>
      <c r="J98" s="788"/>
      <c r="K98" s="788"/>
      <c r="L98" s="788"/>
      <c r="M98" s="788"/>
    </row>
    <row r="99" spans="1:13" x14ac:dyDescent="0.25">
      <c r="A99" s="791"/>
      <c r="B99" s="789"/>
      <c r="C99" s="430"/>
      <c r="D99" s="427"/>
      <c r="E99" s="450"/>
      <c r="F99" s="483"/>
      <c r="G99" s="783"/>
      <c r="H99" s="783"/>
      <c r="I99" s="783"/>
      <c r="J99" s="783"/>
      <c r="K99" s="783"/>
      <c r="L99" s="783"/>
      <c r="M99" s="424"/>
    </row>
    <row r="100" spans="1:13" x14ac:dyDescent="0.25">
      <c r="A100" s="791"/>
      <c r="B100" s="422"/>
      <c r="C100" s="479"/>
      <c r="D100" s="444"/>
      <c r="E100" s="480"/>
      <c r="F100" s="441"/>
      <c r="G100" s="418"/>
      <c r="H100" s="418"/>
      <c r="I100" s="418"/>
      <c r="J100" s="418"/>
      <c r="K100" s="418"/>
      <c r="L100" s="418"/>
      <c r="M100" s="424"/>
    </row>
    <row r="101" spans="1:13" x14ac:dyDescent="0.25">
      <c r="A101" s="791"/>
      <c r="B101" s="422"/>
      <c r="C101" s="430"/>
      <c r="D101" s="427"/>
      <c r="E101" s="450"/>
      <c r="F101" s="483"/>
      <c r="G101" s="783"/>
      <c r="H101" s="783"/>
      <c r="I101" s="783"/>
      <c r="J101" s="783"/>
      <c r="K101" s="783"/>
      <c r="L101" s="418"/>
      <c r="M101" s="424"/>
    </row>
    <row r="102" spans="1:13" x14ac:dyDescent="0.25">
      <c r="A102" s="791"/>
      <c r="B102" s="422"/>
      <c r="C102" s="528"/>
      <c r="D102" s="427"/>
      <c r="E102" s="450"/>
      <c r="F102" s="483"/>
      <c r="G102" s="783"/>
      <c r="H102" s="783"/>
      <c r="I102" s="783"/>
      <c r="J102" s="783"/>
      <c r="K102" s="783"/>
      <c r="L102" s="418"/>
      <c r="M102" s="424"/>
    </row>
    <row r="103" spans="1:13" x14ac:dyDescent="0.25">
      <c r="A103" s="791"/>
      <c r="B103" s="789"/>
      <c r="C103" s="430"/>
      <c r="D103" s="427"/>
      <c r="E103" s="450"/>
      <c r="F103" s="483"/>
      <c r="G103" s="783"/>
      <c r="H103" s="783"/>
      <c r="I103" s="783"/>
      <c r="J103" s="783"/>
      <c r="K103" s="783"/>
      <c r="L103" s="418"/>
      <c r="M103" s="424"/>
    </row>
    <row r="104" spans="1:13" x14ac:dyDescent="0.25">
      <c r="A104" s="791"/>
      <c r="B104" s="429"/>
      <c r="C104" s="433"/>
      <c r="D104" s="434"/>
      <c r="E104" s="481"/>
      <c r="F104" s="482"/>
      <c r="G104" s="435"/>
      <c r="H104" s="435"/>
      <c r="I104" s="435"/>
      <c r="J104" s="435"/>
      <c r="K104" s="435"/>
      <c r="L104" s="435"/>
      <c r="M104" s="435"/>
    </row>
    <row r="105" spans="1:13" x14ac:dyDescent="0.25">
      <c r="A105" s="791"/>
      <c r="B105" s="787"/>
      <c r="C105" s="430"/>
      <c r="D105" s="427"/>
      <c r="E105" s="450"/>
      <c r="F105" s="483"/>
      <c r="G105" s="783"/>
      <c r="H105" s="783"/>
      <c r="I105" s="783"/>
      <c r="J105" s="783"/>
      <c r="K105" s="783"/>
      <c r="L105" s="783"/>
      <c r="M105" s="783"/>
    </row>
    <row r="106" spans="1:13" x14ac:dyDescent="0.25">
      <c r="A106" s="439"/>
      <c r="B106" s="448"/>
      <c r="C106" s="449"/>
      <c r="D106" s="449"/>
      <c r="E106" s="450"/>
      <c r="F106" s="451"/>
      <c r="G106" s="783"/>
      <c r="H106" s="783"/>
      <c r="I106" s="783"/>
      <c r="J106" s="783"/>
      <c r="K106" s="783"/>
      <c r="L106" s="783"/>
      <c r="M106" s="783"/>
    </row>
    <row r="107" spans="1:13" x14ac:dyDescent="0.25">
      <c r="A107" s="439"/>
      <c r="B107" s="452"/>
      <c r="C107" s="453"/>
      <c r="D107" s="450"/>
      <c r="E107" s="450"/>
      <c r="F107" s="450"/>
      <c r="G107" s="783"/>
      <c r="H107" s="783"/>
      <c r="I107" s="783"/>
      <c r="J107" s="783"/>
      <c r="K107" s="783"/>
      <c r="L107" s="783"/>
      <c r="M107" s="424"/>
    </row>
    <row r="108" spans="1:13" x14ac:dyDescent="0.25">
      <c r="A108" s="439"/>
      <c r="B108" s="452"/>
      <c r="C108" s="453"/>
      <c r="D108" s="450"/>
      <c r="E108" s="450"/>
      <c r="F108" s="450"/>
      <c r="G108" s="783"/>
      <c r="H108" s="783"/>
      <c r="I108" s="783"/>
      <c r="J108" s="783"/>
      <c r="K108" s="783"/>
      <c r="L108" s="783"/>
      <c r="M108" s="424"/>
    </row>
    <row r="109" spans="1:13" x14ac:dyDescent="0.25">
      <c r="A109" s="439"/>
      <c r="B109" s="422"/>
      <c r="C109" s="454"/>
      <c r="D109" s="450"/>
      <c r="E109" s="455"/>
      <c r="F109" s="455"/>
      <c r="G109" s="783"/>
      <c r="H109" s="418"/>
      <c r="I109" s="783"/>
      <c r="J109" s="783"/>
      <c r="K109" s="783"/>
      <c r="L109" s="783"/>
      <c r="M109" s="424"/>
    </row>
    <row r="110" spans="1:13" x14ac:dyDescent="0.25">
      <c r="A110" s="439"/>
      <c r="B110" s="429"/>
      <c r="C110" s="456"/>
      <c r="D110" s="457"/>
      <c r="E110" s="457"/>
      <c r="F110" s="483"/>
      <c r="G110" s="424"/>
      <c r="H110" s="418"/>
      <c r="I110" s="418"/>
      <c r="J110" s="418"/>
      <c r="K110" s="418"/>
      <c r="L110" s="418"/>
      <c r="M110" s="418"/>
    </row>
    <row r="111" spans="1:13" x14ac:dyDescent="0.25">
      <c r="A111" s="439"/>
      <c r="B111" s="429"/>
      <c r="C111" s="456"/>
      <c r="D111" s="457"/>
      <c r="E111" s="457"/>
      <c r="F111" s="483"/>
      <c r="G111" s="424"/>
      <c r="H111" s="418"/>
      <c r="I111" s="418"/>
      <c r="J111" s="418"/>
      <c r="K111" s="418"/>
      <c r="L111" s="418"/>
      <c r="M111" s="418"/>
    </row>
    <row r="112" spans="1:13" x14ac:dyDescent="0.25">
      <c r="A112" s="439"/>
      <c r="B112" s="422"/>
      <c r="C112" s="453"/>
      <c r="D112" s="450"/>
      <c r="E112" s="450"/>
      <c r="F112" s="450"/>
      <c r="G112" s="783"/>
      <c r="H112" s="783"/>
      <c r="I112" s="783"/>
      <c r="J112" s="783"/>
      <c r="K112" s="783"/>
      <c r="L112" s="783"/>
      <c r="M112" s="435"/>
    </row>
    <row r="113" spans="1:13" x14ac:dyDescent="0.25">
      <c r="A113" s="427"/>
      <c r="B113" s="422"/>
      <c r="C113" s="3"/>
      <c r="D113" s="3"/>
      <c r="E113" s="449"/>
      <c r="F113" s="467"/>
      <c r="G113" s="783"/>
      <c r="H113" s="783"/>
      <c r="I113" s="783"/>
      <c r="J113" s="783"/>
      <c r="K113" s="783"/>
      <c r="L113" s="783"/>
      <c r="M113" s="783"/>
    </row>
    <row r="114" spans="1:13" x14ac:dyDescent="0.25">
      <c r="A114" s="427"/>
      <c r="B114" s="422"/>
      <c r="C114" s="430"/>
      <c r="D114" s="427"/>
      <c r="E114" s="450"/>
      <c r="F114" s="483"/>
      <c r="G114" s="783"/>
      <c r="H114" s="783"/>
      <c r="I114" s="783"/>
      <c r="J114" s="783"/>
      <c r="K114" s="783"/>
      <c r="L114" s="783"/>
      <c r="M114" s="424"/>
    </row>
    <row r="115" spans="1:13" x14ac:dyDescent="0.25">
      <c r="A115" s="427"/>
      <c r="B115" s="422"/>
      <c r="C115" s="479"/>
      <c r="D115" s="444"/>
      <c r="E115" s="480"/>
      <c r="F115" s="441"/>
      <c r="G115" s="418"/>
      <c r="H115" s="418"/>
      <c r="I115" s="418"/>
      <c r="J115" s="418"/>
      <c r="K115" s="418"/>
      <c r="L115" s="418"/>
      <c r="M115" s="424"/>
    </row>
    <row r="116" spans="1:13" x14ac:dyDescent="0.25">
      <c r="A116" s="427"/>
      <c r="B116" s="422"/>
      <c r="C116" s="430"/>
      <c r="D116" s="427"/>
      <c r="E116" s="450"/>
      <c r="F116" s="483"/>
      <c r="G116" s="783"/>
      <c r="H116" s="783"/>
      <c r="I116" s="783"/>
      <c r="J116" s="783"/>
      <c r="K116" s="783"/>
      <c r="L116" s="418"/>
      <c r="M116" s="424"/>
    </row>
    <row r="117" spans="1:13" x14ac:dyDescent="0.25">
      <c r="A117" s="427"/>
      <c r="B117" s="422"/>
      <c r="C117" s="430"/>
      <c r="D117" s="427"/>
      <c r="E117" s="450"/>
      <c r="F117" s="483"/>
      <c r="G117" s="783"/>
      <c r="H117" s="783"/>
      <c r="I117" s="783"/>
      <c r="J117" s="783"/>
      <c r="K117" s="783"/>
      <c r="L117" s="418"/>
      <c r="M117" s="424"/>
    </row>
    <row r="118" spans="1:13" x14ac:dyDescent="0.25">
      <c r="A118" s="427"/>
      <c r="B118" s="422"/>
      <c r="C118" s="430"/>
      <c r="D118" s="427"/>
      <c r="E118" s="450"/>
      <c r="F118" s="483"/>
      <c r="G118" s="783"/>
      <c r="H118" s="783"/>
      <c r="I118" s="783"/>
      <c r="J118" s="783"/>
      <c r="K118" s="783"/>
      <c r="L118" s="418"/>
      <c r="M118" s="424"/>
    </row>
    <row r="119" spans="1:13" x14ac:dyDescent="0.25">
      <c r="A119" s="427"/>
      <c r="B119" s="422"/>
      <c r="C119" s="430"/>
      <c r="D119" s="427"/>
      <c r="E119" s="450"/>
      <c r="F119" s="483"/>
      <c r="G119" s="783"/>
      <c r="H119" s="783"/>
      <c r="I119" s="783"/>
      <c r="J119" s="783"/>
      <c r="K119" s="783"/>
      <c r="L119" s="418"/>
      <c r="M119" s="424"/>
    </row>
    <row r="120" spans="1:13" x14ac:dyDescent="0.25">
      <c r="A120" s="427"/>
      <c r="B120" s="422"/>
      <c r="C120" s="430"/>
      <c r="D120" s="427"/>
      <c r="E120" s="450"/>
      <c r="F120" s="483"/>
      <c r="G120" s="783"/>
      <c r="H120" s="783"/>
      <c r="I120" s="783"/>
      <c r="J120" s="783"/>
      <c r="K120" s="783"/>
      <c r="L120" s="418"/>
      <c r="M120" s="424"/>
    </row>
    <row r="121" spans="1:13" x14ac:dyDescent="0.25">
      <c r="A121" s="427"/>
      <c r="B121" s="422"/>
      <c r="C121" s="430"/>
      <c r="D121" s="427"/>
      <c r="E121" s="791"/>
      <c r="F121" s="483"/>
      <c r="G121" s="783"/>
      <c r="H121" s="783"/>
      <c r="I121" s="783"/>
      <c r="J121" s="783"/>
      <c r="K121" s="783"/>
      <c r="L121" s="418"/>
      <c r="M121" s="424"/>
    </row>
    <row r="122" spans="1:13" x14ac:dyDescent="0.25">
      <c r="A122" s="427"/>
      <c r="B122" s="422"/>
      <c r="C122" s="430"/>
      <c r="D122" s="427"/>
      <c r="E122" s="450"/>
      <c r="F122" s="483"/>
      <c r="G122" s="783"/>
      <c r="H122" s="783"/>
      <c r="I122" s="783"/>
      <c r="J122" s="783"/>
      <c r="K122" s="783"/>
      <c r="L122" s="418"/>
      <c r="M122" s="424"/>
    </row>
    <row r="123" spans="1:13" x14ac:dyDescent="0.25">
      <c r="A123" s="427"/>
      <c r="B123" s="422"/>
      <c r="C123" s="430"/>
      <c r="D123" s="427"/>
      <c r="E123" s="450"/>
      <c r="F123" s="483"/>
      <c r="G123" s="783"/>
      <c r="H123" s="783"/>
      <c r="I123" s="783"/>
      <c r="J123" s="783"/>
      <c r="K123" s="783"/>
      <c r="L123" s="418"/>
      <c r="M123" s="424"/>
    </row>
    <row r="124" spans="1:13" x14ac:dyDescent="0.25">
      <c r="A124" s="439"/>
      <c r="B124" s="452"/>
      <c r="C124" s="671"/>
      <c r="D124" s="3"/>
      <c r="E124" s="436"/>
      <c r="F124" s="436"/>
      <c r="G124" s="788"/>
      <c r="H124" s="788"/>
      <c r="I124" s="788"/>
      <c r="J124" s="788"/>
      <c r="K124" s="788"/>
      <c r="L124" s="788"/>
      <c r="M124" s="788"/>
    </row>
    <row r="125" spans="1:13" x14ac:dyDescent="0.25">
      <c r="A125" s="439"/>
      <c r="B125" s="437"/>
      <c r="C125" s="438"/>
      <c r="D125" s="439"/>
      <c r="E125" s="440"/>
      <c r="F125" s="441"/>
      <c r="G125" s="783"/>
      <c r="H125" s="783"/>
      <c r="I125" s="783"/>
      <c r="J125" s="783"/>
      <c r="K125" s="783"/>
      <c r="L125" s="783"/>
      <c r="M125" s="424"/>
    </row>
    <row r="126" spans="1:13" x14ac:dyDescent="0.25">
      <c r="A126" s="439"/>
      <c r="B126" s="422"/>
      <c r="C126" s="430"/>
      <c r="D126" s="427"/>
      <c r="E126" s="441"/>
      <c r="F126" s="441"/>
      <c r="G126" s="783"/>
      <c r="H126" s="783"/>
      <c r="I126" s="783"/>
      <c r="J126" s="783"/>
      <c r="K126" s="783"/>
      <c r="L126" s="783"/>
      <c r="M126" s="424"/>
    </row>
    <row r="127" spans="1:13" x14ac:dyDescent="0.25">
      <c r="A127" s="439"/>
      <c r="B127" s="437"/>
      <c r="C127" s="430"/>
      <c r="D127" s="439"/>
      <c r="E127" s="441"/>
      <c r="F127" s="441"/>
      <c r="G127" s="783"/>
      <c r="H127" s="783"/>
      <c r="I127" s="783"/>
      <c r="J127" s="783"/>
      <c r="K127" s="783"/>
      <c r="L127" s="783"/>
      <c r="M127" s="424"/>
    </row>
    <row r="128" spans="1:13" x14ac:dyDescent="0.25">
      <c r="A128" s="439"/>
      <c r="B128" s="429"/>
      <c r="C128" s="438"/>
      <c r="D128" s="427"/>
      <c r="E128" s="442"/>
      <c r="F128" s="441"/>
      <c r="G128" s="783"/>
      <c r="H128" s="418"/>
      <c r="I128" s="783"/>
      <c r="J128" s="783"/>
      <c r="K128" s="783"/>
      <c r="L128" s="783"/>
      <c r="M128" s="424"/>
    </row>
    <row r="129" spans="1:13" x14ac:dyDescent="0.25">
      <c r="A129" s="439"/>
      <c r="B129" s="437"/>
      <c r="C129" s="438"/>
      <c r="D129" s="427"/>
      <c r="E129" s="443"/>
      <c r="F129" s="444"/>
      <c r="G129" s="783"/>
      <c r="H129" s="418"/>
      <c r="I129" s="783"/>
      <c r="J129" s="783"/>
      <c r="K129" s="783"/>
      <c r="L129" s="783"/>
      <c r="M129" s="424"/>
    </row>
    <row r="130" spans="1:13" x14ac:dyDescent="0.25">
      <c r="A130" s="439"/>
      <c r="B130" s="437"/>
      <c r="C130" s="438"/>
      <c r="D130" s="427"/>
      <c r="E130" s="443"/>
      <c r="F130" s="441"/>
      <c r="G130" s="783"/>
      <c r="H130" s="418"/>
      <c r="I130" s="783"/>
      <c r="J130" s="783"/>
      <c r="K130" s="783"/>
      <c r="L130" s="783"/>
      <c r="M130" s="424"/>
    </row>
    <row r="131" spans="1:13" x14ac:dyDescent="0.25">
      <c r="A131" s="439"/>
      <c r="B131" s="429"/>
      <c r="C131" s="438"/>
      <c r="D131" s="427"/>
      <c r="E131" s="445"/>
      <c r="F131" s="441"/>
      <c r="G131" s="783"/>
      <c r="H131" s="418"/>
      <c r="I131" s="783"/>
      <c r="J131" s="783"/>
      <c r="K131" s="783"/>
      <c r="L131" s="783"/>
      <c r="M131" s="424"/>
    </row>
    <row r="132" spans="1:13" x14ac:dyDescent="0.25">
      <c r="A132" s="439"/>
      <c r="B132" s="437"/>
      <c r="C132" s="426"/>
      <c r="D132" s="446"/>
      <c r="E132" s="440"/>
      <c r="F132" s="441"/>
      <c r="G132" s="783"/>
      <c r="H132" s="418"/>
      <c r="I132" s="783"/>
      <c r="J132" s="783"/>
      <c r="K132" s="783"/>
      <c r="L132" s="783"/>
      <c r="M132" s="424"/>
    </row>
    <row r="133" spans="1:13" x14ac:dyDescent="0.25">
      <c r="A133" s="439"/>
      <c r="B133" s="447"/>
      <c r="C133" s="426"/>
      <c r="D133" s="446"/>
      <c r="E133" s="445"/>
      <c r="F133" s="441"/>
      <c r="G133" s="783"/>
      <c r="H133" s="418"/>
      <c r="I133" s="783"/>
      <c r="J133" s="783"/>
      <c r="K133" s="783"/>
      <c r="L133" s="783"/>
      <c r="M133" s="424"/>
    </row>
    <row r="134" spans="1:13" x14ac:dyDescent="0.25">
      <c r="A134" s="416"/>
      <c r="B134" s="429"/>
      <c r="C134" s="46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</row>
    <row r="135" spans="1:13" x14ac:dyDescent="0.25">
      <c r="A135" s="416"/>
      <c r="B135" s="429"/>
      <c r="C135" s="459"/>
      <c r="D135" s="416"/>
      <c r="E135" s="417"/>
      <c r="F135" s="417"/>
      <c r="G135" s="170"/>
      <c r="H135" s="418"/>
      <c r="I135" s="418"/>
      <c r="J135" s="418"/>
      <c r="K135" s="418"/>
      <c r="L135" s="418"/>
      <c r="M135" s="418"/>
    </row>
    <row r="136" spans="1:13" x14ac:dyDescent="0.25">
      <c r="A136" s="416"/>
      <c r="B136" s="429"/>
      <c r="C136" s="459"/>
      <c r="D136" s="416"/>
      <c r="E136" s="417"/>
      <c r="F136" s="417"/>
      <c r="G136" s="418"/>
      <c r="H136" s="418"/>
      <c r="I136" s="418"/>
      <c r="J136" s="418"/>
      <c r="K136" s="418"/>
      <c r="L136" s="418"/>
      <c r="M136" s="418"/>
    </row>
    <row r="137" spans="1:13" x14ac:dyDescent="0.25">
      <c r="A137" s="416"/>
      <c r="B137" s="429"/>
      <c r="C137" s="461"/>
      <c r="D137" s="416"/>
      <c r="E137" s="417"/>
      <c r="F137" s="417"/>
      <c r="G137" s="418"/>
      <c r="H137" s="418"/>
      <c r="I137" s="418"/>
      <c r="J137" s="418"/>
      <c r="K137" s="418"/>
      <c r="L137" s="418"/>
      <c r="M137" s="418"/>
    </row>
    <row r="138" spans="1:13" x14ac:dyDescent="0.25">
      <c r="A138" s="416"/>
      <c r="B138" s="463"/>
      <c r="C138" s="459"/>
      <c r="D138" s="416"/>
      <c r="E138" s="417"/>
      <c r="F138" s="417"/>
      <c r="G138" s="170"/>
      <c r="H138" s="418"/>
      <c r="I138" s="418"/>
      <c r="J138" s="418"/>
      <c r="K138" s="418"/>
      <c r="L138" s="418"/>
      <c r="M138" s="418"/>
    </row>
    <row r="139" spans="1:13" x14ac:dyDescent="0.25">
      <c r="A139" s="416"/>
      <c r="B139" s="463"/>
      <c r="C139" s="459"/>
      <c r="D139" s="416"/>
      <c r="E139" s="417"/>
      <c r="F139" s="417"/>
      <c r="G139" s="418"/>
      <c r="H139" s="418"/>
      <c r="I139" s="418"/>
      <c r="J139" s="418"/>
      <c r="K139" s="418"/>
      <c r="L139" s="418"/>
      <c r="M139" s="418"/>
    </row>
    <row r="140" spans="1:13" x14ac:dyDescent="0.25">
      <c r="A140" s="1031"/>
      <c r="B140" s="448"/>
      <c r="C140" s="449"/>
      <c r="D140" s="449"/>
      <c r="E140" s="450"/>
      <c r="F140" s="451"/>
      <c r="G140" s="783"/>
      <c r="H140" s="783"/>
      <c r="I140" s="783"/>
      <c r="J140" s="783"/>
      <c r="K140" s="783"/>
      <c r="L140" s="783"/>
      <c r="M140" s="783"/>
    </row>
    <row r="141" spans="1:13" x14ac:dyDescent="0.25">
      <c r="A141" s="1031"/>
      <c r="B141" s="437"/>
      <c r="C141" s="453"/>
      <c r="D141" s="450"/>
      <c r="E141" s="450"/>
      <c r="F141" s="483"/>
      <c r="G141" s="783"/>
      <c r="H141" s="783"/>
      <c r="I141" s="418"/>
      <c r="J141" s="418"/>
      <c r="K141" s="783"/>
      <c r="L141" s="783"/>
      <c r="M141" s="418"/>
    </row>
    <row r="142" spans="1:13" x14ac:dyDescent="0.25">
      <c r="A142" s="1031"/>
      <c r="B142" s="437"/>
      <c r="C142" s="454"/>
      <c r="D142" s="450"/>
      <c r="E142" s="450"/>
      <c r="F142" s="483"/>
      <c r="G142" s="783"/>
      <c r="H142" s="783"/>
      <c r="I142" s="783"/>
      <c r="J142" s="783"/>
      <c r="K142" s="783"/>
      <c r="L142" s="783"/>
      <c r="M142" s="418"/>
    </row>
    <row r="143" spans="1:13" x14ac:dyDescent="0.25">
      <c r="A143" s="1031"/>
      <c r="B143" s="422"/>
      <c r="C143" s="453"/>
      <c r="D143" s="450"/>
      <c r="E143" s="450"/>
      <c r="F143" s="483"/>
      <c r="G143" s="783"/>
      <c r="H143" s="783"/>
      <c r="I143" s="783"/>
      <c r="J143" s="783"/>
      <c r="K143" s="783"/>
      <c r="L143" s="783"/>
      <c r="M143" s="418"/>
    </row>
    <row r="144" spans="1:13" ht="15.75" x14ac:dyDescent="0.3">
      <c r="A144" s="1031"/>
      <c r="B144" s="793"/>
      <c r="C144" s="794"/>
      <c r="D144" s="439"/>
      <c r="E144" s="440"/>
      <c r="F144" s="441"/>
      <c r="G144" s="783"/>
      <c r="H144" s="783"/>
      <c r="I144" s="783"/>
      <c r="J144" s="783"/>
      <c r="K144" s="783"/>
      <c r="L144" s="783"/>
      <c r="M144" s="418"/>
    </row>
    <row r="145" spans="1:13" x14ac:dyDescent="0.25">
      <c r="A145" s="1031"/>
      <c r="B145" s="484"/>
      <c r="C145" s="449"/>
      <c r="D145" s="449"/>
      <c r="E145" s="450"/>
      <c r="F145" s="451"/>
      <c r="G145" s="783"/>
      <c r="H145" s="783"/>
      <c r="I145" s="783"/>
      <c r="J145" s="783"/>
      <c r="K145" s="783"/>
      <c r="L145" s="783"/>
      <c r="M145" s="783"/>
    </row>
    <row r="146" spans="1:13" x14ac:dyDescent="0.25">
      <c r="A146" s="1031"/>
      <c r="B146" s="485"/>
      <c r="C146" s="453"/>
      <c r="D146" s="450"/>
      <c r="E146" s="450"/>
      <c r="F146" s="483"/>
      <c r="G146" s="783"/>
      <c r="H146" s="783"/>
      <c r="I146" s="418"/>
      <c r="J146" s="418"/>
      <c r="K146" s="783"/>
      <c r="L146" s="783"/>
      <c r="M146" s="418"/>
    </row>
    <row r="147" spans="1:13" x14ac:dyDescent="0.25">
      <c r="A147" s="1031"/>
      <c r="B147" s="485"/>
      <c r="C147" s="453"/>
      <c r="D147" s="450"/>
      <c r="E147" s="450"/>
      <c r="F147" s="483"/>
      <c r="G147" s="783"/>
      <c r="H147" s="783"/>
      <c r="I147" s="783"/>
      <c r="J147" s="783"/>
      <c r="K147" s="783"/>
      <c r="L147" s="783"/>
      <c r="M147" s="418"/>
    </row>
    <row r="148" spans="1:13" x14ac:dyDescent="0.25">
      <c r="A148" s="1031"/>
      <c r="B148" s="485"/>
      <c r="C148" s="453"/>
      <c r="D148" s="450"/>
      <c r="E148" s="483"/>
      <c r="F148" s="483"/>
      <c r="G148" s="783"/>
      <c r="H148" s="783"/>
      <c r="I148" s="783"/>
      <c r="J148" s="783"/>
      <c r="K148" s="783"/>
      <c r="L148" s="783"/>
      <c r="M148" s="418"/>
    </row>
    <row r="149" spans="1:13" x14ac:dyDescent="0.25">
      <c r="A149" s="1031"/>
      <c r="B149" s="450"/>
      <c r="C149" s="453"/>
      <c r="D149" s="450"/>
      <c r="E149" s="450"/>
      <c r="F149" s="483"/>
      <c r="G149" s="783"/>
      <c r="H149" s="783"/>
      <c r="I149" s="783"/>
      <c r="J149" s="783"/>
      <c r="K149" s="783"/>
      <c r="L149" s="783"/>
      <c r="M149" s="418"/>
    </row>
    <row r="150" spans="1:13" x14ac:dyDescent="0.25">
      <c r="A150" s="427"/>
      <c r="B150" s="422"/>
      <c r="C150" s="3"/>
      <c r="D150" s="3"/>
      <c r="E150" s="3"/>
      <c r="F150" s="795"/>
      <c r="G150" s="796"/>
      <c r="H150" s="796"/>
      <c r="I150" s="796"/>
      <c r="J150" s="796"/>
      <c r="K150" s="796"/>
      <c r="L150" s="796"/>
      <c r="M150" s="796"/>
    </row>
    <row r="151" spans="1:13" x14ac:dyDescent="0.25">
      <c r="A151" s="427"/>
      <c r="B151" s="422"/>
      <c r="C151" s="430"/>
      <c r="D151" s="430"/>
      <c r="E151" s="427"/>
      <c r="F151" s="483"/>
      <c r="G151" s="797"/>
      <c r="H151" s="797"/>
      <c r="I151" s="797"/>
      <c r="J151" s="797"/>
      <c r="K151" s="797"/>
      <c r="L151" s="797"/>
      <c r="M151" s="418"/>
    </row>
    <row r="152" spans="1:13" x14ac:dyDescent="0.25">
      <c r="A152" s="427"/>
      <c r="B152" s="422"/>
      <c r="C152" s="430"/>
      <c r="D152" s="427"/>
      <c r="E152" s="427"/>
      <c r="F152" s="483"/>
      <c r="G152" s="797"/>
      <c r="H152" s="797"/>
      <c r="I152" s="797"/>
      <c r="J152" s="797"/>
      <c r="K152" s="797"/>
      <c r="L152" s="797"/>
      <c r="M152" s="418"/>
    </row>
    <row r="153" spans="1:13" x14ac:dyDescent="0.25">
      <c r="A153" s="427"/>
      <c r="B153" s="437"/>
      <c r="C153" s="3"/>
      <c r="D153" s="3"/>
      <c r="E153" s="3"/>
      <c r="F153" s="451"/>
      <c r="G153" s="796"/>
      <c r="H153" s="796"/>
      <c r="I153" s="796"/>
      <c r="J153" s="796"/>
      <c r="K153" s="796"/>
      <c r="L153" s="796"/>
      <c r="M153" s="796"/>
    </row>
    <row r="154" spans="1:13" x14ac:dyDescent="0.25">
      <c r="A154" s="427"/>
      <c r="B154" s="782"/>
      <c r="C154" s="528"/>
      <c r="D154" s="427"/>
      <c r="E154" s="798"/>
      <c r="F154" s="483"/>
      <c r="G154" s="797"/>
      <c r="H154" s="797"/>
      <c r="I154" s="418"/>
      <c r="J154" s="418"/>
      <c r="K154" s="783"/>
      <c r="L154" s="783"/>
      <c r="M154" s="418"/>
    </row>
    <row r="155" spans="1:13" x14ac:dyDescent="0.25">
      <c r="A155" s="427"/>
      <c r="B155" s="782"/>
      <c r="C155" s="528"/>
      <c r="D155" s="427"/>
      <c r="E155" s="427"/>
      <c r="F155" s="483"/>
      <c r="G155" s="783"/>
      <c r="H155" s="783"/>
      <c r="I155" s="783"/>
      <c r="J155" s="783"/>
      <c r="K155" s="783"/>
      <c r="L155" s="783"/>
      <c r="M155" s="418"/>
    </row>
    <row r="156" spans="1:13" x14ac:dyDescent="0.25">
      <c r="A156" s="427"/>
      <c r="B156" s="422"/>
      <c r="C156" s="528"/>
      <c r="D156" s="427"/>
      <c r="E156" s="427"/>
      <c r="F156" s="483"/>
      <c r="G156" s="783"/>
      <c r="H156" s="783"/>
      <c r="I156" s="783"/>
      <c r="J156" s="783"/>
      <c r="K156" s="783"/>
      <c r="L156" s="783"/>
      <c r="M156" s="418"/>
    </row>
    <row r="157" spans="1:13" x14ac:dyDescent="0.25">
      <c r="A157" s="437"/>
      <c r="B157" s="437"/>
      <c r="C157" s="465"/>
      <c r="D157" s="3"/>
      <c r="E157" s="467"/>
      <c r="F157" s="467"/>
      <c r="G157" s="467"/>
      <c r="H157" s="467"/>
      <c r="I157" s="467"/>
      <c r="J157" s="467"/>
      <c r="K157" s="467"/>
      <c r="L157" s="467"/>
      <c r="M157" s="467"/>
    </row>
    <row r="158" spans="1:13" x14ac:dyDescent="0.25">
      <c r="A158" s="437"/>
      <c r="B158" s="437"/>
      <c r="C158" s="430"/>
      <c r="D158" s="526"/>
      <c r="E158" s="445"/>
      <c r="F158" s="445"/>
      <c r="G158" s="424"/>
      <c r="H158" s="424"/>
      <c r="I158" s="424"/>
      <c r="J158" s="424"/>
      <c r="K158" s="424"/>
      <c r="L158" s="424"/>
      <c r="M158" s="418"/>
    </row>
    <row r="159" spans="1:13" x14ac:dyDescent="0.25">
      <c r="A159" s="437"/>
      <c r="B159" s="437"/>
      <c r="C159" s="527"/>
      <c r="D159" s="427"/>
      <c r="E159" s="784"/>
      <c r="F159" s="424"/>
      <c r="G159" s="424"/>
      <c r="H159" s="424"/>
      <c r="I159" s="424"/>
      <c r="J159" s="424"/>
      <c r="K159" s="424"/>
      <c r="L159" s="424"/>
      <c r="M159" s="418"/>
    </row>
    <row r="160" spans="1:13" x14ac:dyDescent="0.25">
      <c r="A160" s="437"/>
      <c r="B160" s="437"/>
      <c r="C160" s="527"/>
      <c r="D160" s="427"/>
      <c r="E160" s="784"/>
      <c r="F160" s="424"/>
      <c r="G160" s="424"/>
      <c r="H160" s="424"/>
      <c r="I160" s="424"/>
      <c r="J160" s="424"/>
      <c r="K160" s="424"/>
      <c r="L160" s="424"/>
      <c r="M160" s="418"/>
    </row>
    <row r="161" spans="1:13" x14ac:dyDescent="0.25">
      <c r="A161" s="437"/>
      <c r="B161" s="437"/>
      <c r="C161" s="527"/>
      <c r="D161" s="427"/>
      <c r="E161" s="424"/>
      <c r="F161" s="424"/>
      <c r="G161" s="424"/>
      <c r="H161" s="424"/>
      <c r="I161" s="424"/>
      <c r="J161" s="424"/>
      <c r="K161" s="424"/>
      <c r="L161" s="424"/>
      <c r="M161" s="418"/>
    </row>
    <row r="162" spans="1:13" x14ac:dyDescent="0.25">
      <c r="A162" s="437"/>
      <c r="B162" s="437"/>
      <c r="C162" s="3"/>
      <c r="D162" s="3"/>
      <c r="E162" s="467"/>
      <c r="F162" s="467"/>
      <c r="G162" s="467"/>
      <c r="H162" s="467"/>
      <c r="I162" s="467"/>
      <c r="J162" s="467"/>
      <c r="K162" s="467"/>
      <c r="L162" s="467"/>
      <c r="M162" s="467"/>
    </row>
    <row r="163" spans="1:13" x14ac:dyDescent="0.25">
      <c r="A163" s="437"/>
      <c r="B163" s="437"/>
      <c r="C163" s="430"/>
      <c r="D163" s="526"/>
      <c r="E163" s="445"/>
      <c r="F163" s="441"/>
      <c r="G163" s="424"/>
      <c r="H163" s="424"/>
      <c r="I163" s="424"/>
      <c r="J163" s="424"/>
      <c r="K163" s="424"/>
      <c r="L163" s="424"/>
      <c r="M163" s="418"/>
    </row>
    <row r="164" spans="1:13" x14ac:dyDescent="0.25">
      <c r="A164" s="437"/>
      <c r="B164" s="437"/>
      <c r="C164" s="527"/>
      <c r="D164" s="427"/>
      <c r="E164" s="784"/>
      <c r="F164" s="483"/>
      <c r="G164" s="424"/>
      <c r="H164" s="424"/>
      <c r="I164" s="424"/>
      <c r="J164" s="424"/>
      <c r="K164" s="424"/>
      <c r="L164" s="424"/>
      <c r="M164" s="418"/>
    </row>
    <row r="165" spans="1:13" x14ac:dyDescent="0.25">
      <c r="A165" s="437"/>
      <c r="B165" s="437"/>
      <c r="C165" s="527"/>
      <c r="D165" s="427"/>
      <c r="E165" s="784"/>
      <c r="F165" s="483"/>
      <c r="G165" s="424"/>
      <c r="H165" s="424"/>
      <c r="I165" s="424"/>
      <c r="J165" s="424"/>
      <c r="K165" s="424"/>
      <c r="L165" s="424"/>
      <c r="M165" s="418"/>
    </row>
    <row r="166" spans="1:13" x14ac:dyDescent="0.25">
      <c r="A166" s="437"/>
      <c r="B166" s="437"/>
      <c r="C166" s="527"/>
      <c r="D166" s="427"/>
      <c r="E166" s="424"/>
      <c r="F166" s="424"/>
      <c r="G166" s="424"/>
      <c r="H166" s="424"/>
      <c r="I166" s="424"/>
      <c r="J166" s="424"/>
      <c r="K166" s="424"/>
      <c r="L166" s="424"/>
      <c r="M166" s="418"/>
    </row>
    <row r="167" spans="1:13" x14ac:dyDescent="0.25">
      <c r="A167" s="427"/>
      <c r="B167" s="429"/>
      <c r="C167" s="459"/>
      <c r="D167" s="416"/>
      <c r="E167" s="417"/>
      <c r="F167" s="417"/>
      <c r="G167" s="418"/>
      <c r="H167" s="418"/>
      <c r="I167" s="418"/>
      <c r="J167" s="418"/>
      <c r="K167" s="418"/>
      <c r="L167" s="418"/>
      <c r="M167" s="418"/>
    </row>
    <row r="168" spans="1:13" x14ac:dyDescent="0.25">
      <c r="A168" s="416"/>
      <c r="B168" s="463"/>
      <c r="C168" s="430"/>
      <c r="D168" s="464"/>
      <c r="E168" s="417"/>
      <c r="F168" s="417"/>
      <c r="G168" s="418"/>
      <c r="H168" s="418"/>
      <c r="I168" s="170"/>
      <c r="J168" s="170"/>
      <c r="K168" s="170"/>
      <c r="L168" s="170"/>
      <c r="M168" s="418"/>
    </row>
    <row r="169" spans="1:13" x14ac:dyDescent="0.25">
      <c r="A169" s="416"/>
      <c r="B169" s="463"/>
      <c r="C169" s="461"/>
      <c r="D169" s="464"/>
      <c r="E169" s="417"/>
      <c r="F169" s="417"/>
      <c r="G169" s="418"/>
      <c r="H169" s="170"/>
      <c r="I169" s="170"/>
      <c r="J169" s="170"/>
      <c r="K169" s="170"/>
      <c r="L169" s="170"/>
      <c r="M169" s="418"/>
    </row>
    <row r="170" spans="1:13" x14ac:dyDescent="0.25">
      <c r="A170" s="416"/>
      <c r="B170" s="437"/>
      <c r="C170" s="438"/>
      <c r="D170" s="464"/>
      <c r="E170" s="428"/>
      <c r="F170" s="458"/>
      <c r="G170" s="170"/>
      <c r="H170" s="170"/>
      <c r="I170" s="418"/>
      <c r="J170" s="418"/>
      <c r="K170" s="418"/>
      <c r="L170" s="424"/>
      <c r="M170" s="424"/>
    </row>
    <row r="171" spans="1:13" x14ac:dyDescent="0.25">
      <c r="A171" s="416"/>
      <c r="B171" s="437"/>
      <c r="C171" s="438"/>
      <c r="D171" s="464"/>
      <c r="E171" s="428"/>
      <c r="F171" s="458"/>
      <c r="G171" s="170"/>
      <c r="H171" s="170"/>
      <c r="I171" s="418"/>
      <c r="J171" s="418"/>
      <c r="K171" s="418"/>
      <c r="L171" s="418"/>
      <c r="M171" s="424"/>
    </row>
    <row r="172" spans="1:13" x14ac:dyDescent="0.25">
      <c r="A172" s="416"/>
      <c r="B172" s="437"/>
      <c r="C172" s="438"/>
      <c r="D172" s="464"/>
      <c r="E172" s="428"/>
      <c r="F172" s="458"/>
      <c r="G172" s="170"/>
      <c r="H172" s="170"/>
      <c r="I172" s="418"/>
      <c r="J172" s="418"/>
      <c r="K172" s="418"/>
      <c r="L172" s="424"/>
      <c r="M172" s="424"/>
    </row>
    <row r="173" spans="1:13" x14ac:dyDescent="0.25">
      <c r="A173" s="416"/>
      <c r="B173" s="437"/>
      <c r="C173" s="438"/>
      <c r="D173" s="464"/>
      <c r="E173" s="428"/>
      <c r="F173" s="417"/>
      <c r="G173" s="418"/>
      <c r="H173" s="418"/>
      <c r="I173" s="418"/>
      <c r="J173" s="418"/>
      <c r="K173" s="418"/>
      <c r="L173" s="424"/>
      <c r="M173" s="424"/>
    </row>
    <row r="174" spans="1:13" x14ac:dyDescent="0.25">
      <c r="A174" s="416"/>
      <c r="B174" s="437"/>
      <c r="C174" s="528"/>
      <c r="D174" s="529"/>
      <c r="E174" s="530"/>
      <c r="F174" s="428"/>
      <c r="G174" s="424"/>
      <c r="H174" s="424"/>
      <c r="I174" s="424"/>
      <c r="J174" s="424"/>
      <c r="K174" s="424"/>
      <c r="L174" s="424"/>
      <c r="M174" s="424"/>
    </row>
    <row r="175" spans="1:13" x14ac:dyDescent="0.25">
      <c r="A175" s="416"/>
      <c r="B175" s="465"/>
      <c r="C175" s="432"/>
      <c r="D175" s="531"/>
      <c r="E175" s="532"/>
      <c r="F175" s="423"/>
      <c r="G175" s="467"/>
      <c r="H175" s="467"/>
      <c r="I175" s="467"/>
      <c r="J175" s="467"/>
      <c r="K175" s="467"/>
      <c r="L175" s="467"/>
      <c r="M175" s="467"/>
    </row>
    <row r="176" spans="1:13" x14ac:dyDescent="0.25">
      <c r="A176" s="1032"/>
      <c r="B176" s="800"/>
      <c r="C176" s="799"/>
      <c r="D176" s="799"/>
      <c r="E176" s="799"/>
      <c r="F176" s="799"/>
      <c r="G176" s="801"/>
      <c r="H176" s="801"/>
      <c r="I176" s="801"/>
      <c r="J176" s="801"/>
      <c r="K176" s="801"/>
      <c r="L176" s="801"/>
      <c r="M176" s="801"/>
    </row>
    <row r="177" spans="1:13" x14ac:dyDescent="0.25">
      <c r="A177" s="421"/>
      <c r="B177" s="420"/>
      <c r="C177" s="468"/>
      <c r="D177" s="421"/>
      <c r="E177" s="421"/>
      <c r="F177" s="421"/>
      <c r="G177" s="421"/>
      <c r="H177" s="421"/>
      <c r="I177" s="421"/>
      <c r="J177" s="421"/>
      <c r="K177" s="421"/>
      <c r="L177" s="421"/>
      <c r="M177" s="421"/>
    </row>
    <row r="178" spans="1:13" x14ac:dyDescent="0.25">
      <c r="A178" s="416"/>
      <c r="B178" s="422"/>
      <c r="C178" s="533"/>
      <c r="D178" s="436"/>
      <c r="E178" s="534"/>
      <c r="F178" s="535"/>
      <c r="G178" s="418"/>
      <c r="H178" s="418"/>
      <c r="I178" s="418"/>
      <c r="J178" s="418"/>
      <c r="K178" s="418"/>
      <c r="L178" s="418"/>
      <c r="M178" s="418"/>
    </row>
    <row r="179" spans="1:13" x14ac:dyDescent="0.25">
      <c r="A179" s="416"/>
      <c r="B179" s="422"/>
      <c r="C179" s="479"/>
      <c r="D179" s="444"/>
      <c r="E179" s="480"/>
      <c r="F179" s="441"/>
      <c r="G179" s="418"/>
      <c r="H179" s="418"/>
      <c r="I179" s="418"/>
      <c r="J179" s="418"/>
      <c r="K179" s="418"/>
      <c r="L179" s="418"/>
      <c r="M179" s="424"/>
    </row>
    <row r="180" spans="1:13" x14ac:dyDescent="0.25">
      <c r="A180" s="416"/>
      <c r="B180" s="422"/>
      <c r="C180" s="479"/>
      <c r="D180" s="444"/>
      <c r="E180" s="480"/>
      <c r="F180" s="441"/>
      <c r="G180" s="418"/>
      <c r="H180" s="418"/>
      <c r="I180" s="418"/>
      <c r="J180" s="418"/>
      <c r="K180" s="418"/>
      <c r="L180" s="418"/>
      <c r="M180" s="424"/>
    </row>
    <row r="181" spans="1:13" x14ac:dyDescent="0.25">
      <c r="A181" s="416"/>
      <c r="B181" s="422"/>
      <c r="C181" s="479"/>
      <c r="D181" s="444"/>
      <c r="E181" s="480"/>
      <c r="F181" s="441"/>
      <c r="G181" s="418"/>
      <c r="H181" s="418"/>
      <c r="I181" s="418"/>
      <c r="J181" s="418"/>
      <c r="K181" s="418"/>
      <c r="L181" s="418"/>
      <c r="M181" s="424"/>
    </row>
    <row r="182" spans="1:13" x14ac:dyDescent="0.25">
      <c r="A182" s="416"/>
      <c r="B182" s="422"/>
      <c r="C182" s="533"/>
      <c r="D182" s="436"/>
      <c r="E182" s="534"/>
      <c r="F182" s="536"/>
      <c r="G182" s="418"/>
      <c r="H182" s="418"/>
      <c r="I182" s="418"/>
      <c r="J182" s="418"/>
      <c r="K182" s="418"/>
      <c r="L182" s="418"/>
      <c r="M182" s="418"/>
    </row>
    <row r="183" spans="1:13" x14ac:dyDescent="0.25">
      <c r="A183" s="416"/>
      <c r="B183" s="422"/>
      <c r="C183" s="479"/>
      <c r="D183" s="444"/>
      <c r="E183" s="480"/>
      <c r="F183" s="441"/>
      <c r="G183" s="418"/>
      <c r="H183" s="418"/>
      <c r="I183" s="418"/>
      <c r="J183" s="418"/>
      <c r="K183" s="418"/>
      <c r="L183" s="418"/>
      <c r="M183" s="424"/>
    </row>
    <row r="184" spans="1:13" x14ac:dyDescent="0.25">
      <c r="A184" s="1028"/>
      <c r="B184" s="472"/>
      <c r="C184" s="170"/>
      <c r="D184" s="537"/>
      <c r="E184" s="443"/>
      <c r="F184" s="537"/>
      <c r="G184" s="537"/>
      <c r="H184" s="538"/>
      <c r="I184" s="538"/>
      <c r="J184" s="538"/>
      <c r="K184" s="538"/>
      <c r="L184" s="538"/>
      <c r="M184" s="538"/>
    </row>
    <row r="185" spans="1:13" x14ac:dyDescent="0.25">
      <c r="A185" s="1028"/>
      <c r="B185" s="472"/>
      <c r="C185" s="461"/>
      <c r="D185" s="539"/>
      <c r="E185" s="540"/>
      <c r="F185" s="540"/>
      <c r="G185" s="538"/>
      <c r="H185" s="538"/>
      <c r="I185" s="538"/>
      <c r="J185" s="538"/>
      <c r="K185" s="538"/>
      <c r="L185" s="538"/>
      <c r="M185" s="538"/>
    </row>
    <row r="186" spans="1:13" x14ac:dyDescent="0.25">
      <c r="A186" s="1028"/>
      <c r="B186" s="429"/>
      <c r="C186" s="170"/>
      <c r="D186" s="537"/>
      <c r="E186" s="538"/>
      <c r="F186" s="537"/>
      <c r="G186" s="537"/>
      <c r="H186" s="538"/>
      <c r="I186" s="538"/>
      <c r="J186" s="538"/>
      <c r="K186" s="538"/>
      <c r="L186" s="538"/>
      <c r="M186" s="538"/>
    </row>
    <row r="187" spans="1:13" x14ac:dyDescent="0.25">
      <c r="A187" s="1029"/>
      <c r="B187" s="422"/>
      <c r="C187" s="671"/>
      <c r="D187" s="3"/>
      <c r="E187" s="423"/>
      <c r="F187" s="423"/>
      <c r="G187" s="424"/>
      <c r="H187" s="424"/>
      <c r="I187" s="424"/>
      <c r="J187" s="424"/>
      <c r="K187" s="424"/>
      <c r="L187" s="424"/>
      <c r="M187" s="467"/>
    </row>
    <row r="188" spans="1:13" x14ac:dyDescent="0.25">
      <c r="A188" s="1029"/>
      <c r="B188" s="425"/>
      <c r="C188" s="426"/>
      <c r="D188" s="427"/>
      <c r="E188" s="428"/>
      <c r="F188" s="428"/>
      <c r="G188" s="424"/>
      <c r="H188" s="424"/>
      <c r="I188" s="424"/>
      <c r="J188" s="424"/>
      <c r="K188" s="424"/>
      <c r="L188" s="424"/>
      <c r="M188" s="424"/>
    </row>
    <row r="189" spans="1:13" x14ac:dyDescent="0.25">
      <c r="A189" s="1029"/>
      <c r="B189" s="425"/>
      <c r="C189" s="426"/>
      <c r="D189" s="427"/>
      <c r="E189" s="428"/>
      <c r="F189" s="428"/>
      <c r="G189" s="424"/>
      <c r="H189" s="424"/>
      <c r="I189" s="424"/>
      <c r="J189" s="424"/>
      <c r="K189" s="424"/>
      <c r="L189" s="424"/>
      <c r="M189" s="424"/>
    </row>
    <row r="190" spans="1:13" x14ac:dyDescent="0.25">
      <c r="A190" s="1029"/>
      <c r="B190" s="429"/>
      <c r="C190" s="426"/>
      <c r="D190" s="427"/>
      <c r="E190" s="428"/>
      <c r="F190" s="428"/>
      <c r="G190" s="424"/>
      <c r="H190" s="424"/>
      <c r="I190" s="424"/>
      <c r="J190" s="424"/>
      <c r="K190" s="424"/>
      <c r="L190" s="424"/>
      <c r="M190" s="424"/>
    </row>
    <row r="191" spans="1:13" x14ac:dyDescent="0.25">
      <c r="A191" s="1030"/>
      <c r="B191" s="475"/>
      <c r="C191" s="671"/>
      <c r="D191" s="3"/>
      <c r="E191" s="431"/>
      <c r="F191" s="431"/>
      <c r="G191" s="424"/>
      <c r="H191" s="424"/>
      <c r="I191" s="424"/>
      <c r="J191" s="424"/>
      <c r="K191" s="424"/>
      <c r="L191" s="424"/>
      <c r="M191" s="467"/>
    </row>
    <row r="192" spans="1:13" ht="15.75" x14ac:dyDescent="0.3">
      <c r="A192" s="1030"/>
      <c r="B192" s="475"/>
      <c r="C192" s="469"/>
      <c r="D192" s="470"/>
      <c r="E192" s="471"/>
      <c r="F192" s="471"/>
      <c r="G192" s="424"/>
      <c r="H192" s="424"/>
      <c r="I192" s="424"/>
      <c r="J192" s="424"/>
      <c r="K192" s="424"/>
      <c r="L192" s="424"/>
      <c r="M192" s="424"/>
    </row>
    <row r="193" spans="1:13" x14ac:dyDescent="0.25">
      <c r="A193" s="1030"/>
      <c r="B193" s="429"/>
      <c r="C193" s="478"/>
      <c r="D193" s="427"/>
      <c r="E193" s="428"/>
      <c r="F193" s="428"/>
      <c r="G193" s="424"/>
      <c r="H193" s="424"/>
      <c r="I193" s="424"/>
      <c r="J193" s="424"/>
      <c r="K193" s="424"/>
      <c r="L193" s="424"/>
      <c r="M193" s="424"/>
    </row>
    <row r="194" spans="1:13" x14ac:dyDescent="0.25">
      <c r="A194" s="791"/>
      <c r="B194" s="787"/>
      <c r="C194" s="3"/>
      <c r="D194" s="3"/>
      <c r="E194" s="449"/>
      <c r="F194" s="467"/>
      <c r="G194" s="788"/>
      <c r="H194" s="788"/>
      <c r="I194" s="788"/>
      <c r="J194" s="788"/>
      <c r="K194" s="788"/>
      <c r="L194" s="788"/>
      <c r="M194" s="788"/>
    </row>
    <row r="195" spans="1:13" x14ac:dyDescent="0.25">
      <c r="A195" s="791"/>
      <c r="B195" s="789"/>
      <c r="C195" s="430"/>
      <c r="D195" s="427"/>
      <c r="E195" s="450"/>
      <c r="F195" s="483"/>
      <c r="G195" s="783"/>
      <c r="H195" s="783"/>
      <c r="I195" s="783"/>
      <c r="J195" s="783"/>
      <c r="K195" s="783"/>
      <c r="L195" s="783"/>
      <c r="M195" s="424"/>
    </row>
    <row r="196" spans="1:13" x14ac:dyDescent="0.25">
      <c r="A196" s="791"/>
      <c r="B196" s="422"/>
      <c r="C196" s="479"/>
      <c r="D196" s="444"/>
      <c r="E196" s="480"/>
      <c r="F196" s="441"/>
      <c r="G196" s="418"/>
      <c r="H196" s="418"/>
      <c r="I196" s="418"/>
      <c r="J196" s="418"/>
      <c r="K196" s="418"/>
      <c r="L196" s="418"/>
      <c r="M196" s="424"/>
    </row>
    <row r="197" spans="1:13" x14ac:dyDescent="0.25">
      <c r="A197" s="791"/>
      <c r="B197" s="422"/>
      <c r="C197" s="430"/>
      <c r="D197" s="427"/>
      <c r="E197" s="450"/>
      <c r="F197" s="483"/>
      <c r="G197" s="783"/>
      <c r="H197" s="783"/>
      <c r="I197" s="783"/>
      <c r="J197" s="783"/>
      <c r="K197" s="783"/>
      <c r="L197" s="418"/>
      <c r="M197" s="424"/>
    </row>
    <row r="198" spans="1:13" x14ac:dyDescent="0.25">
      <c r="A198" s="791"/>
      <c r="B198" s="422"/>
      <c r="C198" s="528"/>
      <c r="D198" s="427"/>
      <c r="E198" s="450"/>
      <c r="F198" s="483"/>
      <c r="G198" s="783"/>
      <c r="H198" s="783"/>
      <c r="I198" s="783"/>
      <c r="J198" s="783"/>
      <c r="K198" s="783"/>
      <c r="L198" s="418"/>
      <c r="M198" s="424"/>
    </row>
    <row r="199" spans="1:13" x14ac:dyDescent="0.25">
      <c r="A199" s="791"/>
      <c r="B199" s="789"/>
      <c r="C199" s="430"/>
      <c r="D199" s="427"/>
      <c r="E199" s="450"/>
      <c r="F199" s="483"/>
      <c r="G199" s="783"/>
      <c r="H199" s="783"/>
      <c r="I199" s="783"/>
      <c r="J199" s="783"/>
      <c r="K199" s="783"/>
      <c r="L199" s="418"/>
      <c r="M199" s="424"/>
    </row>
    <row r="200" spans="1:13" x14ac:dyDescent="0.25">
      <c r="A200" s="791"/>
      <c r="B200" s="429"/>
      <c r="C200" s="433"/>
      <c r="D200" s="434"/>
      <c r="E200" s="481"/>
      <c r="F200" s="482"/>
      <c r="G200" s="435"/>
      <c r="H200" s="435"/>
      <c r="I200" s="435"/>
      <c r="J200" s="435"/>
      <c r="K200" s="435"/>
      <c r="L200" s="435"/>
      <c r="M200" s="435"/>
    </row>
    <row r="201" spans="1:13" x14ac:dyDescent="0.25">
      <c r="A201" s="791"/>
      <c r="B201" s="787"/>
      <c r="C201" s="430"/>
      <c r="D201" s="427"/>
      <c r="E201" s="450"/>
      <c r="F201" s="483"/>
      <c r="G201" s="783"/>
      <c r="H201" s="783"/>
      <c r="I201" s="783"/>
      <c r="J201" s="783"/>
      <c r="K201" s="783"/>
      <c r="L201" s="783"/>
      <c r="M201" s="783"/>
    </row>
    <row r="202" spans="1:13" x14ac:dyDescent="0.25">
      <c r="A202" s="439"/>
      <c r="B202" s="448"/>
      <c r="C202" s="449"/>
      <c r="D202" s="449"/>
      <c r="E202" s="450"/>
      <c r="F202" s="451"/>
      <c r="G202" s="783"/>
      <c r="H202" s="783"/>
      <c r="I202" s="783"/>
      <c r="J202" s="783"/>
      <c r="K202" s="783"/>
      <c r="L202" s="783"/>
      <c r="M202" s="783"/>
    </row>
    <row r="203" spans="1:13" x14ac:dyDescent="0.25">
      <c r="A203" s="439"/>
      <c r="B203" s="452"/>
      <c r="C203" s="453"/>
      <c r="D203" s="450"/>
      <c r="E203" s="450"/>
      <c r="F203" s="450"/>
      <c r="G203" s="783"/>
      <c r="H203" s="783"/>
      <c r="I203" s="783"/>
      <c r="J203" s="783"/>
      <c r="K203" s="783"/>
      <c r="L203" s="783"/>
      <c r="M203" s="424"/>
    </row>
    <row r="204" spans="1:13" x14ac:dyDescent="0.25">
      <c r="A204" s="439"/>
      <c r="B204" s="452"/>
      <c r="C204" s="453"/>
      <c r="D204" s="450"/>
      <c r="E204" s="450"/>
      <c r="F204" s="450"/>
      <c r="G204" s="783"/>
      <c r="H204" s="783"/>
      <c r="I204" s="783"/>
      <c r="J204" s="783"/>
      <c r="K204" s="783"/>
      <c r="L204" s="783"/>
      <c r="M204" s="424"/>
    </row>
    <row r="205" spans="1:13" x14ac:dyDescent="0.25">
      <c r="A205" s="439"/>
      <c r="B205" s="422"/>
      <c r="C205" s="454"/>
      <c r="D205" s="450"/>
      <c r="E205" s="455"/>
      <c r="F205" s="455"/>
      <c r="G205" s="783"/>
      <c r="H205" s="418"/>
      <c r="I205" s="783"/>
      <c r="J205" s="783"/>
      <c r="K205" s="783"/>
      <c r="L205" s="783"/>
      <c r="M205" s="424"/>
    </row>
    <row r="206" spans="1:13" x14ac:dyDescent="0.25">
      <c r="A206" s="439"/>
      <c r="B206" s="429"/>
      <c r="C206" s="456"/>
      <c r="D206" s="457"/>
      <c r="E206" s="457"/>
      <c r="F206" s="483"/>
      <c r="G206" s="424"/>
      <c r="H206" s="418"/>
      <c r="I206" s="418"/>
      <c r="J206" s="418"/>
      <c r="K206" s="418"/>
      <c r="L206" s="418"/>
      <c r="M206" s="418"/>
    </row>
    <row r="207" spans="1:13" x14ac:dyDescent="0.25">
      <c r="A207" s="439"/>
      <c r="B207" s="429"/>
      <c r="C207" s="456"/>
      <c r="D207" s="457"/>
      <c r="E207" s="457"/>
      <c r="F207" s="483"/>
      <c r="G207" s="424"/>
      <c r="H207" s="418"/>
      <c r="I207" s="418"/>
      <c r="J207" s="418"/>
      <c r="K207" s="418"/>
      <c r="L207" s="418"/>
      <c r="M207" s="418"/>
    </row>
    <row r="208" spans="1:13" x14ac:dyDescent="0.25">
      <c r="A208" s="439"/>
      <c r="B208" s="422"/>
      <c r="C208" s="453"/>
      <c r="D208" s="450"/>
      <c r="E208" s="450"/>
      <c r="F208" s="450"/>
      <c r="G208" s="783"/>
      <c r="H208" s="783"/>
      <c r="I208" s="783"/>
      <c r="J208" s="783"/>
      <c r="K208" s="783"/>
      <c r="L208" s="783"/>
      <c r="M208" s="435"/>
    </row>
    <row r="209" spans="1:13" x14ac:dyDescent="0.25">
      <c r="A209" s="427"/>
      <c r="B209" s="422"/>
      <c r="C209" s="3"/>
      <c r="D209" s="3"/>
      <c r="E209" s="449"/>
      <c r="F209" s="467"/>
      <c r="G209" s="783"/>
      <c r="H209" s="783"/>
      <c r="I209" s="783"/>
      <c r="J209" s="783"/>
      <c r="K209" s="783"/>
      <c r="L209" s="783"/>
      <c r="M209" s="783"/>
    </row>
    <row r="210" spans="1:13" x14ac:dyDescent="0.25">
      <c r="A210" s="427"/>
      <c r="B210" s="422"/>
      <c r="C210" s="430"/>
      <c r="D210" s="427"/>
      <c r="E210" s="450"/>
      <c r="F210" s="483"/>
      <c r="G210" s="783"/>
      <c r="H210" s="783"/>
      <c r="I210" s="783"/>
      <c r="J210" s="783"/>
      <c r="K210" s="783"/>
      <c r="L210" s="783"/>
      <c r="M210" s="424"/>
    </row>
    <row r="211" spans="1:13" x14ac:dyDescent="0.25">
      <c r="A211" s="427"/>
      <c r="B211" s="422"/>
      <c r="C211" s="479"/>
      <c r="D211" s="444"/>
      <c r="E211" s="480"/>
      <c r="F211" s="441"/>
      <c r="G211" s="418"/>
      <c r="H211" s="418"/>
      <c r="I211" s="418"/>
      <c r="J211" s="418"/>
      <c r="K211" s="418"/>
      <c r="L211" s="418"/>
      <c r="M211" s="424"/>
    </row>
    <row r="212" spans="1:13" x14ac:dyDescent="0.25">
      <c r="A212" s="427"/>
      <c r="B212" s="422"/>
      <c r="C212" s="430"/>
      <c r="D212" s="427"/>
      <c r="E212" s="450"/>
      <c r="F212" s="483"/>
      <c r="G212" s="783"/>
      <c r="H212" s="783"/>
      <c r="I212" s="783"/>
      <c r="J212" s="783"/>
      <c r="K212" s="783"/>
      <c r="L212" s="418"/>
      <c r="M212" s="424"/>
    </row>
    <row r="213" spans="1:13" x14ac:dyDescent="0.25">
      <c r="A213" s="427"/>
      <c r="B213" s="422"/>
      <c r="C213" s="430"/>
      <c r="D213" s="427"/>
      <c r="E213" s="450"/>
      <c r="F213" s="483"/>
      <c r="G213" s="783"/>
      <c r="H213" s="783"/>
      <c r="I213" s="783"/>
      <c r="J213" s="783"/>
      <c r="K213" s="783"/>
      <c r="L213" s="418"/>
      <c r="M213" s="424"/>
    </row>
    <row r="214" spans="1:13" x14ac:dyDescent="0.25">
      <c r="A214" s="427"/>
      <c r="B214" s="422"/>
      <c r="C214" s="430"/>
      <c r="D214" s="427"/>
      <c r="E214" s="450"/>
      <c r="F214" s="483"/>
      <c r="G214" s="783"/>
      <c r="H214" s="783"/>
      <c r="I214" s="783"/>
      <c r="J214" s="783"/>
      <c r="K214" s="783"/>
      <c r="L214" s="418"/>
      <c r="M214" s="424"/>
    </row>
    <row r="215" spans="1:13" x14ac:dyDescent="0.25">
      <c r="A215" s="427"/>
      <c r="B215" s="422"/>
      <c r="C215" s="430"/>
      <c r="D215" s="427"/>
      <c r="E215" s="450"/>
      <c r="F215" s="483"/>
      <c r="G215" s="783"/>
      <c r="H215" s="783"/>
      <c r="I215" s="783"/>
      <c r="J215" s="783"/>
      <c r="K215" s="783"/>
      <c r="L215" s="418"/>
      <c r="M215" s="424"/>
    </row>
    <row r="216" spans="1:13" x14ac:dyDescent="0.25">
      <c r="A216" s="427"/>
      <c r="B216" s="422"/>
      <c r="C216" s="430"/>
      <c r="D216" s="427"/>
      <c r="E216" s="450"/>
      <c r="F216" s="483"/>
      <c r="G216" s="783"/>
      <c r="H216" s="783"/>
      <c r="I216" s="783"/>
      <c r="J216" s="783"/>
      <c r="K216" s="783"/>
      <c r="L216" s="418"/>
      <c r="M216" s="424"/>
    </row>
    <row r="217" spans="1:13" x14ac:dyDescent="0.25">
      <c r="A217" s="427"/>
      <c r="B217" s="422"/>
      <c r="C217" s="430"/>
      <c r="D217" s="427"/>
      <c r="E217" s="791"/>
      <c r="F217" s="483"/>
      <c r="G217" s="783"/>
      <c r="H217" s="783"/>
      <c r="I217" s="783"/>
      <c r="J217" s="783"/>
      <c r="K217" s="783"/>
      <c r="L217" s="418"/>
      <c r="M217" s="424"/>
    </row>
    <row r="218" spans="1:13" x14ac:dyDescent="0.25">
      <c r="A218" s="427"/>
      <c r="B218" s="422"/>
      <c r="C218" s="430"/>
      <c r="D218" s="427"/>
      <c r="E218" s="450"/>
      <c r="F218" s="483"/>
      <c r="G218" s="783"/>
      <c r="H218" s="783"/>
      <c r="I218" s="783"/>
      <c r="J218" s="783"/>
      <c r="K218" s="783"/>
      <c r="L218" s="418"/>
      <c r="M218" s="424"/>
    </row>
    <row r="219" spans="1:13" x14ac:dyDescent="0.25">
      <c r="A219" s="427"/>
      <c r="B219" s="422"/>
      <c r="C219" s="430"/>
      <c r="D219" s="427"/>
      <c r="E219" s="450"/>
      <c r="F219" s="483"/>
      <c r="G219" s="783"/>
      <c r="H219" s="783"/>
      <c r="I219" s="783"/>
      <c r="J219" s="783"/>
      <c r="K219" s="783"/>
      <c r="L219" s="418"/>
      <c r="M219" s="424"/>
    </row>
    <row r="220" spans="1:13" x14ac:dyDescent="0.25">
      <c r="A220" s="439"/>
      <c r="B220" s="422"/>
      <c r="C220" s="671"/>
      <c r="D220" s="3"/>
      <c r="E220" s="436"/>
      <c r="F220" s="436"/>
      <c r="G220" s="788"/>
      <c r="H220" s="788"/>
      <c r="I220" s="788"/>
      <c r="J220" s="788"/>
      <c r="K220" s="788"/>
      <c r="L220" s="788"/>
      <c r="M220" s="788"/>
    </row>
    <row r="221" spans="1:13" x14ac:dyDescent="0.25">
      <c r="A221" s="439"/>
      <c r="B221" s="437"/>
      <c r="C221" s="438"/>
      <c r="D221" s="439"/>
      <c r="E221" s="440"/>
      <c r="F221" s="441"/>
      <c r="G221" s="783"/>
      <c r="H221" s="783"/>
      <c r="I221" s="783"/>
      <c r="J221" s="783"/>
      <c r="K221" s="783"/>
      <c r="L221" s="783"/>
      <c r="M221" s="424"/>
    </row>
    <row r="222" spans="1:13" x14ac:dyDescent="0.25">
      <c r="A222" s="439"/>
      <c r="B222" s="422"/>
      <c r="C222" s="430"/>
      <c r="D222" s="427"/>
      <c r="E222" s="441"/>
      <c r="F222" s="441"/>
      <c r="G222" s="783"/>
      <c r="H222" s="783"/>
      <c r="I222" s="783"/>
      <c r="J222" s="783"/>
      <c r="K222" s="783"/>
      <c r="L222" s="783"/>
      <c r="M222" s="424"/>
    </row>
    <row r="223" spans="1:13" x14ac:dyDescent="0.25">
      <c r="A223" s="439"/>
      <c r="B223" s="437"/>
      <c r="C223" s="430"/>
      <c r="D223" s="439"/>
      <c r="E223" s="441"/>
      <c r="F223" s="441"/>
      <c r="G223" s="783"/>
      <c r="H223" s="783"/>
      <c r="I223" s="783"/>
      <c r="J223" s="783"/>
      <c r="K223" s="783"/>
      <c r="L223" s="783"/>
      <c r="M223" s="424"/>
    </row>
    <row r="224" spans="1:13" x14ac:dyDescent="0.25">
      <c r="A224" s="439"/>
      <c r="B224" s="429"/>
      <c r="C224" s="438"/>
      <c r="D224" s="427"/>
      <c r="E224" s="442"/>
      <c r="F224" s="441"/>
      <c r="G224" s="783"/>
      <c r="H224" s="418"/>
      <c r="I224" s="783"/>
      <c r="J224" s="783"/>
      <c r="K224" s="783"/>
      <c r="L224" s="783"/>
      <c r="M224" s="424"/>
    </row>
    <row r="225" spans="1:13" x14ac:dyDescent="0.25">
      <c r="A225" s="439"/>
      <c r="B225" s="437"/>
      <c r="C225" s="438"/>
      <c r="D225" s="427"/>
      <c r="E225" s="443"/>
      <c r="F225" s="444"/>
      <c r="G225" s="783"/>
      <c r="H225" s="418"/>
      <c r="I225" s="783"/>
      <c r="J225" s="783"/>
      <c r="K225" s="783"/>
      <c r="L225" s="783"/>
      <c r="M225" s="424"/>
    </row>
    <row r="226" spans="1:13" x14ac:dyDescent="0.25">
      <c r="A226" s="439"/>
      <c r="B226" s="437"/>
      <c r="C226" s="438"/>
      <c r="D226" s="427"/>
      <c r="E226" s="443"/>
      <c r="F226" s="441"/>
      <c r="G226" s="783"/>
      <c r="H226" s="418"/>
      <c r="I226" s="783"/>
      <c r="J226" s="783"/>
      <c r="K226" s="783"/>
      <c r="L226" s="783"/>
      <c r="M226" s="424"/>
    </row>
    <row r="227" spans="1:13" x14ac:dyDescent="0.25">
      <c r="A227" s="439"/>
      <c r="B227" s="429"/>
      <c r="C227" s="438"/>
      <c r="D227" s="427"/>
      <c r="E227" s="445"/>
      <c r="F227" s="441"/>
      <c r="G227" s="783"/>
      <c r="H227" s="418"/>
      <c r="I227" s="783"/>
      <c r="J227" s="783"/>
      <c r="K227" s="783"/>
      <c r="L227" s="783"/>
      <c r="M227" s="424"/>
    </row>
    <row r="228" spans="1:13" x14ac:dyDescent="0.25">
      <c r="A228" s="439"/>
      <c r="B228" s="437"/>
      <c r="C228" s="426"/>
      <c r="D228" s="446"/>
      <c r="E228" s="440"/>
      <c r="F228" s="441"/>
      <c r="G228" s="783"/>
      <c r="H228" s="418"/>
      <c r="I228" s="783"/>
      <c r="J228" s="783"/>
      <c r="K228" s="783"/>
      <c r="L228" s="783"/>
      <c r="M228" s="424"/>
    </row>
    <row r="229" spans="1:13" x14ac:dyDescent="0.25">
      <c r="A229" s="439"/>
      <c r="B229" s="447"/>
      <c r="C229" s="426"/>
      <c r="D229" s="446"/>
      <c r="E229" s="445"/>
      <c r="F229" s="441"/>
      <c r="G229" s="783"/>
      <c r="H229" s="418"/>
      <c r="I229" s="783"/>
      <c r="J229" s="783"/>
      <c r="K229" s="783"/>
      <c r="L229" s="783"/>
      <c r="M229" s="424"/>
    </row>
    <row r="230" spans="1:13" x14ac:dyDescent="0.25">
      <c r="A230" s="416"/>
      <c r="B230" s="429"/>
      <c r="C230" s="46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</row>
    <row r="231" spans="1:13" x14ac:dyDescent="0.25">
      <c r="A231" s="416"/>
      <c r="B231" s="429"/>
      <c r="C231" s="459"/>
      <c r="D231" s="416"/>
      <c r="E231" s="417"/>
      <c r="F231" s="417"/>
      <c r="G231" s="170"/>
      <c r="H231" s="418"/>
      <c r="I231" s="418"/>
      <c r="J231" s="418"/>
      <c r="K231" s="418"/>
      <c r="L231" s="418"/>
      <c r="M231" s="418"/>
    </row>
    <row r="232" spans="1:13" x14ac:dyDescent="0.25">
      <c r="A232" s="416"/>
      <c r="B232" s="429"/>
      <c r="C232" s="459"/>
      <c r="D232" s="416"/>
      <c r="E232" s="417"/>
      <c r="F232" s="417"/>
      <c r="G232" s="418"/>
      <c r="H232" s="418"/>
      <c r="I232" s="418"/>
      <c r="J232" s="418"/>
      <c r="K232" s="418"/>
      <c r="L232" s="418"/>
      <c r="M232" s="418"/>
    </row>
    <row r="233" spans="1:13" x14ac:dyDescent="0.25">
      <c r="A233" s="416"/>
      <c r="B233" s="429"/>
      <c r="C233" s="461"/>
      <c r="D233" s="416"/>
      <c r="E233" s="417"/>
      <c r="F233" s="417"/>
      <c r="G233" s="418"/>
      <c r="H233" s="418"/>
      <c r="I233" s="418"/>
      <c r="J233" s="418"/>
      <c r="K233" s="418"/>
      <c r="L233" s="418"/>
      <c r="M233" s="418"/>
    </row>
    <row r="234" spans="1:13" x14ac:dyDescent="0.25">
      <c r="A234" s="416"/>
      <c r="B234" s="463"/>
      <c r="C234" s="459"/>
      <c r="D234" s="416"/>
      <c r="E234" s="417"/>
      <c r="F234" s="417"/>
      <c r="G234" s="170"/>
      <c r="H234" s="418"/>
      <c r="I234" s="418"/>
      <c r="J234" s="418"/>
      <c r="K234" s="418"/>
      <c r="L234" s="418"/>
      <c r="M234" s="418"/>
    </row>
    <row r="235" spans="1:13" x14ac:dyDescent="0.25">
      <c r="A235" s="416"/>
      <c r="B235" s="463"/>
      <c r="C235" s="459"/>
      <c r="D235" s="416"/>
      <c r="E235" s="417"/>
      <c r="F235" s="417"/>
      <c r="G235" s="418"/>
      <c r="H235" s="418"/>
      <c r="I235" s="418"/>
      <c r="J235" s="418"/>
      <c r="K235" s="418"/>
      <c r="L235" s="418"/>
      <c r="M235" s="418"/>
    </row>
    <row r="236" spans="1:13" x14ac:dyDescent="0.25">
      <c r="A236" s="1031"/>
      <c r="B236" s="448"/>
      <c r="C236" s="449"/>
      <c r="D236" s="449"/>
      <c r="E236" s="450"/>
      <c r="F236" s="451"/>
      <c r="G236" s="783"/>
      <c r="H236" s="783"/>
      <c r="I236" s="783"/>
      <c r="J236" s="783"/>
      <c r="K236" s="783"/>
      <c r="L236" s="783"/>
      <c r="M236" s="783"/>
    </row>
    <row r="237" spans="1:13" x14ac:dyDescent="0.25">
      <c r="A237" s="1031"/>
      <c r="B237" s="437"/>
      <c r="C237" s="453"/>
      <c r="D237" s="450"/>
      <c r="E237" s="450"/>
      <c r="F237" s="483"/>
      <c r="G237" s="783"/>
      <c r="H237" s="783"/>
      <c r="I237" s="418"/>
      <c r="J237" s="418"/>
      <c r="K237" s="783"/>
      <c r="L237" s="783"/>
      <c r="M237" s="418"/>
    </row>
    <row r="238" spans="1:13" x14ac:dyDescent="0.25">
      <c r="A238" s="1031"/>
      <c r="B238" s="437"/>
      <c r="C238" s="454"/>
      <c r="D238" s="450"/>
      <c r="E238" s="450"/>
      <c r="F238" s="483"/>
      <c r="G238" s="783"/>
      <c r="H238" s="783"/>
      <c r="I238" s="783"/>
      <c r="J238" s="783"/>
      <c r="K238" s="783"/>
      <c r="L238" s="783"/>
      <c r="M238" s="418"/>
    </row>
    <row r="239" spans="1:13" x14ac:dyDescent="0.25">
      <c r="A239" s="1031"/>
      <c r="B239" s="422"/>
      <c r="C239" s="453"/>
      <c r="D239" s="450"/>
      <c r="E239" s="450"/>
      <c r="F239" s="483"/>
      <c r="G239" s="783"/>
      <c r="H239" s="783"/>
      <c r="I239" s="783"/>
      <c r="J239" s="783"/>
      <c r="K239" s="783"/>
      <c r="L239" s="783"/>
      <c r="M239" s="418"/>
    </row>
    <row r="240" spans="1:13" ht="15.75" x14ac:dyDescent="0.3">
      <c r="A240" s="1031"/>
      <c r="B240" s="793"/>
      <c r="C240" s="794"/>
      <c r="D240" s="439"/>
      <c r="E240" s="440"/>
      <c r="F240" s="441"/>
      <c r="G240" s="783"/>
      <c r="H240" s="783"/>
      <c r="I240" s="783"/>
      <c r="J240" s="783"/>
      <c r="K240" s="783"/>
      <c r="L240" s="783"/>
      <c r="M240" s="418"/>
    </row>
    <row r="241" spans="1:13" x14ac:dyDescent="0.25">
      <c r="A241" s="1031"/>
      <c r="B241" s="484"/>
      <c r="C241" s="449"/>
      <c r="D241" s="449"/>
      <c r="E241" s="450"/>
      <c r="F241" s="451"/>
      <c r="G241" s="783"/>
      <c r="H241" s="783"/>
      <c r="I241" s="783"/>
      <c r="J241" s="783"/>
      <c r="K241" s="783"/>
      <c r="L241" s="783"/>
      <c r="M241" s="783"/>
    </row>
    <row r="242" spans="1:13" x14ac:dyDescent="0.25">
      <c r="A242" s="1031"/>
      <c r="B242" s="485"/>
      <c r="C242" s="453"/>
      <c r="D242" s="450"/>
      <c r="E242" s="450"/>
      <c r="F242" s="483"/>
      <c r="G242" s="783"/>
      <c r="H242" s="783"/>
      <c r="I242" s="418"/>
      <c r="J242" s="418"/>
      <c r="K242" s="783"/>
      <c r="L242" s="783"/>
      <c r="M242" s="418"/>
    </row>
    <row r="243" spans="1:13" x14ac:dyDescent="0.25">
      <c r="A243" s="1031"/>
      <c r="B243" s="485"/>
      <c r="C243" s="453"/>
      <c r="D243" s="450"/>
      <c r="E243" s="450"/>
      <c r="F243" s="483"/>
      <c r="G243" s="783"/>
      <c r="H243" s="783"/>
      <c r="I243" s="783"/>
      <c r="J243" s="783"/>
      <c r="K243" s="783"/>
      <c r="L243" s="783"/>
      <c r="M243" s="418"/>
    </row>
    <row r="244" spans="1:13" x14ac:dyDescent="0.25">
      <c r="A244" s="1031"/>
      <c r="B244" s="485"/>
      <c r="C244" s="453"/>
      <c r="D244" s="450"/>
      <c r="E244" s="483"/>
      <c r="F244" s="483"/>
      <c r="G244" s="783"/>
      <c r="H244" s="783"/>
      <c r="I244" s="783"/>
      <c r="J244" s="783"/>
      <c r="K244" s="783"/>
      <c r="L244" s="783"/>
      <c r="M244" s="418"/>
    </row>
    <row r="245" spans="1:13" x14ac:dyDescent="0.25">
      <c r="A245" s="1031"/>
      <c r="B245" s="450"/>
      <c r="C245" s="453"/>
      <c r="D245" s="450"/>
      <c r="E245" s="450"/>
      <c r="F245" s="483"/>
      <c r="G245" s="783"/>
      <c r="H245" s="783"/>
      <c r="I245" s="783"/>
      <c r="J245" s="783"/>
      <c r="K245" s="783"/>
      <c r="L245" s="783"/>
      <c r="M245" s="418"/>
    </row>
    <row r="246" spans="1:13" x14ac:dyDescent="0.25">
      <c r="A246" s="427"/>
      <c r="B246" s="422"/>
      <c r="C246" s="3"/>
      <c r="D246" s="3"/>
      <c r="E246" s="3"/>
      <c r="F246" s="795"/>
      <c r="G246" s="796"/>
      <c r="H246" s="796"/>
      <c r="I246" s="796"/>
      <c r="J246" s="796"/>
      <c r="K246" s="796"/>
      <c r="L246" s="796"/>
      <c r="M246" s="796"/>
    </row>
    <row r="247" spans="1:13" x14ac:dyDescent="0.25">
      <c r="A247" s="427"/>
      <c r="B247" s="422"/>
      <c r="C247" s="430"/>
      <c r="D247" s="430"/>
      <c r="E247" s="427"/>
      <c r="F247" s="483"/>
      <c r="G247" s="797"/>
      <c r="H247" s="797"/>
      <c r="I247" s="797"/>
      <c r="J247" s="797"/>
      <c r="K247" s="797"/>
      <c r="L247" s="797"/>
      <c r="M247" s="418"/>
    </row>
    <row r="248" spans="1:13" x14ac:dyDescent="0.25">
      <c r="A248" s="427"/>
      <c r="B248" s="422"/>
      <c r="C248" s="430"/>
      <c r="D248" s="427"/>
      <c r="E248" s="427"/>
      <c r="F248" s="483"/>
      <c r="G248" s="797"/>
      <c r="H248" s="797"/>
      <c r="I248" s="797"/>
      <c r="J248" s="797"/>
      <c r="K248" s="797"/>
      <c r="L248" s="797"/>
      <c r="M248" s="418"/>
    </row>
    <row r="249" spans="1:13" x14ac:dyDescent="0.25">
      <c r="A249" s="427"/>
      <c r="B249" s="437"/>
      <c r="C249" s="3"/>
      <c r="D249" s="3"/>
      <c r="E249" s="3"/>
      <c r="F249" s="451"/>
      <c r="G249" s="796"/>
      <c r="H249" s="796"/>
      <c r="I249" s="796"/>
      <c r="J249" s="796"/>
      <c r="K249" s="796"/>
      <c r="L249" s="796"/>
      <c r="M249" s="796"/>
    </row>
    <row r="250" spans="1:13" x14ac:dyDescent="0.25">
      <c r="A250" s="427"/>
      <c r="B250" s="782"/>
      <c r="C250" s="528"/>
      <c r="D250" s="427"/>
      <c r="E250" s="798"/>
      <c r="F250" s="483"/>
      <c r="G250" s="797"/>
      <c r="H250" s="797"/>
      <c r="I250" s="418"/>
      <c r="J250" s="418"/>
      <c r="K250" s="783"/>
      <c r="L250" s="783"/>
      <c r="M250" s="418"/>
    </row>
    <row r="251" spans="1:13" x14ac:dyDescent="0.25">
      <c r="A251" s="427"/>
      <c r="B251" s="782"/>
      <c r="C251" s="528"/>
      <c r="D251" s="427"/>
      <c r="E251" s="427"/>
      <c r="F251" s="483"/>
      <c r="G251" s="783"/>
      <c r="H251" s="783"/>
      <c r="I251" s="783"/>
      <c r="J251" s="783"/>
      <c r="K251" s="783"/>
      <c r="L251" s="783"/>
      <c r="M251" s="418"/>
    </row>
    <row r="252" spans="1:13" x14ac:dyDescent="0.25">
      <c r="A252" s="427"/>
      <c r="B252" s="422"/>
      <c r="C252" s="528"/>
      <c r="D252" s="427"/>
      <c r="E252" s="427"/>
      <c r="F252" s="483"/>
      <c r="G252" s="783"/>
      <c r="H252" s="783"/>
      <c r="I252" s="783"/>
      <c r="J252" s="783"/>
      <c r="K252" s="783"/>
      <c r="L252" s="783"/>
      <c r="M252" s="418"/>
    </row>
    <row r="253" spans="1:13" x14ac:dyDescent="0.25">
      <c r="A253" s="437"/>
      <c r="B253" s="437"/>
      <c r="C253" s="465"/>
      <c r="D253" s="3"/>
      <c r="E253" s="467"/>
      <c r="F253" s="467"/>
      <c r="G253" s="467"/>
      <c r="H253" s="467"/>
      <c r="I253" s="467"/>
      <c r="J253" s="467"/>
      <c r="K253" s="467"/>
      <c r="L253" s="467"/>
      <c r="M253" s="467"/>
    </row>
    <row r="254" spans="1:13" x14ac:dyDescent="0.25">
      <c r="A254" s="437"/>
      <c r="B254" s="437"/>
      <c r="C254" s="430"/>
      <c r="D254" s="526"/>
      <c r="E254" s="445"/>
      <c r="F254" s="445"/>
      <c r="G254" s="424"/>
      <c r="H254" s="424"/>
      <c r="I254" s="424"/>
      <c r="J254" s="424"/>
      <c r="K254" s="424"/>
      <c r="L254" s="424"/>
      <c r="M254" s="418"/>
    </row>
    <row r="255" spans="1:13" x14ac:dyDescent="0.25">
      <c r="A255" s="437"/>
      <c r="B255" s="437"/>
      <c r="C255" s="527"/>
      <c r="D255" s="427"/>
      <c r="E255" s="784"/>
      <c r="F255" s="424"/>
      <c r="G255" s="424"/>
      <c r="H255" s="424"/>
      <c r="I255" s="424"/>
      <c r="J255" s="424"/>
      <c r="K255" s="424"/>
      <c r="L255" s="424"/>
      <c r="M255" s="418"/>
    </row>
    <row r="256" spans="1:13" x14ac:dyDescent="0.25">
      <c r="A256" s="437"/>
      <c r="B256" s="437"/>
      <c r="C256" s="527"/>
      <c r="D256" s="427"/>
      <c r="E256" s="784"/>
      <c r="F256" s="424"/>
      <c r="G256" s="424"/>
      <c r="H256" s="424"/>
      <c r="I256" s="424"/>
      <c r="J256" s="424"/>
      <c r="K256" s="424"/>
      <c r="L256" s="424"/>
      <c r="M256" s="418"/>
    </row>
    <row r="257" spans="1:13" x14ac:dyDescent="0.25">
      <c r="A257" s="437"/>
      <c r="B257" s="437"/>
      <c r="C257" s="527"/>
      <c r="D257" s="427"/>
      <c r="E257" s="424"/>
      <c r="F257" s="424"/>
      <c r="G257" s="424"/>
      <c r="H257" s="424"/>
      <c r="I257" s="424"/>
      <c r="J257" s="424"/>
      <c r="K257" s="424"/>
      <c r="L257" s="424"/>
      <c r="M257" s="418"/>
    </row>
    <row r="258" spans="1:13" x14ac:dyDescent="0.25">
      <c r="A258" s="437"/>
      <c r="B258" s="437"/>
      <c r="C258" s="3"/>
      <c r="D258" s="3"/>
      <c r="E258" s="467"/>
      <c r="F258" s="467"/>
      <c r="G258" s="467"/>
      <c r="H258" s="467"/>
      <c r="I258" s="467"/>
      <c r="J258" s="467"/>
      <c r="K258" s="467"/>
      <c r="L258" s="467"/>
      <c r="M258" s="467"/>
    </row>
    <row r="259" spans="1:13" x14ac:dyDescent="0.25">
      <c r="A259" s="437"/>
      <c r="B259" s="437"/>
      <c r="C259" s="430"/>
      <c r="D259" s="526"/>
      <c r="E259" s="445"/>
      <c r="F259" s="441"/>
      <c r="G259" s="424"/>
      <c r="H259" s="424"/>
      <c r="I259" s="424"/>
      <c r="J259" s="424"/>
      <c r="K259" s="424"/>
      <c r="L259" s="424"/>
      <c r="M259" s="418"/>
    </row>
    <row r="260" spans="1:13" x14ac:dyDescent="0.25">
      <c r="A260" s="437"/>
      <c r="B260" s="437"/>
      <c r="C260" s="527"/>
      <c r="D260" s="427"/>
      <c r="E260" s="784"/>
      <c r="F260" s="483"/>
      <c r="G260" s="424"/>
      <c r="H260" s="424"/>
      <c r="I260" s="424"/>
      <c r="J260" s="424"/>
      <c r="K260" s="424"/>
      <c r="L260" s="424"/>
      <c r="M260" s="418"/>
    </row>
    <row r="261" spans="1:13" x14ac:dyDescent="0.25">
      <c r="A261" s="437"/>
      <c r="B261" s="437"/>
      <c r="C261" s="527"/>
      <c r="D261" s="427"/>
      <c r="E261" s="784"/>
      <c r="F261" s="483"/>
      <c r="G261" s="424"/>
      <c r="H261" s="424"/>
      <c r="I261" s="424"/>
      <c r="J261" s="424"/>
      <c r="K261" s="424"/>
      <c r="L261" s="424"/>
      <c r="M261" s="418"/>
    </row>
    <row r="262" spans="1:13" x14ac:dyDescent="0.25">
      <c r="A262" s="437"/>
      <c r="B262" s="437"/>
      <c r="C262" s="527"/>
      <c r="D262" s="427"/>
      <c r="E262" s="424"/>
      <c r="F262" s="424"/>
      <c r="G262" s="424"/>
      <c r="H262" s="424"/>
      <c r="I262" s="424"/>
      <c r="J262" s="424"/>
      <c r="K262" s="424"/>
      <c r="L262" s="424"/>
      <c r="M262" s="418"/>
    </row>
    <row r="263" spans="1:13" x14ac:dyDescent="0.25">
      <c r="A263" s="427"/>
      <c r="B263" s="429"/>
      <c r="C263" s="459"/>
      <c r="D263" s="416"/>
      <c r="E263" s="417"/>
      <c r="F263" s="417"/>
      <c r="G263" s="418"/>
      <c r="H263" s="418"/>
      <c r="I263" s="418"/>
      <c r="J263" s="418"/>
      <c r="K263" s="418"/>
      <c r="L263" s="418"/>
      <c r="M263" s="418"/>
    </row>
    <row r="264" spans="1:13" x14ac:dyDescent="0.25">
      <c r="A264" s="416"/>
      <c r="B264" s="463"/>
      <c r="C264" s="430"/>
      <c r="D264" s="464"/>
      <c r="E264" s="417"/>
      <c r="F264" s="417"/>
      <c r="G264" s="418"/>
      <c r="H264" s="418"/>
      <c r="I264" s="170"/>
      <c r="J264" s="170"/>
      <c r="K264" s="170"/>
      <c r="L264" s="170"/>
      <c r="M264" s="418"/>
    </row>
    <row r="265" spans="1:13" x14ac:dyDescent="0.25">
      <c r="A265" s="416"/>
      <c r="B265" s="463"/>
      <c r="C265" s="461"/>
      <c r="D265" s="464"/>
      <c r="E265" s="417"/>
      <c r="F265" s="417"/>
      <c r="G265" s="418"/>
      <c r="H265" s="170"/>
      <c r="I265" s="170"/>
      <c r="J265" s="170"/>
      <c r="K265" s="170"/>
      <c r="L265" s="170"/>
      <c r="M265" s="418"/>
    </row>
    <row r="266" spans="1:13" x14ac:dyDescent="0.25">
      <c r="A266" s="416"/>
      <c r="B266" s="437"/>
      <c r="C266" s="438"/>
      <c r="D266" s="464"/>
      <c r="E266" s="428"/>
      <c r="F266" s="458"/>
      <c r="G266" s="170"/>
      <c r="H266" s="170"/>
      <c r="I266" s="418"/>
      <c r="J266" s="418"/>
      <c r="K266" s="418"/>
      <c r="L266" s="424"/>
      <c r="M266" s="424"/>
    </row>
    <row r="267" spans="1:13" x14ac:dyDescent="0.25">
      <c r="A267" s="416"/>
      <c r="B267" s="437"/>
      <c r="C267" s="438"/>
      <c r="D267" s="464"/>
      <c r="E267" s="428"/>
      <c r="F267" s="458"/>
      <c r="G267" s="170"/>
      <c r="H267" s="170"/>
      <c r="I267" s="418"/>
      <c r="J267" s="418"/>
      <c r="K267" s="418"/>
      <c r="L267" s="418"/>
      <c r="M267" s="424"/>
    </row>
    <row r="268" spans="1:13" x14ac:dyDescent="0.25">
      <c r="A268" s="416"/>
      <c r="B268" s="437"/>
      <c r="C268" s="438"/>
      <c r="D268" s="464"/>
      <c r="E268" s="428"/>
      <c r="F268" s="458"/>
      <c r="G268" s="170"/>
      <c r="H268" s="170"/>
      <c r="I268" s="418"/>
      <c r="J268" s="418"/>
      <c r="K268" s="418"/>
      <c r="L268" s="424"/>
      <c r="M268" s="424"/>
    </row>
    <row r="269" spans="1:13" x14ac:dyDescent="0.25">
      <c r="A269" s="416"/>
      <c r="B269" s="437"/>
      <c r="C269" s="438"/>
      <c r="D269" s="464"/>
      <c r="E269" s="428"/>
      <c r="F269" s="417"/>
      <c r="G269" s="418"/>
      <c r="H269" s="418"/>
      <c r="I269" s="418"/>
      <c r="J269" s="418"/>
      <c r="K269" s="418"/>
      <c r="L269" s="424"/>
      <c r="M269" s="424"/>
    </row>
    <row r="270" spans="1:13" x14ac:dyDescent="0.25">
      <c r="A270" s="416"/>
      <c r="B270" s="437"/>
      <c r="C270" s="528"/>
      <c r="D270" s="529"/>
      <c r="E270" s="530"/>
      <c r="F270" s="428"/>
      <c r="G270" s="424"/>
      <c r="H270" s="424"/>
      <c r="I270" s="424"/>
      <c r="J270" s="424"/>
      <c r="K270" s="424"/>
      <c r="L270" s="424"/>
      <c r="M270" s="424"/>
    </row>
    <row r="271" spans="1:13" x14ac:dyDescent="0.25">
      <c r="A271" s="416"/>
      <c r="B271" s="465"/>
      <c r="C271" s="432"/>
      <c r="D271" s="531"/>
      <c r="E271" s="532"/>
      <c r="F271" s="423"/>
      <c r="G271" s="467"/>
      <c r="H271" s="467"/>
      <c r="I271" s="467"/>
      <c r="J271" s="467"/>
      <c r="K271" s="467"/>
      <c r="L271" s="467"/>
      <c r="M271" s="467"/>
    </row>
    <row r="272" spans="1:13" x14ac:dyDescent="0.25">
      <c r="A272" s="1032"/>
      <c r="B272" s="800"/>
      <c r="C272" s="799"/>
      <c r="D272" s="799"/>
      <c r="E272" s="799"/>
      <c r="F272" s="799"/>
      <c r="G272" s="801"/>
      <c r="H272" s="801"/>
      <c r="I272" s="801"/>
      <c r="J272" s="801"/>
      <c r="K272" s="801"/>
      <c r="L272" s="801"/>
      <c r="M272" s="801"/>
    </row>
    <row r="273" spans="1:13" x14ac:dyDescent="0.25">
      <c r="A273" s="421"/>
      <c r="B273" s="420"/>
      <c r="C273" s="468"/>
      <c r="D273" s="421"/>
      <c r="E273" s="421"/>
      <c r="F273" s="421"/>
      <c r="G273" s="421"/>
      <c r="H273" s="421"/>
      <c r="I273" s="421"/>
      <c r="J273" s="421"/>
      <c r="K273" s="421"/>
      <c r="L273" s="421"/>
      <c r="M273" s="421"/>
    </row>
    <row r="274" spans="1:13" x14ac:dyDescent="0.25">
      <c r="A274" s="416"/>
      <c r="B274" s="422"/>
      <c r="C274" s="533"/>
      <c r="D274" s="436"/>
      <c r="E274" s="534"/>
      <c r="F274" s="535"/>
      <c r="G274" s="418"/>
      <c r="H274" s="418"/>
      <c r="I274" s="418"/>
      <c r="J274" s="418"/>
      <c r="K274" s="418"/>
      <c r="L274" s="418"/>
      <c r="M274" s="418"/>
    </row>
    <row r="275" spans="1:13" x14ac:dyDescent="0.25">
      <c r="A275" s="416"/>
      <c r="B275" s="422"/>
      <c r="C275" s="479"/>
      <c r="D275" s="444"/>
      <c r="E275" s="480"/>
      <c r="F275" s="441"/>
      <c r="G275" s="418"/>
      <c r="H275" s="418"/>
      <c r="I275" s="418"/>
      <c r="J275" s="418"/>
      <c r="K275" s="418"/>
      <c r="L275" s="418"/>
      <c r="M275" s="424"/>
    </row>
    <row r="276" spans="1:13" x14ac:dyDescent="0.25">
      <c r="A276" s="416"/>
      <c r="B276" s="422"/>
      <c r="C276" s="479"/>
      <c r="D276" s="444"/>
      <c r="E276" s="480"/>
      <c r="F276" s="441"/>
      <c r="G276" s="418"/>
      <c r="H276" s="418"/>
      <c r="I276" s="418"/>
      <c r="J276" s="418"/>
      <c r="K276" s="418"/>
      <c r="L276" s="418"/>
      <c r="M276" s="424"/>
    </row>
    <row r="277" spans="1:13" x14ac:dyDescent="0.25">
      <c r="A277" s="416"/>
      <c r="B277" s="422"/>
      <c r="C277" s="479"/>
      <c r="D277" s="444"/>
      <c r="E277" s="480"/>
      <c r="F277" s="441"/>
      <c r="G277" s="418"/>
      <c r="H277" s="418"/>
      <c r="I277" s="418"/>
      <c r="J277" s="418"/>
      <c r="K277" s="418"/>
      <c r="L277" s="418"/>
      <c r="M277" s="424"/>
    </row>
    <row r="278" spans="1:13" x14ac:dyDescent="0.25">
      <c r="A278" s="416"/>
      <c r="B278" s="422"/>
      <c r="C278" s="533"/>
      <c r="D278" s="436"/>
      <c r="E278" s="534"/>
      <c r="F278" s="536"/>
      <c r="G278" s="418"/>
      <c r="H278" s="418"/>
      <c r="I278" s="418"/>
      <c r="J278" s="418"/>
      <c r="K278" s="418"/>
      <c r="L278" s="418"/>
      <c r="M278" s="418"/>
    </row>
    <row r="279" spans="1:13" x14ac:dyDescent="0.25">
      <c r="A279" s="416"/>
      <c r="B279" s="422"/>
      <c r="C279" s="479"/>
      <c r="D279" s="444"/>
      <c r="E279" s="480"/>
      <c r="F279" s="441"/>
      <c r="G279" s="418"/>
      <c r="H279" s="418"/>
      <c r="I279" s="418"/>
      <c r="J279" s="418"/>
      <c r="K279" s="418"/>
      <c r="L279" s="418"/>
      <c r="M279" s="424"/>
    </row>
    <row r="280" spans="1:13" x14ac:dyDescent="0.25">
      <c r="A280" s="1028"/>
      <c r="B280" s="472"/>
      <c r="C280" s="170"/>
      <c r="D280" s="537"/>
      <c r="E280" s="443"/>
      <c r="F280" s="537"/>
      <c r="G280" s="537"/>
      <c r="H280" s="538"/>
      <c r="I280" s="538"/>
      <c r="J280" s="538"/>
      <c r="K280" s="538"/>
      <c r="L280" s="538"/>
      <c r="M280" s="538"/>
    </row>
    <row r="281" spans="1:13" x14ac:dyDescent="0.25">
      <c r="A281" s="1028"/>
      <c r="B281" s="472"/>
      <c r="C281" s="461"/>
      <c r="D281" s="539"/>
      <c r="E281" s="540"/>
      <c r="F281" s="540"/>
      <c r="G281" s="538"/>
      <c r="H281" s="538"/>
      <c r="I281" s="538"/>
      <c r="J281" s="538"/>
      <c r="K281" s="538"/>
      <c r="L281" s="538"/>
      <c r="M281" s="538"/>
    </row>
    <row r="282" spans="1:13" x14ac:dyDescent="0.25">
      <c r="A282" s="1028"/>
      <c r="B282" s="429"/>
      <c r="C282" s="170"/>
      <c r="D282" s="537"/>
      <c r="E282" s="538"/>
      <c r="F282" s="537"/>
      <c r="G282" s="537"/>
      <c r="H282" s="538"/>
      <c r="I282" s="538"/>
      <c r="J282" s="538"/>
      <c r="K282" s="538"/>
      <c r="L282" s="538"/>
      <c r="M282" s="538"/>
    </row>
    <row r="283" spans="1:13" x14ac:dyDescent="0.25">
      <c r="A283" s="1029"/>
      <c r="B283" s="422"/>
      <c r="C283" s="671"/>
      <c r="D283" s="3"/>
      <c r="E283" s="423"/>
      <c r="F283" s="423"/>
      <c r="G283" s="424"/>
      <c r="H283" s="424"/>
      <c r="I283" s="424"/>
      <c r="J283" s="424"/>
      <c r="K283" s="424"/>
      <c r="L283" s="424"/>
      <c r="M283" s="467"/>
    </row>
    <row r="284" spans="1:13" x14ac:dyDescent="0.25">
      <c r="A284" s="1029"/>
      <c r="B284" s="425"/>
      <c r="C284" s="426"/>
      <c r="D284" s="427"/>
      <c r="E284" s="428"/>
      <c r="F284" s="428"/>
      <c r="G284" s="424"/>
      <c r="H284" s="424"/>
      <c r="I284" s="424"/>
      <c r="J284" s="424"/>
      <c r="K284" s="424"/>
      <c r="L284" s="424"/>
      <c r="M284" s="424"/>
    </row>
    <row r="285" spans="1:13" x14ac:dyDescent="0.25">
      <c r="A285" s="1029"/>
      <c r="B285" s="425"/>
      <c r="C285" s="426"/>
      <c r="D285" s="427"/>
      <c r="E285" s="428"/>
      <c r="F285" s="428"/>
      <c r="G285" s="424"/>
      <c r="H285" s="424"/>
      <c r="I285" s="424"/>
      <c r="J285" s="424"/>
      <c r="K285" s="424"/>
      <c r="L285" s="424"/>
      <c r="M285" s="424"/>
    </row>
    <row r="286" spans="1:13" x14ac:dyDescent="0.25">
      <c r="A286" s="1029"/>
      <c r="B286" s="429"/>
      <c r="C286" s="426"/>
      <c r="D286" s="427"/>
      <c r="E286" s="428"/>
      <c r="F286" s="428"/>
      <c r="G286" s="424"/>
      <c r="H286" s="424"/>
      <c r="I286" s="424"/>
      <c r="J286" s="424"/>
      <c r="K286" s="424"/>
      <c r="L286" s="424"/>
      <c r="M286" s="424"/>
    </row>
    <row r="287" spans="1:13" x14ac:dyDescent="0.25">
      <c r="A287" s="1030"/>
      <c r="B287" s="475"/>
      <c r="C287" s="671"/>
      <c r="D287" s="3"/>
      <c r="E287" s="431"/>
      <c r="F287" s="431"/>
      <c r="G287" s="424"/>
      <c r="H287" s="424"/>
      <c r="I287" s="424"/>
      <c r="J287" s="424"/>
      <c r="K287" s="424"/>
      <c r="L287" s="424"/>
      <c r="M287" s="467"/>
    </row>
    <row r="288" spans="1:13" ht="15.75" x14ac:dyDescent="0.3">
      <c r="A288" s="1030"/>
      <c r="B288" s="475"/>
      <c r="C288" s="469"/>
      <c r="D288" s="470"/>
      <c r="E288" s="471"/>
      <c r="F288" s="471"/>
      <c r="G288" s="424"/>
      <c r="H288" s="424"/>
      <c r="I288" s="424"/>
      <c r="J288" s="424"/>
      <c r="K288" s="424"/>
      <c r="L288" s="424"/>
      <c r="M288" s="424"/>
    </row>
    <row r="289" spans="1:13" x14ac:dyDescent="0.25">
      <c r="A289" s="1030"/>
      <c r="B289" s="429"/>
      <c r="C289" s="478"/>
      <c r="D289" s="427"/>
      <c r="E289" s="428"/>
      <c r="F289" s="428"/>
      <c r="G289" s="424"/>
      <c r="H289" s="424"/>
      <c r="I289" s="424"/>
      <c r="J289" s="424"/>
      <c r="K289" s="424"/>
      <c r="L289" s="424"/>
      <c r="M289" s="424"/>
    </row>
    <row r="290" spans="1:13" x14ac:dyDescent="0.25">
      <c r="A290" s="791"/>
      <c r="B290" s="787"/>
      <c r="C290" s="3"/>
      <c r="D290" s="3"/>
      <c r="E290" s="449"/>
      <c r="F290" s="467"/>
      <c r="G290" s="788"/>
      <c r="H290" s="788"/>
      <c r="I290" s="788"/>
      <c r="J290" s="788"/>
      <c r="K290" s="788"/>
      <c r="L290" s="788"/>
      <c r="M290" s="788"/>
    </row>
    <row r="291" spans="1:13" x14ac:dyDescent="0.25">
      <c r="A291" s="791"/>
      <c r="B291" s="789"/>
      <c r="C291" s="430"/>
      <c r="D291" s="427"/>
      <c r="E291" s="450"/>
      <c r="F291" s="483"/>
      <c r="G291" s="783"/>
      <c r="H291" s="783"/>
      <c r="I291" s="783"/>
      <c r="J291" s="783"/>
      <c r="K291" s="783"/>
      <c r="L291" s="783"/>
      <c r="M291" s="424"/>
    </row>
    <row r="292" spans="1:13" x14ac:dyDescent="0.25">
      <c r="A292" s="791"/>
      <c r="B292" s="422"/>
      <c r="C292" s="479"/>
      <c r="D292" s="444"/>
      <c r="E292" s="480"/>
      <c r="F292" s="441"/>
      <c r="G292" s="418"/>
      <c r="H292" s="418"/>
      <c r="I292" s="418"/>
      <c r="J292" s="418"/>
      <c r="K292" s="418"/>
      <c r="L292" s="418"/>
      <c r="M292" s="424"/>
    </row>
    <row r="293" spans="1:13" x14ac:dyDescent="0.25">
      <c r="A293" s="791"/>
      <c r="B293" s="422"/>
      <c r="C293" s="430"/>
      <c r="D293" s="427"/>
      <c r="E293" s="450"/>
      <c r="F293" s="483"/>
      <c r="G293" s="783"/>
      <c r="H293" s="783"/>
      <c r="I293" s="783"/>
      <c r="J293" s="783"/>
      <c r="K293" s="783"/>
      <c r="L293" s="418"/>
      <c r="M293" s="424"/>
    </row>
    <row r="294" spans="1:13" x14ac:dyDescent="0.25">
      <c r="A294" s="791"/>
      <c r="B294" s="422"/>
      <c r="C294" s="528"/>
      <c r="D294" s="427"/>
      <c r="E294" s="450"/>
      <c r="F294" s="483"/>
      <c r="G294" s="783"/>
      <c r="H294" s="783"/>
      <c r="I294" s="783"/>
      <c r="J294" s="783"/>
      <c r="K294" s="783"/>
      <c r="L294" s="418"/>
      <c r="M294" s="424"/>
    </row>
    <row r="295" spans="1:13" x14ac:dyDescent="0.25">
      <c r="A295" s="791"/>
      <c r="B295" s="789"/>
      <c r="C295" s="430"/>
      <c r="D295" s="427"/>
      <c r="E295" s="450"/>
      <c r="F295" s="483"/>
      <c r="G295" s="783"/>
      <c r="H295" s="783"/>
      <c r="I295" s="783"/>
      <c r="J295" s="783"/>
      <c r="K295" s="783"/>
      <c r="L295" s="418"/>
      <c r="M295" s="424"/>
    </row>
    <row r="296" spans="1:13" x14ac:dyDescent="0.25">
      <c r="A296" s="791"/>
      <c r="B296" s="429"/>
      <c r="C296" s="433"/>
      <c r="D296" s="434"/>
      <c r="E296" s="481"/>
      <c r="F296" s="482"/>
      <c r="G296" s="435"/>
      <c r="H296" s="435"/>
      <c r="I296" s="435"/>
      <c r="J296" s="435"/>
      <c r="K296" s="435"/>
      <c r="L296" s="435"/>
      <c r="M296" s="435"/>
    </row>
    <row r="297" spans="1:13" x14ac:dyDescent="0.25">
      <c r="A297" s="791"/>
      <c r="B297" s="787"/>
      <c r="C297" s="430"/>
      <c r="D297" s="427"/>
      <c r="E297" s="450"/>
      <c r="F297" s="483"/>
      <c r="G297" s="783"/>
      <c r="H297" s="783"/>
      <c r="I297" s="783"/>
      <c r="J297" s="783"/>
      <c r="K297" s="783"/>
      <c r="L297" s="783"/>
      <c r="M297" s="783"/>
    </row>
    <row r="298" spans="1:13" s="728" customFormat="1" x14ac:dyDescent="0.25">
      <c r="A298" s="439"/>
      <c r="B298" s="448"/>
      <c r="C298" s="449"/>
      <c r="D298" s="449"/>
      <c r="E298" s="450"/>
      <c r="F298" s="451"/>
      <c r="G298" s="783"/>
      <c r="H298" s="783"/>
      <c r="I298" s="783"/>
      <c r="J298" s="783"/>
      <c r="K298" s="783"/>
      <c r="L298" s="783"/>
      <c r="M298" s="783"/>
    </row>
    <row r="299" spans="1:13" x14ac:dyDescent="0.25">
      <c r="A299" s="439"/>
      <c r="B299" s="452"/>
      <c r="C299" s="453"/>
      <c r="D299" s="450"/>
      <c r="E299" s="450"/>
      <c r="F299" s="450"/>
      <c r="G299" s="783"/>
      <c r="H299" s="783"/>
      <c r="I299" s="783"/>
      <c r="J299" s="783"/>
      <c r="K299" s="783"/>
      <c r="L299" s="783"/>
      <c r="M299" s="424"/>
    </row>
    <row r="300" spans="1:13" x14ac:dyDescent="0.25">
      <c r="A300" s="439"/>
      <c r="B300" s="452"/>
      <c r="C300" s="453"/>
      <c r="D300" s="450"/>
      <c r="E300" s="450"/>
      <c r="F300" s="450"/>
      <c r="G300" s="783"/>
      <c r="H300" s="783"/>
      <c r="I300" s="783"/>
      <c r="J300" s="783"/>
      <c r="K300" s="783"/>
      <c r="L300" s="783"/>
      <c r="M300" s="424"/>
    </row>
    <row r="301" spans="1:13" x14ac:dyDescent="0.25">
      <c r="A301" s="439"/>
      <c r="B301" s="422"/>
      <c r="C301" s="454"/>
      <c r="D301" s="450"/>
      <c r="E301" s="455"/>
      <c r="F301" s="455"/>
      <c r="G301" s="783"/>
      <c r="H301" s="418"/>
      <c r="I301" s="783"/>
      <c r="J301" s="783"/>
      <c r="K301" s="783"/>
      <c r="L301" s="783"/>
      <c r="M301" s="424"/>
    </row>
    <row r="302" spans="1:13" x14ac:dyDescent="0.25">
      <c r="A302" s="439"/>
      <c r="B302" s="429"/>
      <c r="C302" s="456"/>
      <c r="D302" s="457"/>
      <c r="E302" s="457"/>
      <c r="F302" s="483"/>
      <c r="G302" s="424"/>
      <c r="H302" s="418"/>
      <c r="I302" s="418"/>
      <c r="J302" s="418"/>
      <c r="K302" s="418"/>
      <c r="L302" s="418"/>
      <c r="M302" s="418"/>
    </row>
    <row r="303" spans="1:13" x14ac:dyDescent="0.25">
      <c r="A303" s="439"/>
      <c r="B303" s="429"/>
      <c r="C303" s="456"/>
      <c r="D303" s="457"/>
      <c r="E303" s="457"/>
      <c r="F303" s="483"/>
      <c r="G303" s="424"/>
      <c r="H303" s="418"/>
      <c r="I303" s="418"/>
      <c r="J303" s="418"/>
      <c r="K303" s="418"/>
      <c r="L303" s="418"/>
      <c r="M303" s="418"/>
    </row>
    <row r="304" spans="1:13" x14ac:dyDescent="0.25">
      <c r="A304" s="439"/>
      <c r="B304" s="422"/>
      <c r="C304" s="453"/>
      <c r="D304" s="450"/>
      <c r="E304" s="450"/>
      <c r="F304" s="450"/>
      <c r="G304" s="783"/>
      <c r="H304" s="783"/>
      <c r="I304" s="783"/>
      <c r="J304" s="783"/>
      <c r="K304" s="783"/>
      <c r="L304" s="783"/>
      <c r="M304" s="435"/>
    </row>
    <row r="305" spans="1:13" x14ac:dyDescent="0.25">
      <c r="A305" s="439"/>
      <c r="B305" s="448"/>
      <c r="C305" s="449"/>
      <c r="D305" s="449"/>
      <c r="E305" s="450"/>
      <c r="F305" s="451"/>
      <c r="G305" s="783"/>
      <c r="H305" s="783"/>
      <c r="I305" s="783"/>
      <c r="J305" s="783"/>
      <c r="K305" s="783"/>
      <c r="L305" s="783"/>
      <c r="M305" s="783"/>
    </row>
    <row r="306" spans="1:13" x14ac:dyDescent="0.25">
      <c r="A306" s="439"/>
      <c r="B306" s="452"/>
      <c r="C306" s="453"/>
      <c r="D306" s="450"/>
      <c r="E306" s="450"/>
      <c r="F306" s="450"/>
      <c r="G306" s="783"/>
      <c r="H306" s="783"/>
      <c r="I306" s="783"/>
      <c r="J306" s="783"/>
      <c r="K306" s="783"/>
      <c r="L306" s="783"/>
      <c r="M306" s="424"/>
    </row>
    <row r="307" spans="1:13" x14ac:dyDescent="0.25">
      <c r="A307" s="439"/>
      <c r="B307" s="452"/>
      <c r="C307" s="453"/>
      <c r="D307" s="450"/>
      <c r="E307" s="450"/>
      <c r="F307" s="450"/>
      <c r="G307" s="783"/>
      <c r="H307" s="783"/>
      <c r="I307" s="783"/>
      <c r="J307" s="783"/>
      <c r="K307" s="783"/>
      <c r="L307" s="783"/>
      <c r="M307" s="424"/>
    </row>
    <row r="308" spans="1:13" x14ac:dyDescent="0.25">
      <c r="A308" s="439"/>
      <c r="B308" s="422"/>
      <c r="C308" s="454"/>
      <c r="D308" s="450"/>
      <c r="E308" s="455"/>
      <c r="F308" s="455"/>
      <c r="G308" s="783"/>
      <c r="H308" s="418"/>
      <c r="I308" s="783"/>
      <c r="J308" s="783"/>
      <c r="K308" s="783"/>
      <c r="L308" s="783"/>
      <c r="M308" s="424"/>
    </row>
    <row r="309" spans="1:13" x14ac:dyDescent="0.25">
      <c r="A309" s="439"/>
      <c r="B309" s="429"/>
      <c r="C309" s="456"/>
      <c r="D309" s="457"/>
      <c r="E309" s="457"/>
      <c r="F309" s="483"/>
      <c r="G309" s="424"/>
      <c r="H309" s="418"/>
      <c r="I309" s="418"/>
      <c r="J309" s="418"/>
      <c r="K309" s="418"/>
      <c r="L309" s="418"/>
      <c r="M309" s="418"/>
    </row>
    <row r="310" spans="1:13" x14ac:dyDescent="0.25">
      <c r="A310" s="439"/>
      <c r="B310" s="429"/>
      <c r="C310" s="456"/>
      <c r="D310" s="457"/>
      <c r="E310" s="457"/>
      <c r="F310" s="483"/>
      <c r="G310" s="424"/>
      <c r="H310" s="418"/>
      <c r="I310" s="418"/>
      <c r="J310" s="418"/>
      <c r="K310" s="418"/>
      <c r="L310" s="418"/>
      <c r="M310" s="418"/>
    </row>
    <row r="311" spans="1:13" x14ac:dyDescent="0.25">
      <c r="A311" s="439"/>
      <c r="B311" s="422"/>
      <c r="C311" s="453"/>
      <c r="D311" s="450"/>
      <c r="E311" s="450"/>
      <c r="F311" s="450"/>
      <c r="G311" s="783"/>
      <c r="H311" s="783"/>
      <c r="I311" s="783"/>
      <c r="J311" s="783"/>
      <c r="K311" s="783"/>
      <c r="L311" s="783"/>
      <c r="M311" s="435"/>
    </row>
    <row r="312" spans="1:13" x14ac:dyDescent="0.25">
      <c r="A312" s="427"/>
      <c r="B312" s="422"/>
      <c r="C312" s="3"/>
      <c r="D312" s="3"/>
      <c r="E312" s="449"/>
      <c r="F312" s="467"/>
      <c r="G312" s="783"/>
      <c r="H312" s="783"/>
      <c r="I312" s="783"/>
      <c r="J312" s="783"/>
      <c r="K312" s="783"/>
      <c r="L312" s="783"/>
      <c r="M312" s="783"/>
    </row>
    <row r="313" spans="1:13" x14ac:dyDescent="0.25">
      <c r="A313" s="427"/>
      <c r="B313" s="422"/>
      <c r="C313" s="430"/>
      <c r="D313" s="427"/>
      <c r="E313" s="450"/>
      <c r="F313" s="483"/>
      <c r="G313" s="783"/>
      <c r="H313" s="783"/>
      <c r="I313" s="783"/>
      <c r="J313" s="783"/>
      <c r="K313" s="783"/>
      <c r="L313" s="783"/>
      <c r="M313" s="424"/>
    </row>
    <row r="314" spans="1:13" x14ac:dyDescent="0.25">
      <c r="A314" s="427"/>
      <c r="B314" s="422"/>
      <c r="C314" s="479"/>
      <c r="D314" s="444"/>
      <c r="E314" s="480"/>
      <c r="F314" s="441"/>
      <c r="G314" s="418"/>
      <c r="H314" s="418"/>
      <c r="I314" s="418"/>
      <c r="J314" s="418"/>
      <c r="K314" s="418"/>
      <c r="L314" s="418"/>
      <c r="M314" s="424"/>
    </row>
    <row r="315" spans="1:13" x14ac:dyDescent="0.25">
      <c r="A315" s="427"/>
      <c r="B315" s="422"/>
      <c r="C315" s="430"/>
      <c r="D315" s="427"/>
      <c r="E315" s="450"/>
      <c r="F315" s="483"/>
      <c r="G315" s="783"/>
      <c r="H315" s="783"/>
      <c r="I315" s="783"/>
      <c r="J315" s="783"/>
      <c r="K315" s="783"/>
      <c r="L315" s="418"/>
      <c r="M315" s="424"/>
    </row>
    <row r="316" spans="1:13" x14ac:dyDescent="0.25">
      <c r="A316" s="427"/>
      <c r="B316" s="422"/>
      <c r="C316" s="430"/>
      <c r="D316" s="427"/>
      <c r="E316" s="450"/>
      <c r="F316" s="483"/>
      <c r="G316" s="783"/>
      <c r="H316" s="783"/>
      <c r="I316" s="783"/>
      <c r="J316" s="783"/>
      <c r="K316" s="783"/>
      <c r="L316" s="418"/>
      <c r="M316" s="424"/>
    </row>
    <row r="317" spans="1:13" x14ac:dyDescent="0.25">
      <c r="A317" s="427"/>
      <c r="B317" s="422"/>
      <c r="C317" s="430"/>
      <c r="D317" s="427"/>
      <c r="E317" s="450"/>
      <c r="F317" s="483"/>
      <c r="G317" s="783"/>
      <c r="H317" s="783"/>
      <c r="I317" s="783"/>
      <c r="J317" s="783"/>
      <c r="K317" s="783"/>
      <c r="L317" s="418"/>
      <c r="M317" s="424"/>
    </row>
    <row r="318" spans="1:13" x14ac:dyDescent="0.25">
      <c r="A318" s="427"/>
      <c r="B318" s="422"/>
      <c r="C318" s="430"/>
      <c r="D318" s="427"/>
      <c r="E318" s="450"/>
      <c r="F318" s="483"/>
      <c r="G318" s="783"/>
      <c r="H318" s="783"/>
      <c r="I318" s="783"/>
      <c r="J318" s="783"/>
      <c r="K318" s="783"/>
      <c r="L318" s="418"/>
      <c r="M318" s="424"/>
    </row>
    <row r="319" spans="1:13" x14ac:dyDescent="0.25">
      <c r="A319" s="427"/>
      <c r="B319" s="422"/>
      <c r="C319" s="430"/>
      <c r="D319" s="427"/>
      <c r="E319" s="450"/>
      <c r="F319" s="483"/>
      <c r="G319" s="783"/>
      <c r="H319" s="783"/>
      <c r="I319" s="783"/>
      <c r="J319" s="783"/>
      <c r="K319" s="783"/>
      <c r="L319" s="418"/>
      <c r="M319" s="424"/>
    </row>
    <row r="320" spans="1:13" x14ac:dyDescent="0.25">
      <c r="A320" s="427"/>
      <c r="B320" s="422"/>
      <c r="C320" s="430"/>
      <c r="D320" s="427"/>
      <c r="E320" s="791"/>
      <c r="F320" s="483"/>
      <c r="G320" s="783"/>
      <c r="H320" s="783"/>
      <c r="I320" s="783"/>
      <c r="J320" s="783"/>
      <c r="K320" s="783"/>
      <c r="L320" s="418"/>
      <c r="M320" s="424"/>
    </row>
    <row r="321" spans="1:13" x14ac:dyDescent="0.25">
      <c r="A321" s="427"/>
      <c r="B321" s="422"/>
      <c r="C321" s="430"/>
      <c r="D321" s="427"/>
      <c r="E321" s="450"/>
      <c r="F321" s="483"/>
      <c r="G321" s="783"/>
      <c r="H321" s="783"/>
      <c r="I321" s="783"/>
      <c r="J321" s="783"/>
      <c r="K321" s="783"/>
      <c r="L321" s="418"/>
      <c r="M321" s="424"/>
    </row>
    <row r="322" spans="1:13" x14ac:dyDescent="0.25">
      <c r="A322" s="427"/>
      <c r="B322" s="422"/>
      <c r="C322" s="430"/>
      <c r="D322" s="427"/>
      <c r="E322" s="450"/>
      <c r="F322" s="483"/>
      <c r="G322" s="783"/>
      <c r="H322" s="783"/>
      <c r="I322" s="783"/>
      <c r="J322" s="783"/>
      <c r="K322" s="783"/>
      <c r="L322" s="418"/>
      <c r="M322" s="424"/>
    </row>
    <row r="323" spans="1:13" x14ac:dyDescent="0.25">
      <c r="A323" s="439"/>
      <c r="B323" s="422"/>
      <c r="C323" s="671"/>
      <c r="D323" s="3"/>
      <c r="E323" s="436"/>
      <c r="F323" s="436"/>
      <c r="G323" s="788"/>
      <c r="H323" s="788"/>
      <c r="I323" s="788"/>
      <c r="J323" s="788"/>
      <c r="K323" s="788"/>
      <c r="L323" s="788"/>
      <c r="M323" s="788"/>
    </row>
    <row r="324" spans="1:13" x14ac:dyDescent="0.25">
      <c r="A324" s="439"/>
      <c r="B324" s="437"/>
      <c r="C324" s="438"/>
      <c r="D324" s="439"/>
      <c r="E324" s="440"/>
      <c r="F324" s="441"/>
      <c r="G324" s="783"/>
      <c r="H324" s="783"/>
      <c r="I324" s="783"/>
      <c r="J324" s="783"/>
      <c r="K324" s="783"/>
      <c r="L324" s="783"/>
      <c r="M324" s="424"/>
    </row>
    <row r="325" spans="1:13" x14ac:dyDescent="0.25">
      <c r="A325" s="439"/>
      <c r="B325" s="422"/>
      <c r="C325" s="430"/>
      <c r="D325" s="427"/>
      <c r="E325" s="441"/>
      <c r="F325" s="441"/>
      <c r="G325" s="783"/>
      <c r="H325" s="783"/>
      <c r="I325" s="783"/>
      <c r="J325" s="783"/>
      <c r="K325" s="783"/>
      <c r="L325" s="783"/>
      <c r="M325" s="424"/>
    </row>
    <row r="326" spans="1:13" x14ac:dyDescent="0.25">
      <c r="A326" s="439"/>
      <c r="B326" s="437"/>
      <c r="C326" s="430"/>
      <c r="D326" s="439"/>
      <c r="E326" s="441"/>
      <c r="F326" s="441"/>
      <c r="G326" s="783"/>
      <c r="H326" s="783"/>
      <c r="I326" s="783"/>
      <c r="J326" s="783"/>
      <c r="K326" s="783"/>
      <c r="L326" s="783"/>
      <c r="M326" s="424"/>
    </row>
    <row r="327" spans="1:13" x14ac:dyDescent="0.25">
      <c r="A327" s="439"/>
      <c r="B327" s="429"/>
      <c r="C327" s="438"/>
      <c r="D327" s="427"/>
      <c r="E327" s="442"/>
      <c r="F327" s="441"/>
      <c r="G327" s="783"/>
      <c r="H327" s="418"/>
      <c r="I327" s="783"/>
      <c r="J327" s="783"/>
      <c r="K327" s="783"/>
      <c r="L327" s="783"/>
      <c r="M327" s="424"/>
    </row>
    <row r="328" spans="1:13" x14ac:dyDescent="0.25">
      <c r="A328" s="439"/>
      <c r="B328" s="437"/>
      <c r="C328" s="438"/>
      <c r="D328" s="427"/>
      <c r="E328" s="443"/>
      <c r="F328" s="444"/>
      <c r="G328" s="783"/>
      <c r="H328" s="418"/>
      <c r="I328" s="783"/>
      <c r="J328" s="783"/>
      <c r="K328" s="783"/>
      <c r="L328" s="783"/>
      <c r="M328" s="424"/>
    </row>
    <row r="329" spans="1:13" x14ac:dyDescent="0.25">
      <c r="A329" s="439"/>
      <c r="B329" s="437"/>
      <c r="C329" s="438"/>
      <c r="D329" s="427"/>
      <c r="E329" s="443"/>
      <c r="F329" s="441"/>
      <c r="G329" s="783"/>
      <c r="H329" s="418"/>
      <c r="I329" s="783"/>
      <c r="J329" s="783"/>
      <c r="K329" s="783"/>
      <c r="L329" s="783"/>
      <c r="M329" s="424"/>
    </row>
    <row r="330" spans="1:13" x14ac:dyDescent="0.25">
      <c r="A330" s="439"/>
      <c r="B330" s="429"/>
      <c r="C330" s="438"/>
      <c r="D330" s="427"/>
      <c r="E330" s="445"/>
      <c r="F330" s="441"/>
      <c r="G330" s="783"/>
      <c r="H330" s="418"/>
      <c r="I330" s="783"/>
      <c r="J330" s="783"/>
      <c r="K330" s="783"/>
      <c r="L330" s="783"/>
      <c r="M330" s="424"/>
    </row>
    <row r="331" spans="1:13" x14ac:dyDescent="0.25">
      <c r="A331" s="439"/>
      <c r="B331" s="437"/>
      <c r="C331" s="426"/>
      <c r="D331" s="446"/>
      <c r="E331" s="440"/>
      <c r="F331" s="441"/>
      <c r="G331" s="783"/>
      <c r="H331" s="418"/>
      <c r="I331" s="783"/>
      <c r="J331" s="783"/>
      <c r="K331" s="783"/>
      <c r="L331" s="783"/>
      <c r="M331" s="424"/>
    </row>
    <row r="332" spans="1:13" x14ac:dyDescent="0.25">
      <c r="A332" s="439"/>
      <c r="B332" s="447"/>
      <c r="C332" s="426"/>
      <c r="D332" s="446"/>
      <c r="E332" s="445"/>
      <c r="F332" s="441"/>
      <c r="G332" s="783"/>
      <c r="H332" s="418"/>
      <c r="I332" s="783"/>
      <c r="J332" s="783"/>
      <c r="K332" s="783"/>
      <c r="L332" s="783"/>
      <c r="M332" s="424"/>
    </row>
    <row r="333" spans="1:13" x14ac:dyDescent="0.25">
      <c r="A333" s="416"/>
      <c r="B333" s="429"/>
      <c r="C333" s="46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</row>
    <row r="334" spans="1:13" x14ac:dyDescent="0.25">
      <c r="A334" s="416"/>
      <c r="B334" s="429"/>
      <c r="C334" s="459"/>
      <c r="D334" s="416"/>
      <c r="E334" s="417"/>
      <c r="F334" s="417"/>
      <c r="G334" s="170"/>
      <c r="H334" s="418"/>
      <c r="I334" s="418"/>
      <c r="J334" s="418"/>
      <c r="K334" s="418"/>
      <c r="L334" s="418"/>
      <c r="M334" s="418"/>
    </row>
    <row r="335" spans="1:13" x14ac:dyDescent="0.25">
      <c r="A335" s="416"/>
      <c r="B335" s="429"/>
      <c r="C335" s="459"/>
      <c r="D335" s="416"/>
      <c r="E335" s="417"/>
      <c r="F335" s="417"/>
      <c r="G335" s="418"/>
      <c r="H335" s="418"/>
      <c r="I335" s="418"/>
      <c r="J335" s="418"/>
      <c r="K335" s="418"/>
      <c r="L335" s="418"/>
      <c r="M335" s="418"/>
    </row>
    <row r="336" spans="1:13" x14ac:dyDescent="0.25">
      <c r="A336" s="416"/>
      <c r="B336" s="429"/>
      <c r="C336" s="461"/>
      <c r="D336" s="416"/>
      <c r="E336" s="417"/>
      <c r="F336" s="417"/>
      <c r="G336" s="418"/>
      <c r="H336" s="418"/>
      <c r="I336" s="418"/>
      <c r="J336" s="418"/>
      <c r="K336" s="418"/>
      <c r="L336" s="418"/>
      <c r="M336" s="418"/>
    </row>
    <row r="337" spans="1:13" x14ac:dyDescent="0.25">
      <c r="A337" s="416"/>
      <c r="B337" s="463"/>
      <c r="C337" s="459"/>
      <c r="D337" s="416"/>
      <c r="E337" s="417"/>
      <c r="F337" s="417"/>
      <c r="G337" s="170"/>
      <c r="H337" s="418"/>
      <c r="I337" s="418"/>
      <c r="J337" s="418"/>
      <c r="K337" s="418"/>
      <c r="L337" s="418"/>
      <c r="M337" s="418"/>
    </row>
    <row r="338" spans="1:13" x14ac:dyDescent="0.25">
      <c r="A338" s="416"/>
      <c r="B338" s="463"/>
      <c r="C338" s="459"/>
      <c r="D338" s="416"/>
      <c r="E338" s="417"/>
      <c r="F338" s="417"/>
      <c r="G338" s="418"/>
      <c r="H338" s="418"/>
      <c r="I338" s="418"/>
      <c r="J338" s="418"/>
      <c r="K338" s="418"/>
      <c r="L338" s="418"/>
      <c r="M338" s="418"/>
    </row>
    <row r="339" spans="1:13" x14ac:dyDescent="0.25">
      <c r="A339" s="1031"/>
      <c r="B339" s="448"/>
      <c r="C339" s="449"/>
      <c r="D339" s="449"/>
      <c r="E339" s="450"/>
      <c r="F339" s="451"/>
      <c r="G339" s="783"/>
      <c r="H339" s="783"/>
      <c r="I339" s="783"/>
      <c r="J339" s="783"/>
      <c r="K339" s="783"/>
      <c r="L339" s="783"/>
      <c r="M339" s="783"/>
    </row>
    <row r="340" spans="1:13" x14ac:dyDescent="0.25">
      <c r="A340" s="1031"/>
      <c r="B340" s="437"/>
      <c r="C340" s="453"/>
      <c r="D340" s="450"/>
      <c r="E340" s="450"/>
      <c r="F340" s="483"/>
      <c r="G340" s="783"/>
      <c r="H340" s="783"/>
      <c r="I340" s="418"/>
      <c r="J340" s="418"/>
      <c r="K340" s="783"/>
      <c r="L340" s="783"/>
      <c r="M340" s="418"/>
    </row>
    <row r="341" spans="1:13" x14ac:dyDescent="0.25">
      <c r="A341" s="1031"/>
      <c r="B341" s="437"/>
      <c r="C341" s="454"/>
      <c r="D341" s="450"/>
      <c r="E341" s="450"/>
      <c r="F341" s="483"/>
      <c r="G341" s="783"/>
      <c r="H341" s="783"/>
      <c r="I341" s="783"/>
      <c r="J341" s="783"/>
      <c r="K341" s="783"/>
      <c r="L341" s="783"/>
      <c r="M341" s="418"/>
    </row>
    <row r="342" spans="1:13" x14ac:dyDescent="0.25">
      <c r="A342" s="1031"/>
      <c r="B342" s="422"/>
      <c r="C342" s="453"/>
      <c r="D342" s="450"/>
      <c r="E342" s="450"/>
      <c r="F342" s="483"/>
      <c r="G342" s="783"/>
      <c r="H342" s="783"/>
      <c r="I342" s="783"/>
      <c r="J342" s="783"/>
      <c r="K342" s="783"/>
      <c r="L342" s="783"/>
      <c r="M342" s="418"/>
    </row>
    <row r="343" spans="1:13" ht="15.75" x14ac:dyDescent="0.3">
      <c r="A343" s="1031"/>
      <c r="B343" s="793"/>
      <c r="C343" s="794"/>
      <c r="D343" s="439"/>
      <c r="E343" s="440"/>
      <c r="F343" s="441"/>
      <c r="G343" s="783"/>
      <c r="H343" s="783"/>
      <c r="I343" s="783"/>
      <c r="J343" s="783"/>
      <c r="K343" s="783"/>
      <c r="L343" s="783"/>
      <c r="M343" s="418"/>
    </row>
    <row r="344" spans="1:13" x14ac:dyDescent="0.25">
      <c r="A344" s="1031"/>
      <c r="B344" s="484"/>
      <c r="C344" s="449"/>
      <c r="D344" s="449"/>
      <c r="E344" s="450"/>
      <c r="F344" s="451"/>
      <c r="G344" s="783"/>
      <c r="H344" s="783"/>
      <c r="I344" s="783"/>
      <c r="J344" s="783"/>
      <c r="K344" s="783"/>
      <c r="L344" s="783"/>
      <c r="M344" s="783"/>
    </row>
    <row r="345" spans="1:13" x14ac:dyDescent="0.25">
      <c r="A345" s="1031"/>
      <c r="B345" s="485"/>
      <c r="C345" s="453"/>
      <c r="D345" s="450"/>
      <c r="E345" s="450"/>
      <c r="F345" s="483"/>
      <c r="G345" s="783"/>
      <c r="H345" s="783"/>
      <c r="I345" s="418"/>
      <c r="J345" s="418"/>
      <c r="K345" s="783"/>
      <c r="L345" s="783"/>
      <c r="M345" s="418"/>
    </row>
    <row r="346" spans="1:13" x14ac:dyDescent="0.25">
      <c r="A346" s="1031"/>
      <c r="B346" s="485"/>
      <c r="C346" s="453"/>
      <c r="D346" s="450"/>
      <c r="E346" s="450"/>
      <c r="F346" s="483"/>
      <c r="G346" s="783"/>
      <c r="H346" s="783"/>
      <c r="I346" s="783"/>
      <c r="J346" s="783"/>
      <c r="K346" s="783"/>
      <c r="L346" s="783"/>
      <c r="M346" s="418"/>
    </row>
    <row r="347" spans="1:13" x14ac:dyDescent="0.25">
      <c r="A347" s="1031"/>
      <c r="B347" s="485"/>
      <c r="C347" s="453"/>
      <c r="D347" s="450"/>
      <c r="E347" s="483"/>
      <c r="F347" s="483"/>
      <c r="G347" s="783"/>
      <c r="H347" s="783"/>
      <c r="I347" s="783"/>
      <c r="J347" s="783"/>
      <c r="K347" s="783"/>
      <c r="L347" s="783"/>
      <c r="M347" s="418"/>
    </row>
    <row r="348" spans="1:13" x14ac:dyDescent="0.25">
      <c r="A348" s="1031"/>
      <c r="B348" s="450"/>
      <c r="C348" s="453"/>
      <c r="D348" s="450"/>
      <c r="E348" s="450"/>
      <c r="F348" s="483"/>
      <c r="G348" s="783"/>
      <c r="H348" s="783"/>
      <c r="I348" s="783"/>
      <c r="J348" s="783"/>
      <c r="K348" s="783"/>
      <c r="L348" s="783"/>
      <c r="M348" s="418"/>
    </row>
    <row r="349" spans="1:13" x14ac:dyDescent="0.25">
      <c r="A349" s="427"/>
      <c r="B349" s="422"/>
      <c r="C349" s="3"/>
      <c r="D349" s="3"/>
      <c r="E349" s="3"/>
      <c r="F349" s="795"/>
      <c r="G349" s="796"/>
      <c r="H349" s="796"/>
      <c r="I349" s="796"/>
      <c r="J349" s="796"/>
      <c r="K349" s="796"/>
      <c r="L349" s="796"/>
      <c r="M349" s="796"/>
    </row>
    <row r="350" spans="1:13" x14ac:dyDescent="0.25">
      <c r="A350" s="427"/>
      <c r="B350" s="422"/>
      <c r="C350" s="430"/>
      <c r="D350" s="430"/>
      <c r="E350" s="427"/>
      <c r="F350" s="483"/>
      <c r="G350" s="797"/>
      <c r="H350" s="797"/>
      <c r="I350" s="797"/>
      <c r="J350" s="797"/>
      <c r="K350" s="797"/>
      <c r="L350" s="797"/>
      <c r="M350" s="418"/>
    </row>
    <row r="351" spans="1:13" x14ac:dyDescent="0.25">
      <c r="A351" s="427"/>
      <c r="B351" s="422"/>
      <c r="C351" s="430"/>
      <c r="D351" s="427"/>
      <c r="E351" s="427"/>
      <c r="F351" s="483"/>
      <c r="G351" s="797"/>
      <c r="H351" s="797"/>
      <c r="I351" s="797"/>
      <c r="J351" s="797"/>
      <c r="K351" s="797"/>
      <c r="L351" s="797"/>
      <c r="M351" s="418"/>
    </row>
    <row r="352" spans="1:13" x14ac:dyDescent="0.25">
      <c r="A352" s="427"/>
      <c r="B352" s="437"/>
      <c r="C352" s="3"/>
      <c r="D352" s="3"/>
      <c r="E352" s="3"/>
      <c r="F352" s="451"/>
      <c r="G352" s="796"/>
      <c r="H352" s="796"/>
      <c r="I352" s="796"/>
      <c r="J352" s="796"/>
      <c r="K352" s="796"/>
      <c r="L352" s="796"/>
      <c r="M352" s="796"/>
    </row>
    <row r="353" spans="1:13" x14ac:dyDescent="0.25">
      <c r="A353" s="427"/>
      <c r="B353" s="782"/>
      <c r="C353" s="528"/>
      <c r="D353" s="427"/>
      <c r="E353" s="798"/>
      <c r="F353" s="483"/>
      <c r="G353" s="797"/>
      <c r="H353" s="797"/>
      <c r="I353" s="418"/>
      <c r="J353" s="418"/>
      <c r="K353" s="783"/>
      <c r="L353" s="783"/>
      <c r="M353" s="418"/>
    </row>
    <row r="354" spans="1:13" x14ac:dyDescent="0.25">
      <c r="A354" s="427"/>
      <c r="B354" s="782"/>
      <c r="C354" s="528"/>
      <c r="D354" s="427"/>
      <c r="E354" s="427"/>
      <c r="F354" s="483"/>
      <c r="G354" s="783"/>
      <c r="H354" s="783"/>
      <c r="I354" s="783"/>
      <c r="J354" s="783"/>
      <c r="K354" s="783"/>
      <c r="L354" s="783"/>
      <c r="M354" s="418"/>
    </row>
    <row r="355" spans="1:13" x14ac:dyDescent="0.25">
      <c r="A355" s="427"/>
      <c r="B355" s="422"/>
      <c r="C355" s="528"/>
      <c r="D355" s="427"/>
      <c r="E355" s="427"/>
      <c r="F355" s="483"/>
      <c r="G355" s="783"/>
      <c r="H355" s="783"/>
      <c r="I355" s="783"/>
      <c r="J355" s="783"/>
      <c r="K355" s="783"/>
      <c r="L355" s="783"/>
      <c r="M355" s="418"/>
    </row>
    <row r="356" spans="1:13" x14ac:dyDescent="0.25">
      <c r="A356" s="437"/>
      <c r="B356" s="437"/>
      <c r="C356" s="465"/>
      <c r="D356" s="3"/>
      <c r="E356" s="467"/>
      <c r="F356" s="467"/>
      <c r="G356" s="467"/>
      <c r="H356" s="467"/>
      <c r="I356" s="467"/>
      <c r="J356" s="467"/>
      <c r="K356" s="467"/>
      <c r="L356" s="467"/>
      <c r="M356" s="467"/>
    </row>
    <row r="357" spans="1:13" x14ac:dyDescent="0.25">
      <c r="A357" s="437"/>
      <c r="B357" s="437"/>
      <c r="C357" s="430"/>
      <c r="D357" s="526"/>
      <c r="E357" s="445"/>
      <c r="F357" s="445"/>
      <c r="G357" s="424"/>
      <c r="H357" s="424"/>
      <c r="I357" s="424"/>
      <c r="J357" s="424"/>
      <c r="K357" s="424"/>
      <c r="L357" s="424"/>
      <c r="M357" s="418"/>
    </row>
    <row r="358" spans="1:13" x14ac:dyDescent="0.25">
      <c r="A358" s="437"/>
      <c r="B358" s="437"/>
      <c r="C358" s="527"/>
      <c r="D358" s="427"/>
      <c r="E358" s="784"/>
      <c r="F358" s="424"/>
      <c r="G358" s="424"/>
      <c r="H358" s="424"/>
      <c r="I358" s="424"/>
      <c r="J358" s="424"/>
      <c r="K358" s="424"/>
      <c r="L358" s="424"/>
      <c r="M358" s="418"/>
    </row>
    <row r="359" spans="1:13" x14ac:dyDescent="0.25">
      <c r="A359" s="437"/>
      <c r="B359" s="437"/>
      <c r="C359" s="527"/>
      <c r="D359" s="427"/>
      <c r="E359" s="784"/>
      <c r="F359" s="424"/>
      <c r="G359" s="424"/>
      <c r="H359" s="424"/>
      <c r="I359" s="424"/>
      <c r="J359" s="424"/>
      <c r="K359" s="424"/>
      <c r="L359" s="424"/>
      <c r="M359" s="418"/>
    </row>
    <row r="360" spans="1:13" x14ac:dyDescent="0.25">
      <c r="A360" s="437"/>
      <c r="B360" s="437"/>
      <c r="C360" s="527"/>
      <c r="D360" s="427"/>
      <c r="E360" s="424"/>
      <c r="F360" s="424"/>
      <c r="G360" s="424"/>
      <c r="H360" s="424"/>
      <c r="I360" s="424"/>
      <c r="J360" s="424"/>
      <c r="K360" s="424"/>
      <c r="L360" s="424"/>
      <c r="M360" s="418"/>
    </row>
    <row r="361" spans="1:13" x14ac:dyDescent="0.25">
      <c r="A361" s="437"/>
      <c r="B361" s="437"/>
      <c r="C361" s="3"/>
      <c r="D361" s="3"/>
      <c r="E361" s="467"/>
      <c r="F361" s="467"/>
      <c r="G361" s="467"/>
      <c r="H361" s="467"/>
      <c r="I361" s="467"/>
      <c r="J361" s="467"/>
      <c r="K361" s="467"/>
      <c r="L361" s="467"/>
      <c r="M361" s="467"/>
    </row>
    <row r="362" spans="1:13" x14ac:dyDescent="0.25">
      <c r="A362" s="437"/>
      <c r="B362" s="437"/>
      <c r="C362" s="430"/>
      <c r="D362" s="526"/>
      <c r="E362" s="445"/>
      <c r="F362" s="441"/>
      <c r="G362" s="424"/>
      <c r="H362" s="424"/>
      <c r="I362" s="424"/>
      <c r="J362" s="424"/>
      <c r="K362" s="424"/>
      <c r="L362" s="424"/>
      <c r="M362" s="418"/>
    </row>
    <row r="363" spans="1:13" x14ac:dyDescent="0.25">
      <c r="A363" s="437"/>
      <c r="B363" s="437"/>
      <c r="C363" s="527"/>
      <c r="D363" s="427"/>
      <c r="E363" s="784"/>
      <c r="F363" s="483"/>
      <c r="G363" s="424"/>
      <c r="H363" s="424"/>
      <c r="I363" s="424"/>
      <c r="J363" s="424"/>
      <c r="K363" s="424"/>
      <c r="L363" s="424"/>
      <c r="M363" s="418"/>
    </row>
    <row r="364" spans="1:13" x14ac:dyDescent="0.25">
      <c r="A364" s="437"/>
      <c r="B364" s="437"/>
      <c r="C364" s="527"/>
      <c r="D364" s="427"/>
      <c r="E364" s="784"/>
      <c r="F364" s="483"/>
      <c r="G364" s="424"/>
      <c r="H364" s="424"/>
      <c r="I364" s="424"/>
      <c r="J364" s="424"/>
      <c r="K364" s="424"/>
      <c r="L364" s="424"/>
      <c r="M364" s="418"/>
    </row>
    <row r="365" spans="1:13" x14ac:dyDescent="0.25">
      <c r="A365" s="437"/>
      <c r="B365" s="437"/>
      <c r="C365" s="527"/>
      <c r="D365" s="427"/>
      <c r="E365" s="424"/>
      <c r="F365" s="424"/>
      <c r="G365" s="424"/>
      <c r="H365" s="424"/>
      <c r="I365" s="424"/>
      <c r="J365" s="424"/>
      <c r="K365" s="424"/>
      <c r="L365" s="424"/>
      <c r="M365" s="418"/>
    </row>
    <row r="366" spans="1:13" x14ac:dyDescent="0.25">
      <c r="A366" s="427"/>
      <c r="B366" s="429"/>
      <c r="C366" s="459"/>
      <c r="D366" s="416"/>
      <c r="E366" s="417"/>
      <c r="F366" s="417"/>
      <c r="G366" s="418"/>
      <c r="H366" s="418"/>
      <c r="I366" s="418"/>
      <c r="J366" s="418"/>
      <c r="K366" s="418"/>
      <c r="L366" s="418"/>
      <c r="M366" s="418"/>
    </row>
    <row r="367" spans="1:13" x14ac:dyDescent="0.25">
      <c r="A367" s="416"/>
      <c r="B367" s="463"/>
      <c r="C367" s="430"/>
      <c r="D367" s="464"/>
      <c r="E367" s="417"/>
      <c r="F367" s="417"/>
      <c r="G367" s="418"/>
      <c r="H367" s="418"/>
      <c r="I367" s="170"/>
      <c r="J367" s="170"/>
      <c r="K367" s="170"/>
      <c r="L367" s="170"/>
      <c r="M367" s="418"/>
    </row>
    <row r="368" spans="1:13" x14ac:dyDescent="0.25">
      <c r="A368" s="416"/>
      <c r="B368" s="463"/>
      <c r="C368" s="461"/>
      <c r="D368" s="464"/>
      <c r="E368" s="417"/>
      <c r="F368" s="417"/>
      <c r="G368" s="418"/>
      <c r="H368" s="170"/>
      <c r="I368" s="170"/>
      <c r="J368" s="170"/>
      <c r="K368" s="170"/>
      <c r="L368" s="170"/>
      <c r="M368" s="418"/>
    </row>
    <row r="369" spans="1:13" x14ac:dyDescent="0.25">
      <c r="A369" s="416"/>
      <c r="B369" s="437"/>
      <c r="C369" s="438"/>
      <c r="D369" s="464"/>
      <c r="E369" s="428"/>
      <c r="F369" s="458"/>
      <c r="G369" s="170"/>
      <c r="H369" s="170"/>
      <c r="I369" s="418"/>
      <c r="J369" s="418"/>
      <c r="K369" s="418"/>
      <c r="L369" s="424"/>
      <c r="M369" s="424"/>
    </row>
    <row r="370" spans="1:13" x14ac:dyDescent="0.25">
      <c r="A370" s="416"/>
      <c r="B370" s="437"/>
      <c r="C370" s="438"/>
      <c r="D370" s="464"/>
      <c r="E370" s="428"/>
      <c r="F370" s="458"/>
      <c r="G370" s="170"/>
      <c r="H370" s="170"/>
      <c r="I370" s="418"/>
      <c r="J370" s="418"/>
      <c r="K370" s="418"/>
      <c r="L370" s="418"/>
      <c r="M370" s="424"/>
    </row>
    <row r="371" spans="1:13" x14ac:dyDescent="0.25">
      <c r="A371" s="416"/>
      <c r="B371" s="437"/>
      <c r="C371" s="438"/>
      <c r="D371" s="464"/>
      <c r="E371" s="428"/>
      <c r="F371" s="458"/>
      <c r="G371" s="170"/>
      <c r="H371" s="170"/>
      <c r="I371" s="418"/>
      <c r="J371" s="418"/>
      <c r="K371" s="418"/>
      <c r="L371" s="424"/>
      <c r="M371" s="424"/>
    </row>
    <row r="372" spans="1:13" x14ac:dyDescent="0.25">
      <c r="A372" s="416"/>
      <c r="B372" s="437"/>
      <c r="C372" s="438"/>
      <c r="D372" s="464"/>
      <c r="E372" s="428"/>
      <c r="F372" s="417"/>
      <c r="G372" s="418"/>
      <c r="H372" s="418"/>
      <c r="I372" s="418"/>
      <c r="J372" s="418"/>
      <c r="K372" s="418"/>
      <c r="L372" s="424"/>
      <c r="M372" s="424"/>
    </row>
    <row r="373" spans="1:13" x14ac:dyDescent="0.25">
      <c r="A373" s="416"/>
      <c r="B373" s="437"/>
      <c r="C373" s="528"/>
      <c r="D373" s="529"/>
      <c r="E373" s="530"/>
      <c r="F373" s="428"/>
      <c r="G373" s="424"/>
      <c r="H373" s="424"/>
      <c r="I373" s="424"/>
      <c r="J373" s="424"/>
      <c r="K373" s="424"/>
      <c r="L373" s="424"/>
      <c r="M373" s="424"/>
    </row>
    <row r="374" spans="1:13" x14ac:dyDescent="0.25">
      <c r="A374" s="416"/>
      <c r="B374" s="465"/>
      <c r="C374" s="432"/>
      <c r="D374" s="531"/>
      <c r="E374" s="532"/>
      <c r="F374" s="423"/>
      <c r="G374" s="467"/>
      <c r="H374" s="467"/>
      <c r="I374" s="467"/>
      <c r="J374" s="467"/>
      <c r="K374" s="467"/>
      <c r="L374" s="467"/>
      <c r="M374" s="467"/>
    </row>
    <row r="375" spans="1:13" x14ac:dyDescent="0.25">
      <c r="A375" s="1033"/>
      <c r="B375" s="803"/>
      <c r="C375" s="466"/>
      <c r="D375" s="802"/>
      <c r="E375" s="802"/>
      <c r="F375" s="802"/>
      <c r="G375" s="804"/>
      <c r="H375" s="804"/>
      <c r="I375" s="804"/>
      <c r="J375" s="804"/>
      <c r="K375" s="804"/>
      <c r="L375" s="804"/>
      <c r="M375" s="804"/>
    </row>
    <row r="376" spans="1:13" x14ac:dyDescent="0.25">
      <c r="A376" s="1032"/>
      <c r="B376" s="800"/>
      <c r="C376" s="799"/>
      <c r="D376" s="799"/>
      <c r="E376" s="799"/>
      <c r="F376" s="799"/>
      <c r="G376" s="801"/>
      <c r="H376" s="801"/>
      <c r="I376" s="801"/>
      <c r="J376" s="801"/>
      <c r="K376" s="801"/>
      <c r="L376" s="801"/>
      <c r="M376" s="801"/>
    </row>
    <row r="377" spans="1:13" x14ac:dyDescent="0.25">
      <c r="A377" s="1032"/>
      <c r="B377" s="800"/>
      <c r="C377" s="799"/>
      <c r="D377" s="799"/>
      <c r="E377" s="799"/>
      <c r="F377" s="799"/>
      <c r="G377" s="801"/>
      <c r="H377" s="801"/>
      <c r="I377" s="801"/>
      <c r="J377" s="801"/>
      <c r="K377" s="801"/>
      <c r="L377" s="801"/>
      <c r="M377" s="801"/>
    </row>
    <row r="378" spans="1:13" x14ac:dyDescent="0.25">
      <c r="A378" s="1032"/>
      <c r="B378" s="800"/>
      <c r="C378" s="799"/>
      <c r="D378" s="799"/>
      <c r="E378" s="799"/>
      <c r="F378" s="799"/>
      <c r="G378" s="801"/>
      <c r="H378" s="801"/>
      <c r="I378" s="801"/>
      <c r="J378" s="801"/>
      <c r="K378" s="801"/>
      <c r="L378" s="801"/>
      <c r="M378" s="801"/>
    </row>
    <row r="379" spans="1:13" x14ac:dyDescent="0.25">
      <c r="A379" s="1032"/>
      <c r="B379" s="800"/>
      <c r="C379" s="805"/>
      <c r="D379" s="799"/>
      <c r="E379" s="799"/>
      <c r="F379" s="799"/>
      <c r="G379" s="801"/>
      <c r="H379" s="801"/>
      <c r="I379" s="801"/>
      <c r="J379" s="801"/>
      <c r="K379" s="801"/>
      <c r="L379" s="801"/>
      <c r="M379" s="801"/>
    </row>
    <row r="380" spans="1:13" x14ac:dyDescent="0.25">
      <c r="A380" s="1032"/>
      <c r="B380" s="800"/>
      <c r="C380" s="799"/>
      <c r="D380" s="799"/>
      <c r="E380" s="799"/>
      <c r="F380" s="799"/>
      <c r="G380" s="801"/>
      <c r="H380" s="801"/>
      <c r="I380" s="801"/>
      <c r="J380" s="801"/>
      <c r="K380" s="801"/>
      <c r="L380" s="801"/>
      <c r="M380" s="801"/>
    </row>
    <row r="381" spans="1:13" x14ac:dyDescent="0.25">
      <c r="A381" s="1032"/>
      <c r="B381" s="800"/>
      <c r="C381" s="799"/>
      <c r="D381" s="799"/>
      <c r="E381" s="799"/>
      <c r="F381" s="799"/>
      <c r="G381" s="801"/>
      <c r="H381" s="801"/>
      <c r="I381" s="801"/>
      <c r="J381" s="801"/>
      <c r="K381" s="801"/>
      <c r="L381" s="801"/>
      <c r="M381" s="801"/>
    </row>
    <row r="382" spans="1:13" x14ac:dyDescent="0.25">
      <c r="A382" s="1032"/>
      <c r="B382" s="800"/>
      <c r="C382" s="799"/>
      <c r="D382" s="799"/>
      <c r="E382" s="799"/>
      <c r="F382" s="799"/>
      <c r="G382" s="801"/>
      <c r="H382" s="801"/>
      <c r="I382" s="801"/>
      <c r="J382" s="801"/>
      <c r="K382" s="801"/>
      <c r="L382" s="801"/>
      <c r="M382" s="801"/>
    </row>
    <row r="383" spans="1:13" x14ac:dyDescent="0.25">
      <c r="A383" s="1032"/>
      <c r="B383" s="800"/>
      <c r="C383" s="799"/>
      <c r="D383" s="799"/>
      <c r="E383" s="799"/>
      <c r="F383" s="799"/>
      <c r="G383" s="801"/>
      <c r="H383" s="801"/>
      <c r="I383" s="801"/>
      <c r="J383" s="801"/>
      <c r="K383" s="801"/>
      <c r="L383" s="801"/>
      <c r="M383" s="801"/>
    </row>
    <row r="384" spans="1:13" x14ac:dyDescent="0.25">
      <c r="A384" s="1032"/>
      <c r="B384" s="800"/>
      <c r="C384" s="799"/>
      <c r="D384" s="799"/>
      <c r="E384" s="799"/>
      <c r="F384" s="799"/>
      <c r="G384" s="801"/>
      <c r="H384" s="801"/>
      <c r="I384" s="801"/>
      <c r="J384" s="801"/>
      <c r="K384" s="801"/>
      <c r="L384" s="801"/>
      <c r="M384" s="801"/>
    </row>
    <row r="385" spans="1:13" x14ac:dyDescent="0.25">
      <c r="A385" s="1032"/>
      <c r="B385" s="800"/>
      <c r="C385" s="799"/>
      <c r="D385" s="799"/>
      <c r="E385" s="799"/>
      <c r="F385" s="799"/>
      <c r="G385" s="801"/>
      <c r="H385" s="801"/>
      <c r="I385" s="801"/>
      <c r="J385" s="801"/>
      <c r="K385" s="801"/>
      <c r="L385" s="801"/>
      <c r="M385" s="801"/>
    </row>
    <row r="386" spans="1:13" x14ac:dyDescent="0.25">
      <c r="A386" s="1032"/>
      <c r="B386" s="800"/>
      <c r="C386" s="799"/>
      <c r="D386" s="799"/>
      <c r="E386" s="799"/>
      <c r="F386" s="799"/>
      <c r="G386" s="801"/>
      <c r="H386" s="801"/>
      <c r="I386" s="801"/>
      <c r="J386" s="801"/>
      <c r="K386" s="801"/>
      <c r="L386" s="801"/>
      <c r="M386" s="801"/>
    </row>
    <row r="387" spans="1:13" x14ac:dyDescent="0.25">
      <c r="A387" s="1032"/>
      <c r="B387" s="800"/>
      <c r="C387" s="799"/>
      <c r="D387" s="799"/>
      <c r="E387" s="799"/>
      <c r="F387" s="799"/>
      <c r="G387" s="801"/>
      <c r="H387" s="801"/>
      <c r="I387" s="801"/>
      <c r="J387" s="801"/>
      <c r="K387" s="801"/>
      <c r="L387" s="801"/>
      <c r="M387" s="801"/>
    </row>
    <row r="388" spans="1:13" x14ac:dyDescent="0.25">
      <c r="A388" s="1032"/>
      <c r="B388" s="800"/>
      <c r="C388" s="799"/>
      <c r="D388" s="799"/>
      <c r="E388" s="799"/>
      <c r="F388" s="799"/>
      <c r="G388" s="801"/>
      <c r="H388" s="801"/>
      <c r="I388" s="801"/>
      <c r="J388" s="801"/>
      <c r="K388" s="801"/>
      <c r="L388" s="801"/>
      <c r="M388" s="801"/>
    </row>
    <row r="389" spans="1:13" x14ac:dyDescent="0.25">
      <c r="A389" s="1032"/>
      <c r="B389" s="800"/>
      <c r="C389" s="799"/>
      <c r="D389" s="799"/>
      <c r="E389" s="799"/>
      <c r="F389" s="799"/>
      <c r="G389" s="801"/>
      <c r="H389" s="801"/>
      <c r="I389" s="801"/>
      <c r="J389" s="801"/>
      <c r="K389" s="801"/>
      <c r="L389" s="801"/>
      <c r="M389" s="801"/>
    </row>
    <row r="390" spans="1:13" x14ac:dyDescent="0.25">
      <c r="A390" s="1032"/>
      <c r="B390" s="800"/>
      <c r="C390" s="799"/>
      <c r="D390" s="799"/>
      <c r="E390" s="799"/>
      <c r="F390" s="799"/>
      <c r="G390" s="801"/>
      <c r="H390" s="801"/>
      <c r="I390" s="801"/>
      <c r="J390" s="801"/>
      <c r="K390" s="801"/>
      <c r="L390" s="801"/>
      <c r="M390" s="801"/>
    </row>
    <row r="391" spans="1:13" x14ac:dyDescent="0.25">
      <c r="A391" s="1032"/>
      <c r="B391" s="800"/>
      <c r="C391" s="799"/>
      <c r="D391" s="799"/>
      <c r="E391" s="799"/>
      <c r="F391" s="799"/>
      <c r="G391" s="801"/>
      <c r="H391" s="801"/>
      <c r="I391" s="801"/>
      <c r="J391" s="801"/>
      <c r="K391" s="801"/>
      <c r="L391" s="801"/>
      <c r="M391" s="801"/>
    </row>
    <row r="392" spans="1:13" x14ac:dyDescent="0.25">
      <c r="A392" s="1032"/>
      <c r="B392" s="800"/>
      <c r="C392" s="799"/>
      <c r="D392" s="799"/>
      <c r="E392" s="799"/>
      <c r="F392" s="799"/>
      <c r="G392" s="801"/>
      <c r="H392" s="801"/>
      <c r="I392" s="801"/>
      <c r="J392" s="801"/>
      <c r="K392" s="801"/>
      <c r="L392" s="801"/>
      <c r="M392" s="801"/>
    </row>
    <row r="393" spans="1:13" x14ac:dyDescent="0.25">
      <c r="A393" s="1032"/>
      <c r="B393" s="800"/>
      <c r="C393" s="799"/>
      <c r="D393" s="799"/>
      <c r="E393" s="799"/>
      <c r="F393" s="799"/>
      <c r="G393" s="801"/>
      <c r="H393" s="801"/>
      <c r="I393" s="801"/>
      <c r="J393" s="801"/>
      <c r="K393" s="801"/>
      <c r="L393" s="801"/>
      <c r="M393" s="801"/>
    </row>
    <row r="394" spans="1:13" x14ac:dyDescent="0.25">
      <c r="A394" s="1032"/>
      <c r="B394" s="800"/>
      <c r="C394" s="799"/>
      <c r="D394" s="799"/>
      <c r="E394" s="799"/>
      <c r="F394" s="799"/>
      <c r="G394" s="801"/>
      <c r="H394" s="801"/>
      <c r="I394" s="801"/>
      <c r="J394" s="801"/>
      <c r="K394" s="801"/>
      <c r="L394" s="801"/>
      <c r="M394" s="801"/>
    </row>
    <row r="395" spans="1:13" x14ac:dyDescent="0.25">
      <c r="A395" s="1032"/>
      <c r="B395" s="800"/>
      <c r="C395" s="799"/>
      <c r="D395" s="799"/>
      <c r="E395" s="799"/>
      <c r="F395" s="799"/>
      <c r="G395" s="801"/>
      <c r="H395" s="801"/>
      <c r="I395" s="801"/>
      <c r="J395" s="801"/>
      <c r="K395" s="801"/>
      <c r="L395" s="801"/>
      <c r="M395" s="801"/>
    </row>
    <row r="396" spans="1:13" x14ac:dyDescent="0.25">
      <c r="A396" s="1032"/>
      <c r="B396" s="800"/>
      <c r="C396" s="799"/>
      <c r="D396" s="799"/>
      <c r="E396" s="799"/>
      <c r="F396" s="799"/>
      <c r="G396" s="801"/>
      <c r="H396" s="801"/>
      <c r="I396" s="801"/>
      <c r="J396" s="801"/>
      <c r="K396" s="801"/>
      <c r="L396" s="801"/>
      <c r="M396" s="801"/>
    </row>
    <row r="397" spans="1:13" x14ac:dyDescent="0.25">
      <c r="A397" s="1032"/>
      <c r="B397" s="800"/>
      <c r="C397" s="799"/>
      <c r="D397" s="799"/>
      <c r="E397" s="799"/>
      <c r="F397" s="799"/>
      <c r="G397" s="801"/>
      <c r="H397" s="801"/>
      <c r="I397" s="801"/>
      <c r="J397" s="801"/>
      <c r="K397" s="801"/>
      <c r="L397" s="801"/>
      <c r="M397" s="801"/>
    </row>
    <row r="398" spans="1:13" x14ac:dyDescent="0.25">
      <c r="A398" s="1032"/>
      <c r="B398" s="800"/>
      <c r="C398" s="799"/>
      <c r="D398" s="799"/>
      <c r="E398" s="799"/>
      <c r="F398" s="799"/>
      <c r="G398" s="801"/>
      <c r="H398" s="801"/>
      <c r="I398" s="801"/>
      <c r="J398" s="801"/>
      <c r="K398" s="801"/>
      <c r="L398" s="801"/>
      <c r="M398" s="801"/>
    </row>
    <row r="399" spans="1:13" x14ac:dyDescent="0.25">
      <c r="A399" s="1032"/>
      <c r="B399" s="800"/>
      <c r="C399" s="799"/>
      <c r="D399" s="799"/>
      <c r="E399" s="799"/>
      <c r="F399" s="799"/>
      <c r="G399" s="801"/>
      <c r="H399" s="801"/>
      <c r="I399" s="801"/>
      <c r="J399" s="801"/>
      <c r="K399" s="801"/>
      <c r="L399" s="801"/>
      <c r="M399" s="801"/>
    </row>
    <row r="400" spans="1:13" x14ac:dyDescent="0.25">
      <c r="A400" s="1032"/>
      <c r="B400" s="800"/>
      <c r="C400" s="799"/>
      <c r="D400" s="799"/>
      <c r="E400" s="799"/>
      <c r="F400" s="799"/>
      <c r="G400" s="801"/>
      <c r="H400" s="801"/>
      <c r="I400" s="801"/>
      <c r="J400" s="801"/>
      <c r="K400" s="801"/>
      <c r="L400" s="801"/>
      <c r="M400" s="801"/>
    </row>
    <row r="401" spans="1:13" x14ac:dyDescent="0.25">
      <c r="A401" s="1032"/>
      <c r="B401" s="800"/>
      <c r="C401" s="799"/>
      <c r="D401" s="799"/>
      <c r="E401" s="799"/>
      <c r="F401" s="799"/>
      <c r="G401" s="801"/>
      <c r="H401" s="801"/>
      <c r="I401" s="801"/>
      <c r="J401" s="801"/>
      <c r="K401" s="801"/>
      <c r="L401" s="801"/>
      <c r="M401" s="801"/>
    </row>
    <row r="402" spans="1:13" x14ac:dyDescent="0.25">
      <c r="A402" s="1032"/>
      <c r="B402" s="800"/>
      <c r="C402" s="799"/>
      <c r="D402" s="799"/>
      <c r="E402" s="799"/>
      <c r="F402" s="799"/>
      <c r="G402" s="801"/>
      <c r="H402" s="801"/>
      <c r="I402" s="801"/>
      <c r="J402" s="801"/>
      <c r="K402" s="801"/>
      <c r="L402" s="801"/>
      <c r="M402" s="801"/>
    </row>
    <row r="403" spans="1:13" x14ac:dyDescent="0.25">
      <c r="A403" s="1032"/>
      <c r="B403" s="800"/>
      <c r="C403" s="799"/>
      <c r="D403" s="799"/>
      <c r="E403" s="799"/>
      <c r="F403" s="799"/>
      <c r="G403" s="801"/>
      <c r="H403" s="801"/>
      <c r="I403" s="801"/>
      <c r="J403" s="801"/>
      <c r="K403" s="801"/>
      <c r="L403" s="801"/>
      <c r="M403" s="801"/>
    </row>
    <row r="404" spans="1:13" x14ac:dyDescent="0.25">
      <c r="A404" s="1032"/>
      <c r="B404" s="800"/>
      <c r="C404" s="799"/>
      <c r="D404" s="799"/>
      <c r="E404" s="799"/>
      <c r="F404" s="799"/>
      <c r="G404" s="801"/>
      <c r="H404" s="801"/>
      <c r="I404" s="801"/>
      <c r="J404" s="801"/>
      <c r="K404" s="801"/>
      <c r="L404" s="801"/>
      <c r="M404" s="801"/>
    </row>
    <row r="405" spans="1:13" x14ac:dyDescent="0.25">
      <c r="A405" s="1032"/>
      <c r="B405" s="800"/>
      <c r="C405" s="799"/>
      <c r="D405" s="799"/>
      <c r="E405" s="799"/>
      <c r="F405" s="799"/>
      <c r="G405" s="801"/>
      <c r="H405" s="801"/>
      <c r="I405" s="801"/>
      <c r="J405" s="801"/>
      <c r="K405" s="801"/>
      <c r="L405" s="801"/>
      <c r="M405" s="801"/>
    </row>
    <row r="406" spans="1:13" x14ac:dyDescent="0.25">
      <c r="A406" s="1032"/>
      <c r="B406" s="800"/>
      <c r="C406" s="799"/>
      <c r="D406" s="799"/>
      <c r="E406" s="799"/>
      <c r="F406" s="799"/>
      <c r="G406" s="801"/>
      <c r="H406" s="801"/>
      <c r="I406" s="801"/>
      <c r="J406" s="801"/>
      <c r="K406" s="801"/>
      <c r="L406" s="801"/>
      <c r="M406" s="801"/>
    </row>
    <row r="407" spans="1:13" x14ac:dyDescent="0.25">
      <c r="A407" s="1032"/>
      <c r="B407" s="800"/>
      <c r="C407" s="799"/>
      <c r="D407" s="799"/>
      <c r="E407" s="799"/>
      <c r="F407" s="799"/>
      <c r="G407" s="801"/>
      <c r="H407" s="801"/>
      <c r="I407" s="801"/>
      <c r="J407" s="801"/>
      <c r="K407" s="801"/>
      <c r="L407" s="801"/>
      <c r="M407" s="801"/>
    </row>
    <row r="408" spans="1:13" x14ac:dyDescent="0.25">
      <c r="A408" s="1032"/>
      <c r="B408" s="800"/>
      <c r="C408" s="799"/>
      <c r="D408" s="799"/>
      <c r="E408" s="799"/>
      <c r="F408" s="799"/>
      <c r="G408" s="801"/>
      <c r="H408" s="801"/>
      <c r="I408" s="801"/>
      <c r="J408" s="801"/>
      <c r="K408" s="801"/>
      <c r="L408" s="801"/>
      <c r="M408" s="801"/>
    </row>
    <row r="409" spans="1:13" x14ac:dyDescent="0.25">
      <c r="A409" s="1032"/>
      <c r="B409" s="800"/>
      <c r="C409" s="799"/>
      <c r="D409" s="799"/>
      <c r="E409" s="799"/>
      <c r="F409" s="799"/>
      <c r="G409" s="801"/>
      <c r="H409" s="801"/>
      <c r="I409" s="801"/>
      <c r="J409" s="801"/>
      <c r="K409" s="801"/>
      <c r="L409" s="801"/>
      <c r="M409" s="801"/>
    </row>
    <row r="410" spans="1:13" x14ac:dyDescent="0.25">
      <c r="A410" s="1032"/>
      <c r="B410" s="800"/>
      <c r="C410" s="799"/>
      <c r="D410" s="799"/>
      <c r="E410" s="799"/>
      <c r="F410" s="799"/>
      <c r="G410" s="801"/>
      <c r="H410" s="801"/>
      <c r="I410" s="801"/>
      <c r="J410" s="801"/>
      <c r="K410" s="801"/>
      <c r="L410" s="801"/>
      <c r="M410" s="801"/>
    </row>
    <row r="411" spans="1:13" x14ac:dyDescent="0.25">
      <c r="A411" s="1032"/>
      <c r="B411" s="800"/>
      <c r="C411" s="799"/>
      <c r="D411" s="799"/>
      <c r="E411" s="799"/>
      <c r="F411" s="799"/>
      <c r="G411" s="801"/>
      <c r="H411" s="801"/>
      <c r="I411" s="801"/>
      <c r="J411" s="801"/>
      <c r="K411" s="801"/>
      <c r="L411" s="801"/>
      <c r="M411" s="801"/>
    </row>
    <row r="412" spans="1:13" x14ac:dyDescent="0.25">
      <c r="A412" s="1032"/>
      <c r="B412" s="800"/>
      <c r="C412" s="799"/>
      <c r="D412" s="799"/>
      <c r="E412" s="799"/>
      <c r="F412" s="799"/>
      <c r="G412" s="801"/>
      <c r="H412" s="801"/>
      <c r="I412" s="801"/>
      <c r="J412" s="801"/>
      <c r="K412" s="801"/>
      <c r="L412" s="801"/>
      <c r="M412" s="801"/>
    </row>
    <row r="413" spans="1:13" x14ac:dyDescent="0.25">
      <c r="A413" s="1032"/>
      <c r="B413" s="800"/>
      <c r="C413" s="799"/>
      <c r="D413" s="799"/>
      <c r="E413" s="799"/>
      <c r="F413" s="799"/>
      <c r="G413" s="801"/>
      <c r="H413" s="801"/>
      <c r="I413" s="801"/>
      <c r="J413" s="801"/>
      <c r="K413" s="801"/>
      <c r="L413" s="801"/>
      <c r="M413" s="801"/>
    </row>
    <row r="414" spans="1:13" x14ac:dyDescent="0.25">
      <c r="A414" s="1032"/>
      <c r="B414" s="800"/>
      <c r="C414" s="799"/>
      <c r="D414" s="799"/>
      <c r="E414" s="799"/>
      <c r="F414" s="799"/>
      <c r="G414" s="801"/>
      <c r="H414" s="801"/>
      <c r="I414" s="801"/>
      <c r="J414" s="801"/>
      <c r="K414" s="801"/>
      <c r="L414" s="801"/>
      <c r="M414" s="801"/>
    </row>
    <row r="415" spans="1:13" x14ac:dyDescent="0.25">
      <c r="A415" s="1032"/>
      <c r="B415" s="800"/>
      <c r="C415" s="799"/>
      <c r="D415" s="799"/>
      <c r="E415" s="799"/>
      <c r="F415" s="799"/>
      <c r="G415" s="801"/>
      <c r="H415" s="801"/>
      <c r="I415" s="801"/>
      <c r="J415" s="801"/>
      <c r="K415" s="801"/>
      <c r="L415" s="801"/>
      <c r="M415" s="801"/>
    </row>
    <row r="416" spans="1:13" x14ac:dyDescent="0.25">
      <c r="A416" s="1032"/>
      <c r="B416" s="800"/>
      <c r="C416" s="799"/>
      <c r="D416" s="799"/>
      <c r="E416" s="799"/>
      <c r="F416" s="799"/>
      <c r="G416" s="801"/>
      <c r="H416" s="801"/>
      <c r="I416" s="801"/>
      <c r="J416" s="801"/>
      <c r="K416" s="801"/>
      <c r="L416" s="801"/>
      <c r="M416" s="801"/>
    </row>
    <row r="417" spans="1:13" x14ac:dyDescent="0.25">
      <c r="A417" s="1032"/>
      <c r="B417" s="800"/>
      <c r="C417" s="799"/>
      <c r="D417" s="799"/>
      <c r="E417" s="799"/>
      <c r="F417" s="799"/>
      <c r="G417" s="801"/>
      <c r="H417" s="801"/>
      <c r="I417" s="801"/>
      <c r="J417" s="801"/>
      <c r="K417" s="801"/>
      <c r="L417" s="801"/>
      <c r="M417" s="801"/>
    </row>
    <row r="418" spans="1:13" x14ac:dyDescent="0.25">
      <c r="A418" s="1032"/>
      <c r="B418" s="800"/>
      <c r="C418" s="799"/>
      <c r="D418" s="799"/>
      <c r="E418" s="799"/>
      <c r="F418" s="799"/>
      <c r="G418" s="801"/>
      <c r="H418" s="801"/>
      <c r="I418" s="801"/>
      <c r="J418" s="801"/>
      <c r="K418" s="801"/>
      <c r="L418" s="801"/>
      <c r="M418" s="801"/>
    </row>
    <row r="419" spans="1:13" x14ac:dyDescent="0.25">
      <c r="A419" s="1032"/>
      <c r="B419" s="800"/>
      <c r="C419" s="799"/>
      <c r="D419" s="799"/>
      <c r="E419" s="799"/>
      <c r="F419" s="799"/>
      <c r="G419" s="801"/>
      <c r="H419" s="801"/>
      <c r="I419" s="801"/>
      <c r="J419" s="801"/>
      <c r="K419" s="801"/>
      <c r="L419" s="801"/>
      <c r="M419" s="801"/>
    </row>
    <row r="420" spans="1:13" x14ac:dyDescent="0.25">
      <c r="A420" s="1032"/>
      <c r="B420" s="800"/>
      <c r="C420" s="799"/>
      <c r="D420" s="799"/>
      <c r="E420" s="799"/>
      <c r="F420" s="799"/>
      <c r="G420" s="801"/>
      <c r="H420" s="801"/>
      <c r="I420" s="801"/>
      <c r="J420" s="801"/>
      <c r="K420" s="801"/>
      <c r="L420" s="801"/>
      <c r="M420" s="801"/>
    </row>
    <row r="421" spans="1:13" x14ac:dyDescent="0.25">
      <c r="A421" s="1032"/>
      <c r="B421" s="800"/>
      <c r="C421" s="799"/>
      <c r="D421" s="799"/>
      <c r="E421" s="799"/>
      <c r="F421" s="799"/>
      <c r="G421" s="801"/>
      <c r="H421" s="801"/>
      <c r="I421" s="801"/>
      <c r="J421" s="801"/>
      <c r="K421" s="801"/>
      <c r="L421" s="801"/>
      <c r="M421" s="801"/>
    </row>
    <row r="422" spans="1:13" x14ac:dyDescent="0.25">
      <c r="A422" s="1032"/>
      <c r="B422" s="800"/>
      <c r="C422" s="799"/>
      <c r="D422" s="799"/>
      <c r="E422" s="799"/>
      <c r="F422" s="799"/>
      <c r="G422" s="801"/>
      <c r="H422" s="801"/>
      <c r="I422" s="801"/>
      <c r="J422" s="801"/>
      <c r="K422" s="801"/>
      <c r="L422" s="801"/>
      <c r="M422" s="801"/>
    </row>
    <row r="423" spans="1:13" x14ac:dyDescent="0.25">
      <c r="A423" s="1032"/>
      <c r="B423" s="800"/>
      <c r="C423" s="799"/>
      <c r="D423" s="799"/>
      <c r="E423" s="799"/>
      <c r="F423" s="799"/>
      <c r="G423" s="801"/>
      <c r="H423" s="801"/>
      <c r="I423" s="801"/>
      <c r="J423" s="801"/>
      <c r="K423" s="801"/>
      <c r="L423" s="801"/>
      <c r="M423" s="801"/>
    </row>
    <row r="424" spans="1:13" x14ac:dyDescent="0.25">
      <c r="A424" s="1032"/>
      <c r="B424" s="800"/>
      <c r="C424" s="799"/>
      <c r="D424" s="799"/>
      <c r="E424" s="799"/>
      <c r="F424" s="799"/>
      <c r="G424" s="801"/>
      <c r="H424" s="801"/>
      <c r="I424" s="801"/>
      <c r="J424" s="801"/>
      <c r="K424" s="801"/>
      <c r="L424" s="801"/>
      <c r="M424" s="801"/>
    </row>
    <row r="425" spans="1:13" x14ac:dyDescent="0.25">
      <c r="A425" s="1032"/>
      <c r="B425" s="800"/>
      <c r="C425" s="799"/>
      <c r="D425" s="799"/>
      <c r="E425" s="799"/>
      <c r="F425" s="799"/>
      <c r="G425" s="801"/>
      <c r="H425" s="801"/>
      <c r="I425" s="801"/>
      <c r="J425" s="801"/>
      <c r="K425" s="801"/>
      <c r="L425" s="801"/>
      <c r="M425" s="801"/>
    </row>
    <row r="426" spans="1:13" x14ac:dyDescent="0.25">
      <c r="A426" s="1032"/>
      <c r="B426" s="800"/>
      <c r="C426" s="799"/>
      <c r="D426" s="799"/>
      <c r="E426" s="799"/>
      <c r="F426" s="799"/>
      <c r="G426" s="801"/>
      <c r="H426" s="801"/>
      <c r="I426" s="801"/>
      <c r="J426" s="801"/>
      <c r="K426" s="801"/>
      <c r="L426" s="801"/>
      <c r="M426" s="801"/>
    </row>
    <row r="427" spans="1:13" x14ac:dyDescent="0.25">
      <c r="A427" s="1032"/>
      <c r="B427" s="800"/>
      <c r="C427" s="799"/>
      <c r="D427" s="799"/>
      <c r="E427" s="799"/>
      <c r="F427" s="799"/>
      <c r="G427" s="801"/>
      <c r="H427" s="801"/>
      <c r="I427" s="801"/>
      <c r="J427" s="801"/>
      <c r="K427" s="801"/>
      <c r="L427" s="801"/>
      <c r="M427" s="801"/>
    </row>
    <row r="428" spans="1:13" x14ac:dyDescent="0.25">
      <c r="A428" s="1032"/>
      <c r="B428" s="800"/>
      <c r="C428" s="799"/>
      <c r="D428" s="799"/>
      <c r="E428" s="799"/>
      <c r="F428" s="799"/>
      <c r="G428" s="801"/>
      <c r="H428" s="801"/>
      <c r="I428" s="801"/>
      <c r="J428" s="801"/>
      <c r="K428" s="801"/>
      <c r="L428" s="801"/>
      <c r="M428" s="801"/>
    </row>
    <row r="429" spans="1:13" x14ac:dyDescent="0.25">
      <c r="A429" s="1032"/>
      <c r="B429" s="800"/>
      <c r="C429" s="799"/>
      <c r="D429" s="799"/>
      <c r="E429" s="799"/>
      <c r="F429" s="799"/>
      <c r="G429" s="801"/>
      <c r="H429" s="801"/>
      <c r="I429" s="801"/>
      <c r="J429" s="801"/>
      <c r="K429" s="801"/>
      <c r="L429" s="801"/>
      <c r="M429" s="801"/>
    </row>
    <row r="430" spans="1:13" x14ac:dyDescent="0.25">
      <c r="A430" s="1032"/>
      <c r="B430" s="800"/>
      <c r="C430" s="799"/>
      <c r="D430" s="799"/>
      <c r="E430" s="799"/>
      <c r="F430" s="799"/>
      <c r="G430" s="801"/>
      <c r="H430" s="801"/>
      <c r="I430" s="801"/>
      <c r="J430" s="801"/>
      <c r="K430" s="801"/>
      <c r="L430" s="801"/>
      <c r="M430" s="801"/>
    </row>
    <row r="431" spans="1:13" x14ac:dyDescent="0.25">
      <c r="A431" s="1032"/>
      <c r="B431" s="800"/>
      <c r="C431" s="799"/>
      <c r="D431" s="799"/>
      <c r="E431" s="799"/>
      <c r="F431" s="799"/>
      <c r="G431" s="801"/>
      <c r="H431" s="801"/>
      <c r="I431" s="801"/>
      <c r="J431" s="801"/>
      <c r="K431" s="801"/>
      <c r="L431" s="801"/>
      <c r="M431" s="801"/>
    </row>
    <row r="432" spans="1:13" x14ac:dyDescent="0.25">
      <c r="A432" s="1032"/>
      <c r="B432" s="800"/>
      <c r="C432" s="799"/>
      <c r="D432" s="799"/>
      <c r="E432" s="799"/>
      <c r="F432" s="799"/>
      <c r="G432" s="801"/>
      <c r="H432" s="801"/>
      <c r="I432" s="801"/>
      <c r="J432" s="801"/>
      <c r="K432" s="801"/>
      <c r="L432" s="801"/>
      <c r="M432" s="801"/>
    </row>
    <row r="433" spans="1:13" x14ac:dyDescent="0.25">
      <c r="A433" s="1032"/>
      <c r="B433" s="800"/>
      <c r="C433" s="799"/>
      <c r="D433" s="799"/>
      <c r="E433" s="799"/>
      <c r="F433" s="799"/>
      <c r="G433" s="801"/>
      <c r="H433" s="801"/>
      <c r="I433" s="801"/>
      <c r="J433" s="801"/>
      <c r="K433" s="801"/>
      <c r="L433" s="801"/>
      <c r="M433" s="801"/>
    </row>
    <row r="434" spans="1:13" x14ac:dyDescent="0.25">
      <c r="A434" s="1032"/>
      <c r="B434" s="800"/>
      <c r="C434" s="799"/>
      <c r="D434" s="799"/>
      <c r="E434" s="799"/>
      <c r="F434" s="799"/>
      <c r="G434" s="801"/>
      <c r="H434" s="801"/>
      <c r="I434" s="801"/>
      <c r="J434" s="801"/>
      <c r="K434" s="801"/>
      <c r="L434" s="801"/>
      <c r="M434" s="801"/>
    </row>
    <row r="435" spans="1:13" x14ac:dyDescent="0.25">
      <c r="A435" s="1032"/>
      <c r="B435" s="800"/>
      <c r="C435" s="799"/>
      <c r="D435" s="799"/>
      <c r="E435" s="799"/>
      <c r="F435" s="799"/>
      <c r="G435" s="801"/>
      <c r="H435" s="801"/>
      <c r="I435" s="801"/>
      <c r="J435" s="801"/>
      <c r="K435" s="801"/>
      <c r="L435" s="801"/>
      <c r="M435" s="801"/>
    </row>
    <row r="436" spans="1:13" x14ac:dyDescent="0.25">
      <c r="A436" s="1032"/>
      <c r="B436" s="800"/>
      <c r="C436" s="799"/>
      <c r="D436" s="799"/>
      <c r="E436" s="799"/>
      <c r="F436" s="799"/>
      <c r="G436" s="801"/>
      <c r="H436" s="801"/>
      <c r="I436" s="801"/>
      <c r="J436" s="801"/>
      <c r="K436" s="801"/>
      <c r="L436" s="801"/>
      <c r="M436" s="801"/>
    </row>
    <row r="437" spans="1:13" x14ac:dyDescent="0.25">
      <c r="A437" s="1032"/>
      <c r="B437" s="800"/>
      <c r="C437" s="799"/>
      <c r="D437" s="799"/>
      <c r="E437" s="799"/>
      <c r="F437" s="799"/>
      <c r="G437" s="801"/>
      <c r="H437" s="801"/>
      <c r="I437" s="801"/>
      <c r="J437" s="801"/>
      <c r="K437" s="801"/>
      <c r="L437" s="801"/>
      <c r="M437" s="801"/>
    </row>
    <row r="438" spans="1:13" x14ac:dyDescent="0.25">
      <c r="A438" s="1032"/>
      <c r="B438" s="800"/>
      <c r="C438" s="799"/>
      <c r="D438" s="799"/>
      <c r="E438" s="799"/>
      <c r="F438" s="799"/>
      <c r="G438" s="801"/>
      <c r="H438" s="801"/>
      <c r="I438" s="801"/>
      <c r="J438" s="801"/>
      <c r="K438" s="801"/>
      <c r="L438" s="801"/>
      <c r="M438" s="801"/>
    </row>
    <row r="439" spans="1:13" x14ac:dyDescent="0.25">
      <c r="A439" s="1032"/>
      <c r="B439" s="800"/>
      <c r="C439" s="799"/>
      <c r="D439" s="799"/>
      <c r="E439" s="799"/>
      <c r="F439" s="799"/>
      <c r="G439" s="801"/>
      <c r="H439" s="801"/>
      <c r="I439" s="801"/>
      <c r="J439" s="801"/>
      <c r="K439" s="801"/>
      <c r="L439" s="801"/>
      <c r="M439" s="801"/>
    </row>
    <row r="440" spans="1:13" x14ac:dyDescent="0.25">
      <c r="A440" s="1032"/>
      <c r="B440" s="800"/>
      <c r="C440" s="799"/>
      <c r="D440" s="799"/>
      <c r="E440" s="799"/>
      <c r="F440" s="799"/>
      <c r="G440" s="801"/>
      <c r="H440" s="801"/>
      <c r="I440" s="801"/>
      <c r="J440" s="801"/>
      <c r="K440" s="801"/>
      <c r="L440" s="801"/>
      <c r="M440" s="801"/>
    </row>
    <row r="441" spans="1:13" x14ac:dyDescent="0.25">
      <c r="A441" s="1032"/>
      <c r="B441" s="800"/>
      <c r="C441" s="799"/>
      <c r="D441" s="799"/>
      <c r="E441" s="799"/>
      <c r="F441" s="799"/>
      <c r="G441" s="801"/>
      <c r="H441" s="801"/>
      <c r="I441" s="801"/>
      <c r="J441" s="801"/>
      <c r="K441" s="801"/>
      <c r="L441" s="801"/>
      <c r="M441" s="801"/>
    </row>
    <row r="442" spans="1:13" x14ac:dyDescent="0.25">
      <c r="A442" s="1032"/>
      <c r="B442" s="800"/>
      <c r="C442" s="799"/>
      <c r="D442" s="799"/>
      <c r="E442" s="799"/>
      <c r="F442" s="799"/>
      <c r="G442" s="801"/>
      <c r="H442" s="801"/>
      <c r="I442" s="801"/>
      <c r="J442" s="801"/>
      <c r="K442" s="801"/>
      <c r="L442" s="801"/>
      <c r="M442" s="801"/>
    </row>
    <row r="443" spans="1:13" x14ac:dyDescent="0.25">
      <c r="A443" s="1032"/>
      <c r="B443" s="800"/>
      <c r="C443" s="799"/>
      <c r="D443" s="799"/>
      <c r="E443" s="799"/>
      <c r="F443" s="799"/>
      <c r="G443" s="801"/>
      <c r="H443" s="801"/>
      <c r="I443" s="801"/>
      <c r="J443" s="801"/>
      <c r="K443" s="801"/>
      <c r="L443" s="801"/>
      <c r="M443" s="801"/>
    </row>
    <row r="444" spans="1:13" x14ac:dyDescent="0.25">
      <c r="A444" s="1032"/>
      <c r="B444" s="800"/>
      <c r="C444" s="799"/>
      <c r="D444" s="799"/>
      <c r="E444" s="799"/>
      <c r="F444" s="799"/>
      <c r="G444" s="801"/>
      <c r="H444" s="801"/>
      <c r="I444" s="801"/>
      <c r="J444" s="801"/>
      <c r="K444" s="801"/>
      <c r="L444" s="801"/>
      <c r="M444" s="801"/>
    </row>
    <row r="445" spans="1:13" x14ac:dyDescent="0.25">
      <c r="A445" s="1032"/>
      <c r="B445" s="800"/>
      <c r="C445" s="799"/>
      <c r="D445" s="799"/>
      <c r="E445" s="799"/>
      <c r="F445" s="799"/>
      <c r="G445" s="801"/>
      <c r="H445" s="801"/>
      <c r="I445" s="801"/>
      <c r="J445" s="801"/>
      <c r="K445" s="801"/>
      <c r="L445" s="801"/>
      <c r="M445" s="801"/>
    </row>
    <row r="446" spans="1:13" x14ac:dyDescent="0.25">
      <c r="A446" s="1032"/>
      <c r="B446" s="800"/>
      <c r="C446" s="799"/>
      <c r="D446" s="799"/>
      <c r="E446" s="799"/>
      <c r="F446" s="799"/>
      <c r="G446" s="801"/>
      <c r="H446" s="801"/>
      <c r="I446" s="801"/>
      <c r="J446" s="801"/>
      <c r="K446" s="801"/>
      <c r="L446" s="801"/>
      <c r="M446" s="801"/>
    </row>
    <row r="447" spans="1:13" x14ac:dyDescent="0.25">
      <c r="A447" s="1032"/>
      <c r="B447" s="800"/>
      <c r="C447" s="799"/>
      <c r="D447" s="799"/>
      <c r="E447" s="799"/>
      <c r="F447" s="799"/>
      <c r="G447" s="801"/>
      <c r="H447" s="801"/>
      <c r="I447" s="801"/>
      <c r="J447" s="801"/>
      <c r="K447" s="801"/>
      <c r="L447" s="801"/>
      <c r="M447" s="801"/>
    </row>
    <row r="448" spans="1:13" x14ac:dyDescent="0.25">
      <c r="A448" s="1032"/>
      <c r="B448" s="800"/>
      <c r="C448" s="799"/>
      <c r="D448" s="799"/>
      <c r="E448" s="799"/>
      <c r="F448" s="799"/>
      <c r="G448" s="801"/>
      <c r="H448" s="801"/>
      <c r="I448" s="801"/>
      <c r="J448" s="801"/>
      <c r="K448" s="801"/>
      <c r="L448" s="801"/>
      <c r="M448" s="801"/>
    </row>
    <row r="449" spans="1:13" x14ac:dyDescent="0.25">
      <c r="A449" s="1032"/>
      <c r="B449" s="800"/>
      <c r="C449" s="799"/>
      <c r="D449" s="799"/>
      <c r="E449" s="799"/>
      <c r="F449" s="799"/>
      <c r="G449" s="801"/>
      <c r="H449" s="801"/>
      <c r="I449" s="801"/>
      <c r="J449" s="801"/>
      <c r="K449" s="801"/>
      <c r="L449" s="801"/>
      <c r="M449" s="801"/>
    </row>
    <row r="450" spans="1:13" x14ac:dyDescent="0.25">
      <c r="A450" s="1032"/>
      <c r="B450" s="800"/>
      <c r="C450" s="799"/>
      <c r="D450" s="799"/>
      <c r="E450" s="799"/>
      <c r="F450" s="799"/>
      <c r="G450" s="801"/>
      <c r="H450" s="801"/>
      <c r="I450" s="801"/>
      <c r="J450" s="801"/>
      <c r="K450" s="801"/>
      <c r="L450" s="801"/>
      <c r="M450" s="801"/>
    </row>
    <row r="451" spans="1:13" x14ac:dyDescent="0.25">
      <c r="A451" s="1032"/>
      <c r="B451" s="800"/>
      <c r="C451" s="799"/>
      <c r="D451" s="799"/>
      <c r="E451" s="799"/>
      <c r="F451" s="799"/>
      <c r="G451" s="801"/>
      <c r="H451" s="801"/>
      <c r="I451" s="801"/>
      <c r="J451" s="801"/>
      <c r="K451" s="801"/>
      <c r="L451" s="801"/>
      <c r="M451" s="801"/>
    </row>
    <row r="452" spans="1:13" x14ac:dyDescent="0.25">
      <c r="A452" s="1032"/>
      <c r="B452" s="800"/>
      <c r="C452" s="799"/>
      <c r="D452" s="799"/>
      <c r="E452" s="799"/>
      <c r="F452" s="799"/>
      <c r="G452" s="801"/>
      <c r="H452" s="801"/>
      <c r="I452" s="801"/>
      <c r="J452" s="801"/>
      <c r="K452" s="801"/>
      <c r="L452" s="801"/>
      <c r="M452" s="801"/>
    </row>
    <row r="453" spans="1:13" x14ac:dyDescent="0.25">
      <c r="A453" s="1032"/>
      <c r="B453" s="800"/>
      <c r="C453" s="799"/>
      <c r="D453" s="799"/>
      <c r="E453" s="799"/>
      <c r="F453" s="799"/>
      <c r="G453" s="801"/>
      <c r="H453" s="801"/>
      <c r="I453" s="801"/>
      <c r="J453" s="801"/>
      <c r="K453" s="801"/>
      <c r="L453" s="801"/>
      <c r="M453" s="801"/>
    </row>
    <row r="454" spans="1:13" x14ac:dyDescent="0.25">
      <c r="A454" s="1032"/>
      <c r="B454" s="800"/>
      <c r="C454" s="799"/>
      <c r="D454" s="799"/>
      <c r="E454" s="799"/>
      <c r="F454" s="799"/>
      <c r="G454" s="801"/>
      <c r="H454" s="801"/>
      <c r="I454" s="801"/>
      <c r="J454" s="801"/>
      <c r="K454" s="801"/>
      <c r="L454" s="801"/>
      <c r="M454" s="801"/>
    </row>
    <row r="455" spans="1:13" x14ac:dyDescent="0.25">
      <c r="A455" s="1032"/>
      <c r="B455" s="800"/>
      <c r="C455" s="799"/>
      <c r="D455" s="799"/>
      <c r="E455" s="799"/>
      <c r="F455" s="799"/>
      <c r="G455" s="801"/>
      <c r="H455" s="801"/>
      <c r="I455" s="801"/>
      <c r="J455" s="801"/>
      <c r="K455" s="801"/>
      <c r="L455" s="801"/>
      <c r="M455" s="801"/>
    </row>
    <row r="456" spans="1:13" x14ac:dyDescent="0.25">
      <c r="A456" s="1032"/>
      <c r="B456" s="800"/>
      <c r="C456" s="799"/>
      <c r="D456" s="799"/>
      <c r="E456" s="799"/>
      <c r="F456" s="799"/>
      <c r="G456" s="801"/>
      <c r="H456" s="801"/>
      <c r="I456" s="801"/>
      <c r="J456" s="801"/>
      <c r="K456" s="801"/>
      <c r="L456" s="801"/>
      <c r="M456" s="801"/>
    </row>
    <row r="457" spans="1:13" x14ac:dyDescent="0.25">
      <c r="A457" s="1032"/>
      <c r="B457" s="800"/>
      <c r="C457" s="799"/>
      <c r="D457" s="799"/>
      <c r="E457" s="799"/>
      <c r="F457" s="799"/>
      <c r="G457" s="801"/>
      <c r="H457" s="801"/>
      <c r="I457" s="801"/>
      <c r="J457" s="801"/>
      <c r="K457" s="801"/>
      <c r="L457" s="801"/>
      <c r="M457" s="801"/>
    </row>
    <row r="458" spans="1:13" x14ac:dyDescent="0.25">
      <c r="A458" s="1032"/>
      <c r="B458" s="800"/>
      <c r="C458" s="799"/>
      <c r="D458" s="799"/>
      <c r="E458" s="799"/>
      <c r="F458" s="799"/>
      <c r="G458" s="801"/>
      <c r="H458" s="801"/>
      <c r="I458" s="801"/>
      <c r="J458" s="801"/>
      <c r="K458" s="801"/>
      <c r="L458" s="801"/>
      <c r="M458" s="801"/>
    </row>
    <row r="459" spans="1:13" x14ac:dyDescent="0.25">
      <c r="A459" s="1032"/>
      <c r="B459" s="800"/>
      <c r="C459" s="799"/>
      <c r="D459" s="799"/>
      <c r="E459" s="799"/>
      <c r="F459" s="799"/>
      <c r="G459" s="801"/>
      <c r="H459" s="801"/>
      <c r="I459" s="801"/>
      <c r="J459" s="801"/>
      <c r="K459" s="801"/>
      <c r="L459" s="801"/>
      <c r="M459" s="801"/>
    </row>
    <row r="460" spans="1:13" x14ac:dyDescent="0.25">
      <c r="A460" s="1032"/>
      <c r="B460" s="800"/>
      <c r="C460" s="799"/>
      <c r="D460" s="799"/>
      <c r="E460" s="799"/>
      <c r="F460" s="799"/>
      <c r="G460" s="801"/>
      <c r="H460" s="801"/>
      <c r="I460" s="801"/>
      <c r="J460" s="801"/>
      <c r="K460" s="801"/>
      <c r="L460" s="801"/>
      <c r="M460" s="801"/>
    </row>
    <row r="461" spans="1:13" x14ac:dyDescent="0.25">
      <c r="A461" s="1032"/>
      <c r="B461" s="800"/>
      <c r="C461" s="799"/>
      <c r="D461" s="799"/>
      <c r="E461" s="799"/>
      <c r="F461" s="799"/>
      <c r="G461" s="801"/>
      <c r="H461" s="801"/>
      <c r="I461" s="801"/>
      <c r="J461" s="801"/>
      <c r="K461" s="801"/>
      <c r="L461" s="801"/>
      <c r="M461" s="801"/>
    </row>
    <row r="462" spans="1:13" x14ac:dyDescent="0.25">
      <c r="A462" s="1032"/>
      <c r="B462" s="800"/>
      <c r="C462" s="799"/>
      <c r="D462" s="799"/>
      <c r="E462" s="799"/>
      <c r="F462" s="799"/>
      <c r="G462" s="801"/>
      <c r="H462" s="801"/>
      <c r="I462" s="801"/>
      <c r="J462" s="801"/>
      <c r="K462" s="801"/>
      <c r="L462" s="801"/>
      <c r="M462" s="801"/>
    </row>
    <row r="463" spans="1:13" x14ac:dyDescent="0.25">
      <c r="A463" s="1032"/>
      <c r="B463" s="800"/>
      <c r="C463" s="799"/>
      <c r="D463" s="799"/>
      <c r="E463" s="799"/>
      <c r="F463" s="799"/>
      <c r="G463" s="801"/>
      <c r="H463" s="801"/>
      <c r="I463" s="801"/>
      <c r="J463" s="801"/>
      <c r="K463" s="801"/>
      <c r="L463" s="801"/>
      <c r="M463" s="801"/>
    </row>
    <row r="464" spans="1:13" x14ac:dyDescent="0.25">
      <c r="A464" s="1032"/>
      <c r="B464" s="800"/>
      <c r="C464" s="799"/>
      <c r="D464" s="799"/>
      <c r="E464" s="799"/>
      <c r="F464" s="799"/>
      <c r="G464" s="801"/>
      <c r="H464" s="801"/>
      <c r="I464" s="801"/>
      <c r="J464" s="801"/>
      <c r="K464" s="801"/>
      <c r="L464" s="801"/>
      <c r="M464" s="801"/>
    </row>
    <row r="465" spans="1:13" x14ac:dyDescent="0.25">
      <c r="A465" s="1032"/>
      <c r="B465" s="800"/>
      <c r="C465" s="799"/>
      <c r="D465" s="799"/>
      <c r="E465" s="799"/>
      <c r="F465" s="799"/>
      <c r="G465" s="801"/>
      <c r="H465" s="801"/>
      <c r="I465" s="801"/>
      <c r="J465" s="801"/>
      <c r="K465" s="801"/>
      <c r="L465" s="801"/>
      <c r="M465" s="801"/>
    </row>
    <row r="466" spans="1:13" x14ac:dyDescent="0.25">
      <c r="A466" s="1032"/>
      <c r="B466" s="800"/>
      <c r="C466" s="799"/>
      <c r="D466" s="799"/>
      <c r="E466" s="799"/>
      <c r="F466" s="799"/>
      <c r="G466" s="801"/>
      <c r="H466" s="801"/>
      <c r="I466" s="801"/>
      <c r="J466" s="801"/>
      <c r="K466" s="801"/>
      <c r="L466" s="801"/>
      <c r="M466" s="801"/>
    </row>
    <row r="467" spans="1:13" x14ac:dyDescent="0.25">
      <c r="A467" s="1032"/>
      <c r="B467" s="800"/>
      <c r="C467" s="799"/>
      <c r="D467" s="799"/>
      <c r="E467" s="799"/>
      <c r="F467" s="799"/>
      <c r="G467" s="801"/>
      <c r="H467" s="801"/>
      <c r="I467" s="801"/>
      <c r="J467" s="801"/>
      <c r="K467" s="801"/>
      <c r="L467" s="801"/>
      <c r="M467" s="801"/>
    </row>
    <row r="468" spans="1:13" x14ac:dyDescent="0.25">
      <c r="A468" s="1032"/>
      <c r="B468" s="800"/>
      <c r="C468" s="799"/>
      <c r="D468" s="799"/>
      <c r="E468" s="799"/>
      <c r="F468" s="799"/>
      <c r="G468" s="801"/>
      <c r="H468" s="801"/>
      <c r="I468" s="801"/>
      <c r="J468" s="801"/>
      <c r="K468" s="801"/>
      <c r="L468" s="801"/>
      <c r="M468" s="801"/>
    </row>
    <row r="469" spans="1:13" x14ac:dyDescent="0.25">
      <c r="A469" s="1032"/>
      <c r="B469" s="800"/>
      <c r="C469" s="799"/>
      <c r="D469" s="799"/>
      <c r="E469" s="799"/>
      <c r="F469" s="799"/>
      <c r="G469" s="801"/>
      <c r="H469" s="801"/>
      <c r="I469" s="801"/>
      <c r="J469" s="801"/>
      <c r="K469" s="801"/>
      <c r="L469" s="801"/>
      <c r="M469" s="801"/>
    </row>
    <row r="470" spans="1:13" x14ac:dyDescent="0.25">
      <c r="A470" s="1032"/>
      <c r="B470" s="800"/>
      <c r="C470" s="799"/>
      <c r="D470" s="799"/>
      <c r="E470" s="799"/>
      <c r="F470" s="799"/>
      <c r="G470" s="801"/>
      <c r="H470" s="801"/>
      <c r="I470" s="801"/>
      <c r="J470" s="801"/>
      <c r="K470" s="801"/>
      <c r="L470" s="801"/>
      <c r="M470" s="801"/>
    </row>
    <row r="471" spans="1:13" x14ac:dyDescent="0.25">
      <c r="A471" s="1032"/>
      <c r="B471" s="800"/>
      <c r="C471" s="799"/>
      <c r="D471" s="799"/>
      <c r="E471" s="799"/>
      <c r="F471" s="799"/>
      <c r="G471" s="801"/>
      <c r="H471" s="801"/>
      <c r="I471" s="801"/>
      <c r="J471" s="801"/>
      <c r="K471" s="801"/>
      <c r="L471" s="801"/>
      <c r="M471" s="801"/>
    </row>
    <row r="472" spans="1:13" x14ac:dyDescent="0.25">
      <c r="A472" s="1032"/>
      <c r="B472" s="800"/>
      <c r="C472" s="799"/>
      <c r="D472" s="799"/>
      <c r="E472" s="799"/>
      <c r="F472" s="799"/>
      <c r="G472" s="801"/>
      <c r="H472" s="801"/>
      <c r="I472" s="801"/>
      <c r="J472" s="801"/>
      <c r="K472" s="801"/>
      <c r="L472" s="801"/>
      <c r="M472" s="801"/>
    </row>
    <row r="473" spans="1:13" x14ac:dyDescent="0.25">
      <c r="A473" s="1032"/>
      <c r="B473" s="800"/>
      <c r="C473" s="799"/>
      <c r="D473" s="799"/>
      <c r="E473" s="799"/>
      <c r="F473" s="799"/>
      <c r="G473" s="801"/>
      <c r="H473" s="801"/>
      <c r="I473" s="801"/>
      <c r="J473" s="801"/>
      <c r="K473" s="801"/>
      <c r="L473" s="801"/>
      <c r="M473" s="801"/>
    </row>
    <row r="474" spans="1:13" x14ac:dyDescent="0.25">
      <c r="A474" s="1032"/>
      <c r="B474" s="800"/>
      <c r="C474" s="799"/>
      <c r="D474" s="799"/>
      <c r="E474" s="799"/>
      <c r="F474" s="799"/>
      <c r="G474" s="801"/>
      <c r="H474" s="801"/>
      <c r="I474" s="801"/>
      <c r="J474" s="801"/>
      <c r="K474" s="801"/>
      <c r="L474" s="801"/>
      <c r="M474" s="801"/>
    </row>
    <row r="475" spans="1:13" x14ac:dyDescent="0.25">
      <c r="A475" s="1032"/>
      <c r="B475" s="800"/>
      <c r="C475" s="799"/>
      <c r="D475" s="799"/>
      <c r="E475" s="799"/>
      <c r="F475" s="799"/>
      <c r="G475" s="801"/>
      <c r="H475" s="801"/>
      <c r="I475" s="801"/>
      <c r="J475" s="801"/>
      <c r="K475" s="801"/>
      <c r="L475" s="801"/>
      <c r="M475" s="801"/>
    </row>
    <row r="476" spans="1:13" x14ac:dyDescent="0.25">
      <c r="A476" s="1032"/>
      <c r="B476" s="800"/>
      <c r="C476" s="799"/>
      <c r="D476" s="799"/>
      <c r="E476" s="799"/>
      <c r="F476" s="799"/>
      <c r="G476" s="801"/>
      <c r="H476" s="801"/>
      <c r="I476" s="801"/>
      <c r="J476" s="801"/>
      <c r="K476" s="801"/>
      <c r="L476" s="801"/>
      <c r="M476" s="801"/>
    </row>
    <row r="477" spans="1:13" x14ac:dyDescent="0.25">
      <c r="A477" s="1032"/>
      <c r="B477" s="800"/>
      <c r="C477" s="799"/>
      <c r="D477" s="799"/>
      <c r="E477" s="799"/>
      <c r="F477" s="799"/>
      <c r="G477" s="801"/>
      <c r="H477" s="801"/>
      <c r="I477" s="801"/>
      <c r="J477" s="801"/>
      <c r="K477" s="801"/>
      <c r="L477" s="801"/>
      <c r="M477" s="801"/>
    </row>
    <row r="478" spans="1:13" x14ac:dyDescent="0.25">
      <c r="A478" s="1032"/>
      <c r="B478" s="800"/>
      <c r="C478" s="799"/>
      <c r="D478" s="799"/>
      <c r="E478" s="799"/>
      <c r="F478" s="799"/>
      <c r="G478" s="801"/>
      <c r="H478" s="801"/>
      <c r="I478" s="801"/>
      <c r="J478" s="801"/>
      <c r="K478" s="801"/>
      <c r="L478" s="801"/>
      <c r="M478" s="801"/>
    </row>
    <row r="479" spans="1:13" x14ac:dyDescent="0.25">
      <c r="A479" s="1032"/>
      <c r="B479" s="800"/>
      <c r="C479" s="799"/>
      <c r="D479" s="799"/>
      <c r="E479" s="799"/>
      <c r="F479" s="799"/>
      <c r="G479" s="801"/>
      <c r="H479" s="801"/>
      <c r="I479" s="801"/>
      <c r="J479" s="801"/>
      <c r="K479" s="801"/>
      <c r="L479" s="801"/>
      <c r="M479" s="801"/>
    </row>
    <row r="480" spans="1:13" x14ac:dyDescent="0.25">
      <c r="A480" s="1032"/>
      <c r="B480" s="800"/>
      <c r="C480" s="799"/>
      <c r="D480" s="799"/>
      <c r="E480" s="799"/>
      <c r="F480" s="799"/>
      <c r="G480" s="801"/>
      <c r="H480" s="801"/>
      <c r="I480" s="801"/>
      <c r="J480" s="801"/>
      <c r="K480" s="801"/>
      <c r="L480" s="801"/>
      <c r="M480" s="801"/>
    </row>
    <row r="481" spans="1:13" x14ac:dyDescent="0.25">
      <c r="A481" s="1032"/>
      <c r="B481" s="800"/>
      <c r="C481" s="799"/>
      <c r="D481" s="799"/>
      <c r="E481" s="799"/>
      <c r="F481" s="799"/>
      <c r="G481" s="801"/>
      <c r="H481" s="801"/>
      <c r="I481" s="801"/>
      <c r="J481" s="801"/>
      <c r="K481" s="801"/>
      <c r="L481" s="801"/>
      <c r="M481" s="801"/>
    </row>
    <row r="482" spans="1:13" x14ac:dyDescent="0.25">
      <c r="A482" s="1032"/>
      <c r="B482" s="800"/>
      <c r="C482" s="799"/>
      <c r="D482" s="799"/>
      <c r="E482" s="799"/>
      <c r="F482" s="799"/>
      <c r="G482" s="801"/>
      <c r="H482" s="801"/>
      <c r="I482" s="801"/>
      <c r="J482" s="801"/>
      <c r="K482" s="801"/>
      <c r="L482" s="801"/>
      <c r="M482" s="801"/>
    </row>
    <row r="483" spans="1:13" x14ac:dyDescent="0.25">
      <c r="A483" s="1032"/>
      <c r="B483" s="800"/>
      <c r="C483" s="799"/>
      <c r="D483" s="799"/>
      <c r="E483" s="799"/>
      <c r="F483" s="799"/>
      <c r="G483" s="801"/>
      <c r="H483" s="801"/>
      <c r="I483" s="801"/>
      <c r="J483" s="801"/>
      <c r="K483" s="801"/>
      <c r="L483" s="801"/>
      <c r="M483" s="801"/>
    </row>
    <row r="484" spans="1:13" x14ac:dyDescent="0.25">
      <c r="A484" s="1032"/>
      <c r="B484" s="800"/>
      <c r="C484" s="799"/>
      <c r="D484" s="799"/>
      <c r="E484" s="799"/>
      <c r="F484" s="799"/>
      <c r="G484" s="801"/>
      <c r="H484" s="801"/>
      <c r="I484" s="801"/>
      <c r="J484" s="801"/>
      <c r="K484" s="801"/>
      <c r="L484" s="801"/>
      <c r="M484" s="801"/>
    </row>
    <row r="485" spans="1:13" x14ac:dyDescent="0.25">
      <c r="A485" s="1032"/>
      <c r="B485" s="800"/>
      <c r="C485" s="799"/>
      <c r="D485" s="799"/>
      <c r="E485" s="799"/>
      <c r="F485" s="799"/>
      <c r="G485" s="801"/>
      <c r="H485" s="801"/>
      <c r="I485" s="801"/>
      <c r="J485" s="801"/>
      <c r="K485" s="801"/>
      <c r="L485" s="801"/>
      <c r="M485" s="801"/>
    </row>
    <row r="486" spans="1:13" x14ac:dyDescent="0.25">
      <c r="A486" s="1032"/>
      <c r="B486" s="800"/>
      <c r="C486" s="799"/>
      <c r="D486" s="799"/>
      <c r="E486" s="799"/>
      <c r="F486" s="799"/>
      <c r="G486" s="801"/>
      <c r="H486" s="801"/>
      <c r="I486" s="801"/>
      <c r="J486" s="801"/>
      <c r="K486" s="801"/>
      <c r="L486" s="801"/>
      <c r="M486" s="801"/>
    </row>
    <row r="487" spans="1:13" x14ac:dyDescent="0.25">
      <c r="A487" s="1032"/>
      <c r="B487" s="800"/>
      <c r="C487" s="799"/>
      <c r="D487" s="799"/>
      <c r="E487" s="799"/>
      <c r="F487" s="799"/>
      <c r="G487" s="801"/>
      <c r="H487" s="801"/>
      <c r="I487" s="801"/>
      <c r="J487" s="801"/>
      <c r="K487" s="801"/>
      <c r="L487" s="801"/>
      <c r="M487" s="801"/>
    </row>
    <row r="488" spans="1:13" x14ac:dyDescent="0.25">
      <c r="A488" s="1032"/>
      <c r="B488" s="800"/>
      <c r="C488" s="799"/>
      <c r="D488" s="799"/>
      <c r="E488" s="799"/>
      <c r="F488" s="799"/>
      <c r="G488" s="801"/>
      <c r="H488" s="801"/>
      <c r="I488" s="801"/>
      <c r="J488" s="801"/>
      <c r="K488" s="801"/>
      <c r="L488" s="801"/>
      <c r="M488" s="801"/>
    </row>
    <row r="489" spans="1:13" x14ac:dyDescent="0.25">
      <c r="A489" s="1032"/>
      <c r="B489" s="800"/>
      <c r="C489" s="799"/>
      <c r="D489" s="799"/>
      <c r="E489" s="799"/>
      <c r="F489" s="799"/>
      <c r="G489" s="801"/>
      <c r="H489" s="801"/>
      <c r="I489" s="801"/>
      <c r="J489" s="801"/>
      <c r="K489" s="801"/>
      <c r="L489" s="801"/>
      <c r="M489" s="801"/>
    </row>
    <row r="490" spans="1:13" x14ac:dyDescent="0.25">
      <c r="A490" s="1032"/>
      <c r="B490" s="800"/>
      <c r="C490" s="799"/>
      <c r="D490" s="799"/>
      <c r="E490" s="799"/>
      <c r="F490" s="799"/>
      <c r="G490" s="801"/>
      <c r="H490" s="801"/>
      <c r="I490" s="801"/>
      <c r="J490" s="801"/>
      <c r="K490" s="801"/>
      <c r="L490" s="801"/>
      <c r="M490" s="801"/>
    </row>
    <row r="491" spans="1:13" x14ac:dyDescent="0.25">
      <c r="A491" s="1032"/>
      <c r="B491" s="800"/>
      <c r="C491" s="799"/>
      <c r="D491" s="799"/>
      <c r="E491" s="799"/>
      <c r="F491" s="799"/>
      <c r="G491" s="801"/>
      <c r="H491" s="801"/>
      <c r="I491" s="801"/>
      <c r="J491" s="801"/>
      <c r="K491" s="801"/>
      <c r="L491" s="801"/>
      <c r="M491" s="801"/>
    </row>
    <row r="492" spans="1:13" x14ac:dyDescent="0.25">
      <c r="A492" s="1032"/>
      <c r="B492" s="800"/>
      <c r="C492" s="799"/>
      <c r="D492" s="799"/>
      <c r="E492" s="799"/>
      <c r="F492" s="799"/>
      <c r="G492" s="801"/>
      <c r="H492" s="801"/>
      <c r="I492" s="801"/>
      <c r="J492" s="801"/>
      <c r="K492" s="801"/>
      <c r="L492" s="801"/>
      <c r="M492" s="801"/>
    </row>
    <row r="493" spans="1:13" x14ac:dyDescent="0.25">
      <c r="A493" s="1032"/>
      <c r="B493" s="800"/>
      <c r="C493" s="799"/>
      <c r="D493" s="799"/>
      <c r="E493" s="799"/>
      <c r="F493" s="799"/>
      <c r="G493" s="801"/>
      <c r="H493" s="801"/>
      <c r="I493" s="801"/>
      <c r="J493" s="801"/>
      <c r="K493" s="801"/>
      <c r="L493" s="801"/>
      <c r="M493" s="801"/>
    </row>
    <row r="494" spans="1:13" x14ac:dyDescent="0.25">
      <c r="A494" s="1032"/>
      <c r="B494" s="800"/>
      <c r="C494" s="799"/>
      <c r="D494" s="799"/>
      <c r="E494" s="799"/>
      <c r="F494" s="799"/>
      <c r="G494" s="801"/>
      <c r="H494" s="801"/>
      <c r="I494" s="801"/>
      <c r="J494" s="801"/>
      <c r="K494" s="801"/>
      <c r="L494" s="801"/>
      <c r="M494" s="801"/>
    </row>
    <row r="495" spans="1:13" x14ac:dyDescent="0.25">
      <c r="A495" s="1032"/>
      <c r="B495" s="800"/>
      <c r="C495" s="799"/>
      <c r="D495" s="799"/>
      <c r="E495" s="799"/>
      <c r="F495" s="799"/>
      <c r="G495" s="801"/>
      <c r="H495" s="801"/>
      <c r="I495" s="801"/>
      <c r="J495" s="801"/>
      <c r="K495" s="801"/>
      <c r="L495" s="801"/>
      <c r="M495" s="801"/>
    </row>
    <row r="496" spans="1:13" x14ac:dyDescent="0.25">
      <c r="A496" s="1032"/>
      <c r="B496" s="800"/>
      <c r="C496" s="799"/>
      <c r="D496" s="799"/>
      <c r="E496" s="799"/>
      <c r="F496" s="799"/>
      <c r="G496" s="801"/>
      <c r="H496" s="801"/>
      <c r="I496" s="801"/>
      <c r="J496" s="801"/>
      <c r="K496" s="801"/>
      <c r="L496" s="801"/>
      <c r="M496" s="801"/>
    </row>
    <row r="497" spans="1:13" x14ac:dyDescent="0.25">
      <c r="A497" s="1032"/>
      <c r="B497" s="800"/>
      <c r="C497" s="799"/>
      <c r="D497" s="799"/>
      <c r="E497" s="799"/>
      <c r="F497" s="799"/>
      <c r="G497" s="801"/>
      <c r="H497" s="801"/>
      <c r="I497" s="801"/>
      <c r="J497" s="801"/>
      <c r="K497" s="801"/>
      <c r="L497" s="801"/>
      <c r="M497" s="801"/>
    </row>
    <row r="498" spans="1:13" x14ac:dyDescent="0.25">
      <c r="A498" s="1032"/>
      <c r="B498" s="800"/>
      <c r="C498" s="799"/>
      <c r="D498" s="799"/>
      <c r="E498" s="799"/>
      <c r="F498" s="799"/>
      <c r="G498" s="801"/>
      <c r="H498" s="801"/>
      <c r="I498" s="801"/>
      <c r="J498" s="801"/>
      <c r="K498" s="801"/>
      <c r="L498" s="801"/>
      <c r="M498" s="801"/>
    </row>
    <row r="499" spans="1:13" x14ac:dyDescent="0.25">
      <c r="A499" s="1032"/>
      <c r="B499" s="800"/>
      <c r="C499" s="799"/>
      <c r="D499" s="799"/>
      <c r="E499" s="799"/>
      <c r="F499" s="799"/>
      <c r="G499" s="801"/>
      <c r="H499" s="801"/>
      <c r="I499" s="801"/>
      <c r="J499" s="801"/>
      <c r="K499" s="801"/>
      <c r="L499" s="801"/>
      <c r="M499" s="801"/>
    </row>
    <row r="500" spans="1:13" x14ac:dyDescent="0.25">
      <c r="A500" s="1032"/>
      <c r="B500" s="800"/>
      <c r="C500" s="799"/>
      <c r="D500" s="799"/>
      <c r="E500" s="799"/>
      <c r="F500" s="799"/>
      <c r="G500" s="801"/>
      <c r="H500" s="801"/>
      <c r="I500" s="801"/>
      <c r="J500" s="801"/>
      <c r="K500" s="801"/>
      <c r="L500" s="801"/>
      <c r="M500" s="801"/>
    </row>
    <row r="501" spans="1:13" x14ac:dyDescent="0.25">
      <c r="A501" s="1032"/>
      <c r="B501" s="800"/>
      <c r="C501" s="799"/>
      <c r="D501" s="799"/>
      <c r="E501" s="799"/>
      <c r="F501" s="799"/>
      <c r="G501" s="801"/>
      <c r="H501" s="801"/>
      <c r="I501" s="801"/>
      <c r="J501" s="801"/>
      <c r="K501" s="801"/>
      <c r="L501" s="801"/>
      <c r="M501" s="801"/>
    </row>
    <row r="502" spans="1:13" x14ac:dyDescent="0.25">
      <c r="A502" s="1032"/>
      <c r="B502" s="800"/>
      <c r="C502" s="799"/>
      <c r="D502" s="799"/>
      <c r="E502" s="799"/>
      <c r="F502" s="799"/>
      <c r="G502" s="801"/>
      <c r="H502" s="801"/>
      <c r="I502" s="801"/>
      <c r="J502" s="801"/>
      <c r="K502" s="801"/>
      <c r="L502" s="801"/>
      <c r="M502" s="801"/>
    </row>
    <row r="503" spans="1:13" x14ac:dyDescent="0.25">
      <c r="A503" s="1032"/>
      <c r="B503" s="800"/>
      <c r="C503" s="799"/>
      <c r="D503" s="799"/>
      <c r="E503" s="799"/>
      <c r="F503" s="799"/>
      <c r="G503" s="801"/>
      <c r="H503" s="801"/>
      <c r="I503" s="801"/>
      <c r="J503" s="801"/>
      <c r="K503" s="801"/>
      <c r="L503" s="801"/>
      <c r="M503" s="801"/>
    </row>
    <row r="504" spans="1:13" x14ac:dyDescent="0.25">
      <c r="A504" s="1032"/>
      <c r="B504" s="800"/>
      <c r="C504" s="799"/>
      <c r="D504" s="799"/>
      <c r="E504" s="799"/>
      <c r="F504" s="799"/>
      <c r="G504" s="801"/>
      <c r="H504" s="801"/>
      <c r="I504" s="801"/>
      <c r="J504" s="801"/>
      <c r="K504" s="801"/>
      <c r="L504" s="801"/>
      <c r="M504" s="801"/>
    </row>
    <row r="505" spans="1:13" x14ac:dyDescent="0.25">
      <c r="A505" s="1032"/>
      <c r="B505" s="800"/>
      <c r="C505" s="799"/>
      <c r="D505" s="799"/>
      <c r="E505" s="799"/>
      <c r="F505" s="799"/>
      <c r="G505" s="801"/>
      <c r="H505" s="801"/>
      <c r="I505" s="801"/>
      <c r="J505" s="801"/>
      <c r="K505" s="801"/>
      <c r="L505" s="801"/>
      <c r="M505" s="801"/>
    </row>
    <row r="506" spans="1:13" x14ac:dyDescent="0.25">
      <c r="A506" s="1032"/>
      <c r="B506" s="800"/>
      <c r="C506" s="799"/>
      <c r="D506" s="799"/>
      <c r="E506" s="799"/>
      <c r="F506" s="799"/>
      <c r="G506" s="801"/>
      <c r="H506" s="801"/>
      <c r="I506" s="801"/>
      <c r="J506" s="801"/>
      <c r="K506" s="801"/>
      <c r="L506" s="801"/>
      <c r="M506" s="801"/>
    </row>
    <row r="507" spans="1:13" x14ac:dyDescent="0.25">
      <c r="A507" s="1032"/>
      <c r="B507" s="800"/>
      <c r="C507" s="799"/>
      <c r="D507" s="799"/>
      <c r="E507" s="799"/>
      <c r="F507" s="799"/>
      <c r="G507" s="801"/>
      <c r="H507" s="801"/>
      <c r="I507" s="801"/>
      <c r="J507" s="801"/>
      <c r="K507" s="801"/>
      <c r="L507" s="801"/>
      <c r="M507" s="801"/>
    </row>
    <row r="508" spans="1:13" x14ac:dyDescent="0.25">
      <c r="A508" s="1032"/>
      <c r="B508" s="800"/>
      <c r="C508" s="799"/>
      <c r="D508" s="799"/>
      <c r="E508" s="799"/>
      <c r="F508" s="799"/>
      <c r="G508" s="801"/>
      <c r="H508" s="801"/>
      <c r="I508" s="801"/>
      <c r="J508" s="801"/>
      <c r="K508" s="801"/>
      <c r="L508" s="801"/>
      <c r="M508" s="801"/>
    </row>
    <row r="509" spans="1:13" x14ac:dyDescent="0.25">
      <c r="A509" s="1032"/>
      <c r="B509" s="800"/>
      <c r="C509" s="799"/>
      <c r="D509" s="799"/>
      <c r="E509" s="799"/>
      <c r="F509" s="799"/>
      <c r="G509" s="801"/>
      <c r="H509" s="801"/>
      <c r="I509" s="801"/>
      <c r="J509" s="801"/>
      <c r="K509" s="801"/>
      <c r="L509" s="801"/>
      <c r="M509" s="801"/>
    </row>
    <row r="510" spans="1:13" x14ac:dyDescent="0.25">
      <c r="A510" s="1032"/>
      <c r="B510" s="800"/>
      <c r="C510" s="799"/>
      <c r="D510" s="799"/>
      <c r="E510" s="799"/>
      <c r="F510" s="799"/>
      <c r="G510" s="801"/>
      <c r="H510" s="801"/>
      <c r="I510" s="801"/>
      <c r="J510" s="801"/>
      <c r="K510" s="801"/>
      <c r="L510" s="801"/>
      <c r="M510" s="801"/>
    </row>
    <row r="511" spans="1:13" x14ac:dyDescent="0.25">
      <c r="A511" s="1032"/>
      <c r="B511" s="800"/>
      <c r="C511" s="799"/>
      <c r="D511" s="799"/>
      <c r="E511" s="799"/>
      <c r="F511" s="799"/>
      <c r="G511" s="801"/>
      <c r="H511" s="801"/>
      <c r="I511" s="801"/>
      <c r="J511" s="801"/>
      <c r="K511" s="801"/>
      <c r="L511" s="801"/>
      <c r="M511" s="801"/>
    </row>
    <row r="512" spans="1:13" x14ac:dyDescent="0.25">
      <c r="A512" s="1032"/>
      <c r="B512" s="800"/>
      <c r="C512" s="799"/>
      <c r="D512" s="799"/>
      <c r="E512" s="799"/>
      <c r="F512" s="799"/>
      <c r="G512" s="801"/>
      <c r="H512" s="801"/>
      <c r="I512" s="801"/>
      <c r="J512" s="801"/>
      <c r="K512" s="801"/>
      <c r="L512" s="801"/>
      <c r="M512" s="801"/>
    </row>
    <row r="513" spans="1:13" x14ac:dyDescent="0.25">
      <c r="A513" s="1032"/>
      <c r="B513" s="800"/>
      <c r="C513" s="799"/>
      <c r="D513" s="799"/>
      <c r="E513" s="799"/>
      <c r="F513" s="799"/>
      <c r="G513" s="801"/>
      <c r="H513" s="801"/>
      <c r="I513" s="801"/>
      <c r="J513" s="801"/>
      <c r="K513" s="801"/>
      <c r="L513" s="801"/>
      <c r="M513" s="801"/>
    </row>
    <row r="514" spans="1:13" x14ac:dyDescent="0.25">
      <c r="A514" s="1032"/>
      <c r="B514" s="800"/>
      <c r="C514" s="799"/>
      <c r="D514" s="799"/>
      <c r="E514" s="799"/>
      <c r="F514" s="799"/>
      <c r="G514" s="801"/>
      <c r="H514" s="801"/>
      <c r="I514" s="801"/>
      <c r="J514" s="801"/>
      <c r="K514" s="801"/>
      <c r="L514" s="801"/>
      <c r="M514" s="801"/>
    </row>
    <row r="515" spans="1:13" x14ac:dyDescent="0.25">
      <c r="A515" s="1032"/>
      <c r="B515" s="800"/>
      <c r="C515" s="799"/>
      <c r="D515" s="799"/>
      <c r="E515" s="799"/>
      <c r="F515" s="799"/>
      <c r="G515" s="801"/>
      <c r="H515" s="801"/>
      <c r="I515" s="801"/>
      <c r="J515" s="801"/>
      <c r="K515" s="801"/>
      <c r="L515" s="801"/>
      <c r="M515" s="801"/>
    </row>
    <row r="516" spans="1:13" x14ac:dyDescent="0.25">
      <c r="A516" s="1032"/>
      <c r="B516" s="800"/>
      <c r="C516" s="799"/>
      <c r="D516" s="799"/>
      <c r="E516" s="799"/>
      <c r="F516" s="799"/>
      <c r="G516" s="801"/>
      <c r="H516" s="801"/>
      <c r="I516" s="801"/>
      <c r="J516" s="801"/>
      <c r="K516" s="801"/>
      <c r="L516" s="801"/>
      <c r="M516" s="801"/>
    </row>
    <row r="517" spans="1:13" x14ac:dyDescent="0.25">
      <c r="A517" s="1032"/>
      <c r="B517" s="800"/>
      <c r="C517" s="799"/>
      <c r="D517" s="799"/>
      <c r="E517" s="799"/>
      <c r="F517" s="799"/>
      <c r="G517" s="801"/>
      <c r="H517" s="801"/>
      <c r="I517" s="801"/>
      <c r="J517" s="801"/>
      <c r="K517" s="801"/>
      <c r="L517" s="801"/>
      <c r="M517" s="801"/>
    </row>
    <row r="518" spans="1:13" x14ac:dyDescent="0.25">
      <c r="A518" s="1032"/>
      <c r="B518" s="800"/>
      <c r="C518" s="799"/>
      <c r="D518" s="799"/>
      <c r="E518" s="799"/>
      <c r="F518" s="799"/>
      <c r="G518" s="801"/>
      <c r="H518" s="801"/>
      <c r="I518" s="801"/>
      <c r="J518" s="801"/>
      <c r="K518" s="801"/>
      <c r="L518" s="801"/>
      <c r="M518" s="801"/>
    </row>
    <row r="519" spans="1:13" x14ac:dyDescent="0.25">
      <c r="A519" s="1032"/>
      <c r="B519" s="800"/>
      <c r="C519" s="799"/>
      <c r="D519" s="799"/>
      <c r="E519" s="799"/>
      <c r="F519" s="799"/>
      <c r="G519" s="801"/>
      <c r="H519" s="801"/>
      <c r="I519" s="801"/>
      <c r="J519" s="801"/>
      <c r="K519" s="801"/>
      <c r="L519" s="801"/>
      <c r="M519" s="801"/>
    </row>
    <row r="520" spans="1:13" x14ac:dyDescent="0.25">
      <c r="A520" s="1032"/>
      <c r="B520" s="800"/>
      <c r="C520" s="799"/>
      <c r="D520" s="799"/>
      <c r="E520" s="799"/>
      <c r="F520" s="799"/>
      <c r="G520" s="801"/>
      <c r="H520" s="801"/>
      <c r="I520" s="801"/>
      <c r="J520" s="801"/>
      <c r="K520" s="801"/>
      <c r="L520" s="801"/>
      <c r="M520" s="801"/>
    </row>
    <row r="521" spans="1:13" x14ac:dyDescent="0.25">
      <c r="A521" s="1032"/>
      <c r="B521" s="800"/>
      <c r="C521" s="799"/>
      <c r="D521" s="799"/>
      <c r="E521" s="799"/>
      <c r="F521" s="799"/>
      <c r="G521" s="801"/>
      <c r="H521" s="801"/>
      <c r="I521" s="801"/>
      <c r="J521" s="801"/>
      <c r="K521" s="801"/>
      <c r="L521" s="801"/>
      <c r="M521" s="801"/>
    </row>
    <row r="522" spans="1:13" x14ac:dyDescent="0.25">
      <c r="A522" s="1032"/>
      <c r="B522" s="800"/>
      <c r="C522" s="799"/>
      <c r="D522" s="799"/>
      <c r="E522" s="799"/>
      <c r="F522" s="799"/>
      <c r="G522" s="801"/>
      <c r="H522" s="801"/>
      <c r="I522" s="801"/>
      <c r="J522" s="801"/>
      <c r="K522" s="801"/>
      <c r="L522" s="801"/>
      <c r="M522" s="801"/>
    </row>
    <row r="523" spans="1:13" x14ac:dyDescent="0.25">
      <c r="A523" s="1032"/>
      <c r="B523" s="800"/>
      <c r="C523" s="799"/>
      <c r="D523" s="799"/>
      <c r="E523" s="799"/>
      <c r="F523" s="799"/>
      <c r="G523" s="801"/>
      <c r="H523" s="801"/>
      <c r="I523" s="801"/>
      <c r="J523" s="801"/>
      <c r="K523" s="801"/>
      <c r="L523" s="801"/>
      <c r="M523" s="801"/>
    </row>
    <row r="524" spans="1:13" x14ac:dyDescent="0.25">
      <c r="A524" s="1032"/>
      <c r="B524" s="800"/>
      <c r="C524" s="799"/>
      <c r="D524" s="799"/>
      <c r="E524" s="799"/>
      <c r="F524" s="799"/>
      <c r="G524" s="801"/>
      <c r="H524" s="801"/>
      <c r="I524" s="801"/>
      <c r="J524" s="801"/>
      <c r="K524" s="801"/>
      <c r="L524" s="801"/>
      <c r="M524" s="801"/>
    </row>
    <row r="525" spans="1:13" x14ac:dyDescent="0.25">
      <c r="A525" s="1032"/>
      <c r="B525" s="800"/>
      <c r="C525" s="799"/>
      <c r="D525" s="799"/>
      <c r="E525" s="799"/>
      <c r="F525" s="799"/>
      <c r="G525" s="801"/>
      <c r="H525" s="801"/>
      <c r="I525" s="801"/>
      <c r="J525" s="801"/>
      <c r="K525" s="801"/>
      <c r="L525" s="801"/>
      <c r="M525" s="801"/>
    </row>
  </sheetData>
  <sheetProtection password="CF7A" sheet="1" objects="1" scenarios="1"/>
  <protectedRanges>
    <protectedRange sqref="D45:F50" name="Range2"/>
    <protectedRange sqref="G9:M50" name="Range1"/>
  </protectedRanges>
  <autoFilter ref="A8:M50"/>
  <mergeCells count="21">
    <mergeCell ref="B13:B14"/>
    <mergeCell ref="A16:A22"/>
    <mergeCell ref="A23:A29"/>
    <mergeCell ref="A30:A35"/>
    <mergeCell ref="A36:A41"/>
    <mergeCell ref="A42:A43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A9:A12"/>
    <mergeCell ref="A13:A15"/>
    <mergeCell ref="I5:J5"/>
    <mergeCell ref="K5:L5"/>
    <mergeCell ref="M5:M6"/>
  </mergeCells>
  <conditionalFormatting sqref="C18:F18">
    <cfRule type="cellIs" dxfId="226" priority="15" stopIfTrue="1" operator="equal">
      <formula>8223.307275</formula>
    </cfRule>
  </conditionalFormatting>
  <conditionalFormatting sqref="B19:B20">
    <cfRule type="cellIs" dxfId="225" priority="11" stopIfTrue="1" operator="equal">
      <formula>8223.307275</formula>
    </cfRule>
  </conditionalFormatting>
  <conditionalFormatting sqref="B18">
    <cfRule type="cellIs" dxfId="224" priority="10" stopIfTrue="1" operator="equal">
      <formula>8223.307275</formula>
    </cfRule>
  </conditionalFormatting>
  <conditionalFormatting sqref="D63:F63">
    <cfRule type="cellIs" dxfId="223" priority="51" stopIfTrue="1" operator="equal">
      <formula>0</formula>
    </cfRule>
  </conditionalFormatting>
  <conditionalFormatting sqref="D68:F68">
    <cfRule type="cellIs" dxfId="222" priority="50" stopIfTrue="1" operator="equal">
      <formula>0</formula>
    </cfRule>
  </conditionalFormatting>
  <conditionalFormatting sqref="B92:F96 B101:B102">
    <cfRule type="cellIs" dxfId="221" priority="49" stopIfTrue="1" operator="equal">
      <formula>8223.307275</formula>
    </cfRule>
  </conditionalFormatting>
  <conditionalFormatting sqref="B86:F87">
    <cfRule type="cellIs" dxfId="220" priority="48" stopIfTrue="1" operator="equal">
      <formula>8223.307275</formula>
    </cfRule>
  </conditionalFormatting>
  <conditionalFormatting sqref="B100:F100">
    <cfRule type="cellIs" dxfId="219" priority="47" stopIfTrue="1" operator="equal">
      <formula>8223.307275</formula>
    </cfRule>
  </conditionalFormatting>
  <conditionalFormatting sqref="E124:F127 E131:F133 F128:F130">
    <cfRule type="cellIs" dxfId="218" priority="43" stopIfTrue="1" operator="equal">
      <formula>8223.307275</formula>
    </cfRule>
  </conditionalFormatting>
  <conditionalFormatting sqref="B115:F115 B116:B118">
    <cfRule type="cellIs" dxfId="217" priority="46" stopIfTrue="1" operator="equal">
      <formula>8223.307275</formula>
    </cfRule>
  </conditionalFormatting>
  <conditionalFormatting sqref="B119">
    <cfRule type="cellIs" dxfId="216" priority="45" stopIfTrue="1" operator="equal">
      <formula>8223.307275</formula>
    </cfRule>
  </conditionalFormatting>
  <conditionalFormatting sqref="C124:F127 C131:F133 C128:D130 F128:F130">
    <cfRule type="cellIs" dxfId="215" priority="44" stopIfTrue="1" operator="equal">
      <formula>0</formula>
    </cfRule>
  </conditionalFormatting>
  <conditionalFormatting sqref="B126">
    <cfRule type="cellIs" dxfId="214" priority="42" stopIfTrue="1" operator="equal">
      <formula>8223.307275</formula>
    </cfRule>
  </conditionalFormatting>
  <conditionalFormatting sqref="D158:F158">
    <cfRule type="cellIs" dxfId="213" priority="41" stopIfTrue="1" operator="equal">
      <formula>0</formula>
    </cfRule>
  </conditionalFormatting>
  <conditionalFormatting sqref="D163:F163">
    <cfRule type="cellIs" dxfId="212" priority="40" stopIfTrue="1" operator="equal">
      <formula>0</formula>
    </cfRule>
  </conditionalFormatting>
  <conditionalFormatting sqref="B188:F192 B197:B198">
    <cfRule type="cellIs" dxfId="211" priority="39" stopIfTrue="1" operator="equal">
      <formula>8223.307275</formula>
    </cfRule>
  </conditionalFormatting>
  <conditionalFormatting sqref="B182:F183">
    <cfRule type="cellIs" dxfId="210" priority="38" stopIfTrue="1" operator="equal">
      <formula>8223.307275</formula>
    </cfRule>
  </conditionalFormatting>
  <conditionalFormatting sqref="B196:F196">
    <cfRule type="cellIs" dxfId="209" priority="37" stopIfTrue="1" operator="equal">
      <formula>8223.307275</formula>
    </cfRule>
  </conditionalFormatting>
  <conditionalFormatting sqref="E220:F223 E227:F229 F224:F226">
    <cfRule type="cellIs" dxfId="208" priority="33" stopIfTrue="1" operator="equal">
      <formula>8223.307275</formula>
    </cfRule>
  </conditionalFormatting>
  <conditionalFormatting sqref="B211:F211 B212:B214">
    <cfRule type="cellIs" dxfId="207" priority="36" stopIfTrue="1" operator="equal">
      <formula>8223.307275</formula>
    </cfRule>
  </conditionalFormatting>
  <conditionalFormatting sqref="B215">
    <cfRule type="cellIs" dxfId="206" priority="35" stopIfTrue="1" operator="equal">
      <formula>8223.307275</formula>
    </cfRule>
  </conditionalFormatting>
  <conditionalFormatting sqref="C220:F223 C227:F229 C224:D226 F224:F226">
    <cfRule type="cellIs" dxfId="205" priority="34" stopIfTrue="1" operator="equal">
      <formula>0</formula>
    </cfRule>
  </conditionalFormatting>
  <conditionalFormatting sqref="B222">
    <cfRule type="cellIs" dxfId="204" priority="32" stopIfTrue="1" operator="equal">
      <formula>8223.307275</formula>
    </cfRule>
  </conditionalFormatting>
  <conditionalFormatting sqref="D254:F254">
    <cfRule type="cellIs" dxfId="203" priority="31" stopIfTrue="1" operator="equal">
      <formula>0</formula>
    </cfRule>
  </conditionalFormatting>
  <conditionalFormatting sqref="D259:F259">
    <cfRule type="cellIs" dxfId="202" priority="30" stopIfTrue="1" operator="equal">
      <formula>0</formula>
    </cfRule>
  </conditionalFormatting>
  <conditionalFormatting sqref="B284:F288 B293:B294">
    <cfRule type="cellIs" dxfId="201" priority="29" stopIfTrue="1" operator="equal">
      <formula>8223.307275</formula>
    </cfRule>
  </conditionalFormatting>
  <conditionalFormatting sqref="B278:F279">
    <cfRule type="cellIs" dxfId="200" priority="28" stopIfTrue="1" operator="equal">
      <formula>8223.307275</formula>
    </cfRule>
  </conditionalFormatting>
  <conditionalFormatting sqref="B292:F292">
    <cfRule type="cellIs" dxfId="199" priority="27" stopIfTrue="1" operator="equal">
      <formula>8223.307275</formula>
    </cfRule>
  </conditionalFormatting>
  <conditionalFormatting sqref="E323:F326 E330:F332 F327:F329">
    <cfRule type="cellIs" dxfId="198" priority="23" stopIfTrue="1" operator="equal">
      <formula>8223.307275</formula>
    </cfRule>
  </conditionalFormatting>
  <conditionalFormatting sqref="B314:F314 B315:B317">
    <cfRule type="cellIs" dxfId="197" priority="26" stopIfTrue="1" operator="equal">
      <formula>8223.307275</formula>
    </cfRule>
  </conditionalFormatting>
  <conditionalFormatting sqref="B318">
    <cfRule type="cellIs" dxfId="196" priority="25" stopIfTrue="1" operator="equal">
      <formula>8223.307275</formula>
    </cfRule>
  </conditionalFormatting>
  <conditionalFormatting sqref="C323:F326 C330:F332 C327:D329 F327:F329">
    <cfRule type="cellIs" dxfId="195" priority="24" stopIfTrue="1" operator="equal">
      <formula>0</formula>
    </cfRule>
  </conditionalFormatting>
  <conditionalFormatting sqref="B325">
    <cfRule type="cellIs" dxfId="194" priority="22" stopIfTrue="1" operator="equal">
      <formula>8223.307275</formula>
    </cfRule>
  </conditionalFormatting>
  <conditionalFormatting sqref="D357:F357">
    <cfRule type="cellIs" dxfId="193" priority="21" stopIfTrue="1" operator="equal">
      <formula>0</formula>
    </cfRule>
  </conditionalFormatting>
  <conditionalFormatting sqref="D362:F362">
    <cfRule type="cellIs" dxfId="192" priority="20" stopIfTrue="1" operator="equal">
      <formula>0</formula>
    </cfRule>
  </conditionalFormatting>
  <conditionalFormatting sqref="B82:F85">
    <cfRule type="cellIs" dxfId="191" priority="19" stopIfTrue="1" operator="equal">
      <formula>8223.307275</formula>
    </cfRule>
  </conditionalFormatting>
  <conditionalFormatting sqref="B178:F181">
    <cfRule type="cellIs" dxfId="190" priority="18" stopIfTrue="1" operator="equal">
      <formula>8223.307275</formula>
    </cfRule>
  </conditionalFormatting>
  <conditionalFormatting sqref="B274:F277">
    <cfRule type="cellIs" dxfId="189" priority="17" stopIfTrue="1" operator="equal">
      <formula>8223.307275</formula>
    </cfRule>
  </conditionalFormatting>
  <conditionalFormatting sqref="B10:F11 B13:F14 C12:F12">
    <cfRule type="cellIs" dxfId="188" priority="16" stopIfTrue="1" operator="equal">
      <formula>8223.307275</formula>
    </cfRule>
  </conditionalFormatting>
  <conditionalFormatting sqref="B12">
    <cfRule type="cellIs" dxfId="187" priority="1" stopIfTrue="1" operator="equal">
      <formula>8223.307275</formula>
    </cfRule>
  </conditionalFormatting>
  <pageMargins left="1.1023622047244095" right="0" top="0.23622047244094491" bottom="0.19685039370078741" header="0.15748031496062992" footer="0.15748031496062992"/>
  <pageSetup paperSize="9" scale="90" orientation="landscape" horizontalDpi="4294967295" verticalDpi="4294967295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96"/>
  <sheetViews>
    <sheetView view="pageBreakPreview" topLeftCell="A73" zoomScaleNormal="130" zoomScaleSheetLayoutView="100" workbookViewId="0">
      <selection activeCell="D88" sqref="D88:G96"/>
    </sheetView>
  </sheetViews>
  <sheetFormatPr defaultRowHeight="12.75" x14ac:dyDescent="0.2"/>
  <cols>
    <col min="1" max="1" width="4.42578125" style="811" customWidth="1"/>
    <col min="2" max="2" width="9" style="767" customWidth="1"/>
    <col min="3" max="3" width="43.28515625" style="811" customWidth="1"/>
    <col min="4" max="4" width="9.140625" style="811"/>
    <col min="5" max="5" width="9.140625" style="811" bestFit="1" customWidth="1"/>
    <col min="6" max="6" width="10.5703125" style="811" customWidth="1"/>
    <col min="7" max="7" width="6.5703125" style="939" bestFit="1" customWidth="1"/>
    <col min="8" max="8" width="12.7109375" style="939" customWidth="1"/>
    <col min="9" max="9" width="6.5703125" style="939" bestFit="1" customWidth="1"/>
    <col min="10" max="10" width="12" style="939" customWidth="1"/>
    <col min="11" max="11" width="7.5703125" style="939" bestFit="1" customWidth="1"/>
    <col min="12" max="12" width="10.42578125" style="939" customWidth="1"/>
    <col min="13" max="13" width="12.5703125" style="939" bestFit="1" customWidth="1"/>
    <col min="14" max="16384" width="9.140625" style="811"/>
  </cols>
  <sheetData>
    <row r="1" spans="1:13" ht="15" x14ac:dyDescent="0.2">
      <c r="B1" s="1073" t="s">
        <v>643</v>
      </c>
      <c r="C1" s="1073"/>
      <c r="D1" s="1073"/>
      <c r="E1" s="1073"/>
      <c r="F1" s="1073"/>
      <c r="G1" s="1073"/>
      <c r="H1" s="1073"/>
      <c r="I1" s="1073"/>
      <c r="J1" s="1073"/>
      <c r="K1" s="1073"/>
      <c r="L1" s="1073"/>
    </row>
    <row r="2" spans="1:13" ht="15" x14ac:dyDescent="0.2">
      <c r="B2" s="1090" t="s">
        <v>314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3" ht="15" x14ac:dyDescent="0.2">
      <c r="A3" s="12"/>
      <c r="B3" s="1091" t="s">
        <v>367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70"/>
    </row>
    <row r="4" spans="1:13" ht="15.75" thickBot="1" x14ac:dyDescent="0.35">
      <c r="A4" s="1092"/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</row>
    <row r="5" spans="1:13" ht="15" x14ac:dyDescent="0.3">
      <c r="A5" s="1094" t="s">
        <v>49</v>
      </c>
      <c r="B5" s="1096" t="s">
        <v>50</v>
      </c>
      <c r="C5" s="1098" t="s">
        <v>51</v>
      </c>
      <c r="D5" s="1098" t="s">
        <v>52</v>
      </c>
      <c r="E5" s="1100" t="s">
        <v>53</v>
      </c>
      <c r="F5" s="1100"/>
      <c r="G5" s="1101" t="s">
        <v>54</v>
      </c>
      <c r="H5" s="1101"/>
      <c r="I5" s="1101" t="s">
        <v>55</v>
      </c>
      <c r="J5" s="1101"/>
      <c r="K5" s="1101" t="s">
        <v>56</v>
      </c>
      <c r="L5" s="1101"/>
      <c r="M5" s="1102" t="s">
        <v>57</v>
      </c>
    </row>
    <row r="6" spans="1:13" ht="30.75" thickBot="1" x14ac:dyDescent="0.25">
      <c r="A6" s="1095"/>
      <c r="B6" s="1097"/>
      <c r="C6" s="1099"/>
      <c r="D6" s="1099"/>
      <c r="E6" s="77" t="s">
        <v>399</v>
      </c>
      <c r="F6" s="77" t="s">
        <v>58</v>
      </c>
      <c r="G6" s="68" t="s">
        <v>59</v>
      </c>
      <c r="H6" s="68" t="s">
        <v>24</v>
      </c>
      <c r="I6" s="68" t="s">
        <v>59</v>
      </c>
      <c r="J6" s="68" t="s">
        <v>24</v>
      </c>
      <c r="K6" s="68" t="s">
        <v>59</v>
      </c>
      <c r="L6" s="68" t="s">
        <v>24</v>
      </c>
      <c r="M6" s="1103"/>
    </row>
    <row r="7" spans="1:13" s="940" customFormat="1" ht="15.75" thickBot="1" x14ac:dyDescent="0.25">
      <c r="A7" s="183"/>
      <c r="B7" s="184" t="s">
        <v>60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6">
        <v>13</v>
      </c>
    </row>
    <row r="8" spans="1:13" s="940" customFormat="1" ht="15.75" thickBot="1" x14ac:dyDescent="0.25">
      <c r="A8" s="187"/>
      <c r="B8" s="188"/>
      <c r="C8" s="305" t="s">
        <v>426</v>
      </c>
      <c r="D8" s="189"/>
      <c r="E8" s="189"/>
      <c r="F8" s="189"/>
      <c r="G8" s="189"/>
      <c r="H8" s="189"/>
      <c r="I8" s="189"/>
      <c r="J8" s="189"/>
      <c r="K8" s="189"/>
      <c r="L8" s="189"/>
      <c r="M8" s="190"/>
    </row>
    <row r="9" spans="1:13" ht="45" x14ac:dyDescent="0.2">
      <c r="A9" s="1124">
        <v>1</v>
      </c>
      <c r="B9" s="1114" t="s">
        <v>236</v>
      </c>
      <c r="C9" s="16" t="s">
        <v>667</v>
      </c>
      <c r="D9" s="16" t="s">
        <v>222</v>
      </c>
      <c r="E9" s="218"/>
      <c r="F9" s="218">
        <f>0.4*0.4*0.5*(F18+F27)</f>
        <v>5.2800000000000011</v>
      </c>
      <c r="G9" s="60"/>
      <c r="H9" s="60"/>
      <c r="I9" s="60"/>
      <c r="J9" s="60"/>
      <c r="K9" s="60"/>
      <c r="L9" s="60"/>
      <c r="M9" s="54"/>
    </row>
    <row r="10" spans="1:13" ht="15.75" thickBot="1" x14ac:dyDescent="0.25">
      <c r="A10" s="1120"/>
      <c r="B10" s="1169"/>
      <c r="C10" s="219" t="s">
        <v>63</v>
      </c>
      <c r="D10" s="17" t="s">
        <v>64</v>
      </c>
      <c r="E10" s="18">
        <v>3.88</v>
      </c>
      <c r="F10" s="220">
        <f>F9*E10</f>
        <v>20.486400000000003</v>
      </c>
      <c r="G10" s="27"/>
      <c r="H10" s="27"/>
      <c r="I10" s="27"/>
      <c r="J10" s="27"/>
      <c r="K10" s="27"/>
      <c r="L10" s="27"/>
      <c r="M10" s="28"/>
    </row>
    <row r="11" spans="1:13" ht="45" x14ac:dyDescent="0.2">
      <c r="A11" s="1087">
        <v>2</v>
      </c>
      <c r="B11" s="322" t="s">
        <v>220</v>
      </c>
      <c r="C11" s="19" t="s">
        <v>240</v>
      </c>
      <c r="D11" s="35" t="s">
        <v>62</v>
      </c>
      <c r="E11" s="36"/>
      <c r="F11" s="19">
        <f>F9</f>
        <v>5.2800000000000011</v>
      </c>
      <c r="G11" s="19"/>
      <c r="H11" s="19"/>
      <c r="I11" s="19"/>
      <c r="J11" s="19"/>
      <c r="K11" s="19"/>
      <c r="L11" s="19"/>
      <c r="M11" s="20"/>
    </row>
    <row r="12" spans="1:13" ht="15" x14ac:dyDescent="0.2">
      <c r="A12" s="1087"/>
      <c r="B12" s="679"/>
      <c r="C12" s="37" t="s">
        <v>67</v>
      </c>
      <c r="D12" s="38" t="s">
        <v>68</v>
      </c>
      <c r="E12" s="39">
        <v>4.5</v>
      </c>
      <c r="F12" s="39">
        <f>E12*F11</f>
        <v>23.760000000000005</v>
      </c>
      <c r="G12" s="40"/>
      <c r="H12" s="40"/>
      <c r="I12" s="40"/>
      <c r="J12" s="40"/>
      <c r="K12" s="40"/>
      <c r="L12" s="40"/>
      <c r="M12" s="41"/>
    </row>
    <row r="13" spans="1:13" ht="22.5" x14ac:dyDescent="0.2">
      <c r="A13" s="1087"/>
      <c r="B13" s="364" t="s">
        <v>478</v>
      </c>
      <c r="C13" s="37" t="s">
        <v>171</v>
      </c>
      <c r="D13" s="38" t="s">
        <v>62</v>
      </c>
      <c r="E13" s="39">
        <v>1.02</v>
      </c>
      <c r="F13" s="39">
        <f>E13*F11</f>
        <v>5.3856000000000011</v>
      </c>
      <c r="G13" s="40"/>
      <c r="H13" s="40"/>
      <c r="I13" s="40"/>
      <c r="J13" s="40"/>
      <c r="K13" s="40"/>
      <c r="L13" s="40"/>
      <c r="M13" s="41"/>
    </row>
    <row r="14" spans="1:13" ht="15" x14ac:dyDescent="0.2">
      <c r="A14" s="1087"/>
      <c r="B14" s="45" t="s">
        <v>514</v>
      </c>
      <c r="C14" s="37" t="s">
        <v>74</v>
      </c>
      <c r="D14" s="38" t="s">
        <v>62</v>
      </c>
      <c r="E14" s="39">
        <v>1.72E-2</v>
      </c>
      <c r="F14" s="39">
        <f>E14*F11</f>
        <v>9.0816000000000022E-2</v>
      </c>
      <c r="G14" s="24"/>
      <c r="H14" s="40"/>
      <c r="I14" s="40"/>
      <c r="J14" s="40"/>
      <c r="K14" s="40"/>
      <c r="L14" s="40"/>
      <c r="M14" s="41"/>
    </row>
    <row r="15" spans="1:13" ht="15" x14ac:dyDescent="0.2">
      <c r="A15" s="1087"/>
      <c r="B15" s="679" t="s">
        <v>492</v>
      </c>
      <c r="C15" s="37" t="s">
        <v>75</v>
      </c>
      <c r="D15" s="38" t="s">
        <v>76</v>
      </c>
      <c r="E15" s="39">
        <v>1.61</v>
      </c>
      <c r="F15" s="39">
        <f>E15*F11</f>
        <v>8.5008000000000017</v>
      </c>
      <c r="G15" s="40"/>
      <c r="H15" s="40"/>
      <c r="I15" s="40"/>
      <c r="J15" s="40"/>
      <c r="K15" s="40"/>
      <c r="L15" s="40"/>
      <c r="M15" s="41"/>
    </row>
    <row r="16" spans="1:13" ht="15" x14ac:dyDescent="0.2">
      <c r="A16" s="1087"/>
      <c r="B16" s="46"/>
      <c r="C16" s="37" t="s">
        <v>77</v>
      </c>
      <c r="D16" s="38" t="s">
        <v>78</v>
      </c>
      <c r="E16" s="39">
        <v>0.37</v>
      </c>
      <c r="F16" s="39">
        <f>E16*F11</f>
        <v>1.9536000000000004</v>
      </c>
      <c r="G16" s="40"/>
      <c r="H16" s="40"/>
      <c r="I16" s="40"/>
      <c r="J16" s="40"/>
      <c r="K16" s="40"/>
      <c r="L16" s="40"/>
      <c r="M16" s="41"/>
    </row>
    <row r="17" spans="1:13" ht="15.75" thickBot="1" x14ac:dyDescent="0.25">
      <c r="A17" s="1087"/>
      <c r="B17" s="355"/>
      <c r="C17" s="47" t="s">
        <v>79</v>
      </c>
      <c r="D17" s="342" t="s">
        <v>78</v>
      </c>
      <c r="E17" s="48">
        <v>0.28000000000000003</v>
      </c>
      <c r="F17" s="48">
        <f>E17*F11</f>
        <v>1.4784000000000004</v>
      </c>
      <c r="G17" s="49"/>
      <c r="H17" s="49"/>
      <c r="I17" s="49"/>
      <c r="J17" s="49"/>
      <c r="K17" s="49"/>
      <c r="L17" s="49"/>
      <c r="M17" s="50"/>
    </row>
    <row r="18" spans="1:13" ht="30" x14ac:dyDescent="0.2">
      <c r="A18" s="1172">
        <v>3</v>
      </c>
      <c r="B18" s="259" t="s">
        <v>237</v>
      </c>
      <c r="C18" s="243" t="s">
        <v>238</v>
      </c>
      <c r="D18" s="243" t="s">
        <v>120</v>
      </c>
      <c r="E18" s="243"/>
      <c r="F18" s="244">
        <v>62</v>
      </c>
      <c r="G18" s="245"/>
      <c r="H18" s="245"/>
      <c r="I18" s="244"/>
      <c r="J18" s="245"/>
      <c r="K18" s="245"/>
      <c r="L18" s="245"/>
      <c r="M18" s="246"/>
    </row>
    <row r="19" spans="1:13" ht="15" x14ac:dyDescent="0.2">
      <c r="A19" s="1173"/>
      <c r="B19" s="260"/>
      <c r="C19" s="248" t="s">
        <v>175</v>
      </c>
      <c r="D19" s="247" t="s">
        <v>64</v>
      </c>
      <c r="E19" s="249">
        <v>0.89</v>
      </c>
      <c r="F19" s="250">
        <f>E19*F18</f>
        <v>55.18</v>
      </c>
      <c r="G19" s="251"/>
      <c r="H19" s="251"/>
      <c r="I19" s="251"/>
      <c r="J19" s="251"/>
      <c r="K19" s="251"/>
      <c r="L19" s="251"/>
      <c r="M19" s="252"/>
    </row>
    <row r="20" spans="1:13" ht="15" x14ac:dyDescent="0.2">
      <c r="A20" s="1173"/>
      <c r="B20" s="260"/>
      <c r="C20" s="248" t="s">
        <v>82</v>
      </c>
      <c r="D20" s="247" t="s">
        <v>78</v>
      </c>
      <c r="E20" s="249">
        <v>0.08</v>
      </c>
      <c r="F20" s="250">
        <f>E20*F18</f>
        <v>4.96</v>
      </c>
      <c r="G20" s="251"/>
      <c r="H20" s="251"/>
      <c r="I20" s="251"/>
      <c r="J20" s="251"/>
      <c r="K20" s="40"/>
      <c r="L20" s="251"/>
      <c r="M20" s="252"/>
    </row>
    <row r="21" spans="1:13" ht="30" x14ac:dyDescent="0.2">
      <c r="A21" s="1173"/>
      <c r="B21" s="370" t="s">
        <v>702</v>
      </c>
      <c r="C21" s="619" t="s">
        <v>701</v>
      </c>
      <c r="D21" s="247" t="s">
        <v>87</v>
      </c>
      <c r="E21" s="134" t="s">
        <v>72</v>
      </c>
      <c r="F21" s="630">
        <f>F18*1</f>
        <v>62</v>
      </c>
      <c r="G21" s="251"/>
      <c r="H21" s="251"/>
      <c r="I21" s="251"/>
      <c r="J21" s="251"/>
      <c r="K21" s="251"/>
      <c r="L21" s="251"/>
      <c r="M21" s="252"/>
    </row>
    <row r="22" spans="1:13" ht="30" x14ac:dyDescent="0.2">
      <c r="A22" s="1173"/>
      <c r="B22" s="370" t="s">
        <v>538</v>
      </c>
      <c r="C22" s="619" t="s">
        <v>537</v>
      </c>
      <c r="D22" s="247" t="s">
        <v>87</v>
      </c>
      <c r="E22" s="134" t="s">
        <v>72</v>
      </c>
      <c r="F22" s="630">
        <f>F18*1</f>
        <v>62</v>
      </c>
      <c r="G22" s="251"/>
      <c r="H22" s="251"/>
      <c r="I22" s="251"/>
      <c r="J22" s="251"/>
      <c r="K22" s="251"/>
      <c r="L22" s="251"/>
      <c r="M22" s="252"/>
    </row>
    <row r="23" spans="1:13" ht="15.75" thickBot="1" x14ac:dyDescent="0.25">
      <c r="A23" s="1174"/>
      <c r="B23" s="261" t="s">
        <v>548</v>
      </c>
      <c r="C23" s="26" t="s">
        <v>239</v>
      </c>
      <c r="D23" s="253" t="s">
        <v>87</v>
      </c>
      <c r="E23" s="254" t="s">
        <v>72</v>
      </c>
      <c r="F23" s="631">
        <f>F18*1</f>
        <v>62</v>
      </c>
      <c r="G23" s="255"/>
      <c r="H23" s="255"/>
      <c r="I23" s="255"/>
      <c r="J23" s="255"/>
      <c r="K23" s="255"/>
      <c r="L23" s="255"/>
      <c r="M23" s="256"/>
    </row>
    <row r="24" spans="1:13" ht="45" x14ac:dyDescent="0.2">
      <c r="A24" s="1166">
        <v>4</v>
      </c>
      <c r="B24" s="632" t="s">
        <v>424</v>
      </c>
      <c r="C24" s="16" t="s">
        <v>668</v>
      </c>
      <c r="D24" s="845" t="s">
        <v>120</v>
      </c>
      <c r="E24" s="845"/>
      <c r="F24" s="234">
        <v>4</v>
      </c>
      <c r="G24" s="235"/>
      <c r="H24" s="236"/>
      <c r="I24" s="235"/>
      <c r="J24" s="235"/>
      <c r="K24" s="235"/>
      <c r="L24" s="235"/>
      <c r="M24" s="237"/>
    </row>
    <row r="25" spans="1:13" ht="15" x14ac:dyDescent="0.2">
      <c r="A25" s="1167"/>
      <c r="B25" s="330"/>
      <c r="C25" s="121" t="s">
        <v>63</v>
      </c>
      <c r="D25" s="846" t="s">
        <v>64</v>
      </c>
      <c r="E25" s="22">
        <v>1.24</v>
      </c>
      <c r="F25" s="168">
        <f>F24*E25</f>
        <v>4.96</v>
      </c>
      <c r="G25" s="24"/>
      <c r="H25" s="24"/>
      <c r="I25" s="24"/>
      <c r="J25" s="24"/>
      <c r="K25" s="24"/>
      <c r="L25" s="24"/>
      <c r="M25" s="25"/>
    </row>
    <row r="26" spans="1:13" ht="15.75" thickBot="1" x14ac:dyDescent="0.25">
      <c r="A26" s="1167"/>
      <c r="B26" s="258" t="s">
        <v>533</v>
      </c>
      <c r="C26" s="119" t="s">
        <v>669</v>
      </c>
      <c r="D26" s="847" t="s">
        <v>104</v>
      </c>
      <c r="E26" s="33">
        <v>0.72</v>
      </c>
      <c r="F26" s="196">
        <f>E26*F24</f>
        <v>2.88</v>
      </c>
      <c r="G26" s="67"/>
      <c r="H26" s="67"/>
      <c r="I26" s="67"/>
      <c r="J26" s="67"/>
      <c r="K26" s="67"/>
      <c r="L26" s="67"/>
      <c r="M26" s="95"/>
    </row>
    <row r="27" spans="1:13" ht="15" x14ac:dyDescent="0.2">
      <c r="A27" s="1175">
        <v>5</v>
      </c>
      <c r="B27" s="632" t="s">
        <v>703</v>
      </c>
      <c r="C27" s="16" t="s">
        <v>454</v>
      </c>
      <c r="D27" s="845" t="s">
        <v>120</v>
      </c>
      <c r="E27" s="845"/>
      <c r="F27" s="234">
        <v>4</v>
      </c>
      <c r="G27" s="235"/>
      <c r="H27" s="236"/>
      <c r="I27" s="235"/>
      <c r="J27" s="235"/>
      <c r="K27" s="235"/>
      <c r="L27" s="235"/>
      <c r="M27" s="237"/>
    </row>
    <row r="28" spans="1:13" ht="15" x14ac:dyDescent="0.2">
      <c r="A28" s="1176"/>
      <c r="B28" s="330"/>
      <c r="C28" s="121" t="s">
        <v>63</v>
      </c>
      <c r="D28" s="846" t="s">
        <v>64</v>
      </c>
      <c r="E28" s="22">
        <v>2.52</v>
      </c>
      <c r="F28" s="168">
        <f>F27*E28</f>
        <v>10.08</v>
      </c>
      <c r="G28" s="24"/>
      <c r="H28" s="24"/>
      <c r="I28" s="24"/>
      <c r="J28" s="24"/>
      <c r="K28" s="24"/>
      <c r="L28" s="24"/>
      <c r="M28" s="25"/>
    </row>
    <row r="29" spans="1:13" ht="15" x14ac:dyDescent="0.2">
      <c r="A29" s="1176"/>
      <c r="B29" s="330"/>
      <c r="C29" s="121" t="s">
        <v>455</v>
      </c>
      <c r="D29" s="846" t="s">
        <v>87</v>
      </c>
      <c r="E29" s="168">
        <v>1</v>
      </c>
      <c r="F29" s="168">
        <f>E29*F27</f>
        <v>4</v>
      </c>
      <c r="G29" s="24"/>
      <c r="H29" s="24"/>
      <c r="I29" s="24"/>
      <c r="J29" s="24"/>
      <c r="K29" s="24"/>
      <c r="L29" s="24"/>
      <c r="M29" s="25"/>
    </row>
    <row r="30" spans="1:13" ht="22.5" x14ac:dyDescent="0.2">
      <c r="A30" s="1176"/>
      <c r="B30" s="663" t="s">
        <v>706</v>
      </c>
      <c r="C30" s="121" t="s">
        <v>704</v>
      </c>
      <c r="D30" s="846" t="s">
        <v>104</v>
      </c>
      <c r="E30" s="168">
        <v>1.2</v>
      </c>
      <c r="F30" s="168">
        <f>E30*F27</f>
        <v>4.8</v>
      </c>
      <c r="G30" s="24"/>
      <c r="H30" s="24"/>
      <c r="I30" s="24"/>
      <c r="J30" s="24"/>
      <c r="K30" s="24"/>
      <c r="L30" s="24"/>
      <c r="M30" s="25"/>
    </row>
    <row r="31" spans="1:13" ht="15.75" thickBot="1" x14ac:dyDescent="0.25">
      <c r="A31" s="1177"/>
      <c r="B31" s="257" t="s">
        <v>533</v>
      </c>
      <c r="C31" s="120" t="s">
        <v>705</v>
      </c>
      <c r="D31" s="848" t="s">
        <v>78</v>
      </c>
      <c r="E31" s="17">
        <v>1.25</v>
      </c>
      <c r="F31" s="664">
        <f>E31*F27</f>
        <v>5</v>
      </c>
      <c r="G31" s="27"/>
      <c r="H31" s="27"/>
      <c r="I31" s="27"/>
      <c r="J31" s="27"/>
      <c r="K31" s="49"/>
      <c r="L31" s="27"/>
      <c r="M31" s="28"/>
    </row>
    <row r="32" spans="1:13" ht="30" x14ac:dyDescent="0.2">
      <c r="A32" s="1166">
        <v>6</v>
      </c>
      <c r="B32" s="632" t="s">
        <v>703</v>
      </c>
      <c r="C32" s="16" t="s">
        <v>357</v>
      </c>
      <c r="D32" s="845" t="s">
        <v>120</v>
      </c>
      <c r="E32" s="845"/>
      <c r="F32" s="234">
        <v>62</v>
      </c>
      <c r="G32" s="235"/>
      <c r="H32" s="236"/>
      <c r="I32" s="235"/>
      <c r="J32" s="235"/>
      <c r="K32" s="235"/>
      <c r="L32" s="235"/>
      <c r="M32" s="237"/>
    </row>
    <row r="33" spans="1:13" ht="15" x14ac:dyDescent="0.2">
      <c r="A33" s="1167"/>
      <c r="B33" s="238"/>
      <c r="C33" s="121" t="s">
        <v>63</v>
      </c>
      <c r="D33" s="846" t="s">
        <v>64</v>
      </c>
      <c r="E33" s="22">
        <v>2.52</v>
      </c>
      <c r="F33" s="168">
        <f>E33*F32</f>
        <v>156.24</v>
      </c>
      <c r="G33" s="24"/>
      <c r="H33" s="24"/>
      <c r="I33" s="24"/>
      <c r="J33" s="24"/>
      <c r="K33" s="24"/>
      <c r="L33" s="24"/>
      <c r="M33" s="25"/>
    </row>
    <row r="34" spans="1:13" ht="22.5" x14ac:dyDescent="0.2">
      <c r="A34" s="1167"/>
      <c r="B34" s="663" t="s">
        <v>706</v>
      </c>
      <c r="C34" s="121" t="s">
        <v>704</v>
      </c>
      <c r="D34" s="846" t="s">
        <v>104</v>
      </c>
      <c r="E34" s="168">
        <v>1.2</v>
      </c>
      <c r="F34" s="168">
        <f>E34*F32</f>
        <v>74.399999999999991</v>
      </c>
      <c r="G34" s="24"/>
      <c r="H34" s="24"/>
      <c r="I34" s="24"/>
      <c r="J34" s="24"/>
      <c r="K34" s="24"/>
      <c r="L34" s="24"/>
      <c r="M34" s="25"/>
    </row>
    <row r="35" spans="1:13" ht="22.5" x14ac:dyDescent="0.2">
      <c r="A35" s="1167"/>
      <c r="B35" s="369" t="s">
        <v>532</v>
      </c>
      <c r="C35" s="121" t="s">
        <v>358</v>
      </c>
      <c r="D35" s="846" t="s">
        <v>120</v>
      </c>
      <c r="E35" s="168">
        <v>1</v>
      </c>
      <c r="F35" s="168">
        <f>E35*F32</f>
        <v>62</v>
      </c>
      <c r="G35" s="24"/>
      <c r="H35" s="24"/>
      <c r="I35" s="24"/>
      <c r="J35" s="24"/>
      <c r="K35" s="24"/>
      <c r="L35" s="24"/>
      <c r="M35" s="25"/>
    </row>
    <row r="36" spans="1:13" ht="15.75" thickBot="1" x14ac:dyDescent="0.25">
      <c r="A36" s="1168"/>
      <c r="B36" s="257" t="s">
        <v>533</v>
      </c>
      <c r="C36" s="120" t="s">
        <v>705</v>
      </c>
      <c r="D36" s="848" t="s">
        <v>78</v>
      </c>
      <c r="E36" s="17">
        <v>1.25</v>
      </c>
      <c r="F36" s="664">
        <f>E36*F32</f>
        <v>77.5</v>
      </c>
      <c r="G36" s="27"/>
      <c r="H36" s="27"/>
      <c r="I36" s="27"/>
      <c r="J36" s="27"/>
      <c r="K36" s="49"/>
      <c r="L36" s="27"/>
      <c r="M36" s="28"/>
    </row>
    <row r="37" spans="1:13" ht="45" x14ac:dyDescent="0.2">
      <c r="A37" s="1094">
        <v>7</v>
      </c>
      <c r="B37" s="329" t="s">
        <v>287</v>
      </c>
      <c r="C37" s="35" t="s">
        <v>425</v>
      </c>
      <c r="D37" s="19" t="s">
        <v>76</v>
      </c>
      <c r="E37" s="275"/>
      <c r="F37" s="19">
        <f>2.92*4</f>
        <v>11.68</v>
      </c>
      <c r="G37" s="676"/>
      <c r="H37" s="676"/>
      <c r="I37" s="676"/>
      <c r="J37" s="676"/>
      <c r="K37" s="676"/>
      <c r="L37" s="676"/>
      <c r="M37" s="677"/>
    </row>
    <row r="38" spans="1:13" ht="15" x14ac:dyDescent="0.2">
      <c r="A38" s="1178"/>
      <c r="B38" s="343"/>
      <c r="C38" s="37" t="s">
        <v>67</v>
      </c>
      <c r="D38" s="38" t="s">
        <v>68</v>
      </c>
      <c r="E38" s="39">
        <v>0.38800000000000001</v>
      </c>
      <c r="F38" s="39">
        <f>E38*F37</f>
        <v>4.5318399999999999</v>
      </c>
      <c r="G38" s="40"/>
      <c r="H38" s="40"/>
      <c r="I38" s="40"/>
      <c r="J38" s="40"/>
      <c r="K38" s="40"/>
      <c r="L38" s="40"/>
      <c r="M38" s="41"/>
    </row>
    <row r="39" spans="1:13" ht="15" x14ac:dyDescent="0.2">
      <c r="A39" s="1178"/>
      <c r="B39" s="343"/>
      <c r="C39" s="37" t="s">
        <v>82</v>
      </c>
      <c r="D39" s="38" t="s">
        <v>78</v>
      </c>
      <c r="E39" s="39">
        <v>2.9999999999999997E-4</v>
      </c>
      <c r="F39" s="39">
        <f>E39*F37</f>
        <v>3.5039999999999997E-3</v>
      </c>
      <c r="G39" s="40"/>
      <c r="H39" s="40"/>
      <c r="I39" s="40"/>
      <c r="J39" s="40"/>
      <c r="K39" s="40"/>
      <c r="L39" s="40"/>
      <c r="M39" s="41"/>
    </row>
    <row r="40" spans="1:13" ht="15" x14ac:dyDescent="0.2">
      <c r="A40" s="1178"/>
      <c r="B40" s="679" t="s">
        <v>511</v>
      </c>
      <c r="C40" s="37" t="s">
        <v>289</v>
      </c>
      <c r="D40" s="38" t="s">
        <v>71</v>
      </c>
      <c r="E40" s="39">
        <v>0.251</v>
      </c>
      <c r="F40" s="39">
        <f>E40*F37</f>
        <v>2.9316800000000001</v>
      </c>
      <c r="G40" s="40"/>
      <c r="H40" s="40"/>
      <c r="I40" s="40"/>
      <c r="J40" s="40"/>
      <c r="K40" s="40"/>
      <c r="L40" s="40"/>
      <c r="M40" s="41"/>
    </row>
    <row r="41" spans="1:13" ht="15" x14ac:dyDescent="0.2">
      <c r="A41" s="1178"/>
      <c r="B41" s="679" t="s">
        <v>510</v>
      </c>
      <c r="C41" s="37" t="s">
        <v>92</v>
      </c>
      <c r="D41" s="38" t="s">
        <v>71</v>
      </c>
      <c r="E41" s="39">
        <v>2.7E-2</v>
      </c>
      <c r="F41" s="39">
        <f>E41*F37</f>
        <v>0.31535999999999997</v>
      </c>
      <c r="G41" s="40"/>
      <c r="H41" s="40"/>
      <c r="I41" s="40"/>
      <c r="J41" s="40"/>
      <c r="K41" s="40"/>
      <c r="L41" s="40"/>
      <c r="M41" s="41"/>
    </row>
    <row r="42" spans="1:13" ht="15.75" thickBot="1" x14ac:dyDescent="0.25">
      <c r="A42" s="1179"/>
      <c r="B42" s="104"/>
      <c r="C42" s="47" t="s">
        <v>85</v>
      </c>
      <c r="D42" s="342" t="s">
        <v>78</v>
      </c>
      <c r="E42" s="48">
        <v>1.9E-3</v>
      </c>
      <c r="F42" s="48">
        <f>E42*F37</f>
        <v>2.2192E-2</v>
      </c>
      <c r="G42" s="49"/>
      <c r="H42" s="49"/>
      <c r="I42" s="49"/>
      <c r="J42" s="49"/>
      <c r="K42" s="49"/>
      <c r="L42" s="49"/>
      <c r="M42" s="50"/>
    </row>
    <row r="43" spans="1:13" ht="15" x14ac:dyDescent="0.2">
      <c r="A43" s="1172">
        <v>8</v>
      </c>
      <c r="B43" s="259" t="s">
        <v>237</v>
      </c>
      <c r="C43" s="263" t="s">
        <v>243</v>
      </c>
      <c r="D43" s="243" t="s">
        <v>120</v>
      </c>
      <c r="E43" s="243"/>
      <c r="F43" s="244">
        <v>2</v>
      </c>
      <c r="G43" s="244"/>
      <c r="H43" s="245"/>
      <c r="I43" s="245"/>
      <c r="J43" s="245"/>
      <c r="K43" s="245"/>
      <c r="L43" s="245"/>
      <c r="M43" s="262"/>
    </row>
    <row r="44" spans="1:13" ht="15" x14ac:dyDescent="0.2">
      <c r="A44" s="1173"/>
      <c r="B44" s="260"/>
      <c r="C44" s="248" t="s">
        <v>175</v>
      </c>
      <c r="D44" s="247" t="s">
        <v>64</v>
      </c>
      <c r="E44" s="247">
        <v>0.89</v>
      </c>
      <c r="F44" s="251">
        <f>E44*F43</f>
        <v>1.78</v>
      </c>
      <c r="G44" s="251"/>
      <c r="H44" s="251"/>
      <c r="I44" s="251"/>
      <c r="J44" s="251"/>
      <c r="K44" s="251"/>
      <c r="L44" s="251"/>
      <c r="M44" s="252"/>
    </row>
    <row r="45" spans="1:13" ht="15" x14ac:dyDescent="0.2">
      <c r="A45" s="1173"/>
      <c r="B45" s="260"/>
      <c r="C45" s="248" t="s">
        <v>82</v>
      </c>
      <c r="D45" s="247" t="s">
        <v>78</v>
      </c>
      <c r="E45" s="247">
        <v>0.08</v>
      </c>
      <c r="F45" s="251">
        <f>E45*F43</f>
        <v>0.16</v>
      </c>
      <c r="G45" s="251"/>
      <c r="H45" s="251"/>
      <c r="I45" s="251"/>
      <c r="J45" s="251"/>
      <c r="K45" s="40"/>
      <c r="L45" s="251"/>
      <c r="M45" s="252"/>
    </row>
    <row r="46" spans="1:13" ht="15" x14ac:dyDescent="0.2">
      <c r="A46" s="1173"/>
      <c r="B46" s="132" t="s">
        <v>539</v>
      </c>
      <c r="C46" s="212" t="s">
        <v>244</v>
      </c>
      <c r="D46" s="247" t="s">
        <v>87</v>
      </c>
      <c r="E46" s="134" t="s">
        <v>72</v>
      </c>
      <c r="F46" s="251">
        <v>9</v>
      </c>
      <c r="G46" s="251"/>
      <c r="H46" s="251"/>
      <c r="I46" s="251"/>
      <c r="J46" s="251"/>
      <c r="K46" s="251"/>
      <c r="L46" s="251"/>
      <c r="M46" s="252"/>
    </row>
    <row r="47" spans="1:13" ht="30" x14ac:dyDescent="0.2">
      <c r="A47" s="1173"/>
      <c r="B47" s="132" t="s">
        <v>538</v>
      </c>
      <c r="C47" s="212" t="s">
        <v>537</v>
      </c>
      <c r="D47" s="247" t="s">
        <v>87</v>
      </c>
      <c r="E47" s="134" t="s">
        <v>72</v>
      </c>
      <c r="F47" s="251">
        <v>6</v>
      </c>
      <c r="G47" s="251"/>
      <c r="H47" s="251"/>
      <c r="I47" s="251"/>
      <c r="J47" s="251"/>
      <c r="K47" s="251"/>
      <c r="L47" s="251"/>
      <c r="M47" s="252"/>
    </row>
    <row r="48" spans="1:13" ht="15.75" thickBot="1" x14ac:dyDescent="0.25">
      <c r="A48" s="1174"/>
      <c r="B48" s="261" t="s">
        <v>548</v>
      </c>
      <c r="C48" s="26" t="s">
        <v>239</v>
      </c>
      <c r="D48" s="253" t="s">
        <v>87</v>
      </c>
      <c r="E48" s="206" t="s">
        <v>72</v>
      </c>
      <c r="F48" s="255">
        <v>6</v>
      </c>
      <c r="G48" s="255"/>
      <c r="H48" s="255"/>
      <c r="I48" s="255"/>
      <c r="J48" s="255"/>
      <c r="K48" s="255"/>
      <c r="L48" s="255"/>
      <c r="M48" s="256"/>
    </row>
    <row r="49" spans="1:13" ht="45" x14ac:dyDescent="0.2">
      <c r="A49" s="1119">
        <v>9</v>
      </c>
      <c r="B49" s="1170" t="s">
        <v>236</v>
      </c>
      <c r="C49" s="29" t="s">
        <v>241</v>
      </c>
      <c r="D49" s="29" t="s">
        <v>222</v>
      </c>
      <c r="E49" s="30"/>
      <c r="F49" s="30">
        <f>120*0.2*0.25</f>
        <v>6</v>
      </c>
      <c r="G49" s="213"/>
      <c r="H49" s="213"/>
      <c r="I49" s="213"/>
      <c r="J49" s="213"/>
      <c r="K49" s="213"/>
      <c r="L49" s="213"/>
      <c r="M49" s="211"/>
    </row>
    <row r="50" spans="1:13" ht="15.75" thickBot="1" x14ac:dyDescent="0.25">
      <c r="A50" s="1120"/>
      <c r="B50" s="1171"/>
      <c r="C50" s="219" t="s">
        <v>63</v>
      </c>
      <c r="D50" s="17" t="s">
        <v>64</v>
      </c>
      <c r="E50" s="18">
        <v>3.88</v>
      </c>
      <c r="F50" s="220">
        <f>F49*E50</f>
        <v>23.28</v>
      </c>
      <c r="G50" s="27"/>
      <c r="H50" s="27"/>
      <c r="I50" s="27"/>
      <c r="J50" s="27"/>
      <c r="K50" s="27"/>
      <c r="L50" s="27"/>
      <c r="M50" s="28"/>
    </row>
    <row r="51" spans="1:13" ht="30" x14ac:dyDescent="0.2">
      <c r="A51" s="1124">
        <v>10</v>
      </c>
      <c r="B51" s="643" t="s">
        <v>707</v>
      </c>
      <c r="C51" s="849" t="s">
        <v>242</v>
      </c>
      <c r="D51" s="850" t="s">
        <v>125</v>
      </c>
      <c r="E51" s="851"/>
      <c r="F51" s="852">
        <f>F53+F54+F55</f>
        <v>155.5</v>
      </c>
      <c r="G51" s="852"/>
      <c r="H51" s="60"/>
      <c r="I51" s="60"/>
      <c r="J51" s="60"/>
      <c r="K51" s="60"/>
      <c r="L51" s="60"/>
      <c r="M51" s="54"/>
    </row>
    <row r="52" spans="1:13" ht="15" x14ac:dyDescent="0.2">
      <c r="A52" s="1119"/>
      <c r="B52" s="853"/>
      <c r="C52" s="121" t="s">
        <v>63</v>
      </c>
      <c r="D52" s="846" t="s">
        <v>64</v>
      </c>
      <c r="E52" s="997">
        <f>139/1000</f>
        <v>0.13900000000000001</v>
      </c>
      <c r="F52" s="854">
        <f>E52*F51</f>
        <v>21.614500000000003</v>
      </c>
      <c r="G52" s="855"/>
      <c r="H52" s="24"/>
      <c r="I52" s="24"/>
      <c r="J52" s="24"/>
      <c r="K52" s="24"/>
      <c r="L52" s="24"/>
      <c r="M52" s="25"/>
    </row>
    <row r="53" spans="1:13" ht="30" x14ac:dyDescent="0.2">
      <c r="A53" s="1119"/>
      <c r="B53" s="132" t="s">
        <v>534</v>
      </c>
      <c r="C53" s="143" t="s">
        <v>246</v>
      </c>
      <c r="D53" s="133" t="s">
        <v>125</v>
      </c>
      <c r="E53" s="134" t="s">
        <v>72</v>
      </c>
      <c r="F53" s="669">
        <v>35.5</v>
      </c>
      <c r="G53" s="24"/>
      <c r="H53" s="24"/>
      <c r="I53" s="24"/>
      <c r="J53" s="24"/>
      <c r="K53" s="24"/>
      <c r="L53" s="24"/>
      <c r="M53" s="25"/>
    </row>
    <row r="54" spans="1:13" ht="30" x14ac:dyDescent="0.2">
      <c r="A54" s="1119"/>
      <c r="B54" s="132" t="s">
        <v>535</v>
      </c>
      <c r="C54" s="143" t="s">
        <v>245</v>
      </c>
      <c r="D54" s="133" t="s">
        <v>125</v>
      </c>
      <c r="E54" s="134" t="s">
        <v>72</v>
      </c>
      <c r="F54" s="669">
        <v>85</v>
      </c>
      <c r="G54" s="24"/>
      <c r="H54" s="24"/>
      <c r="I54" s="24"/>
      <c r="J54" s="24"/>
      <c r="K54" s="24"/>
      <c r="L54" s="24"/>
      <c r="M54" s="25"/>
    </row>
    <row r="55" spans="1:13" ht="30" x14ac:dyDescent="0.2">
      <c r="A55" s="1119"/>
      <c r="B55" s="132" t="s">
        <v>536</v>
      </c>
      <c r="C55" s="143" t="s">
        <v>247</v>
      </c>
      <c r="D55" s="133" t="s">
        <v>125</v>
      </c>
      <c r="E55" s="134" t="s">
        <v>72</v>
      </c>
      <c r="F55" s="669">
        <v>35</v>
      </c>
      <c r="G55" s="24"/>
      <c r="H55" s="24"/>
      <c r="I55" s="24"/>
      <c r="J55" s="24"/>
      <c r="K55" s="24"/>
      <c r="L55" s="24"/>
      <c r="M55" s="25"/>
    </row>
    <row r="56" spans="1:13" ht="15.75" thickBot="1" x14ac:dyDescent="0.25">
      <c r="A56" s="1120"/>
      <c r="B56" s="856"/>
      <c r="C56" s="56" t="s">
        <v>85</v>
      </c>
      <c r="D56" s="857" t="s">
        <v>78</v>
      </c>
      <c r="E56" s="997">
        <f>3.65/1000</f>
        <v>3.65E-3</v>
      </c>
      <c r="F56" s="858">
        <f>E56*F51</f>
        <v>0.56757500000000005</v>
      </c>
      <c r="G56" s="49"/>
      <c r="H56" s="27"/>
      <c r="I56" s="27"/>
      <c r="J56" s="27"/>
      <c r="K56" s="27"/>
      <c r="L56" s="27"/>
      <c r="M56" s="85"/>
    </row>
    <row r="57" spans="1:13" ht="15" x14ac:dyDescent="0.2">
      <c r="A57" s="1147">
        <v>11</v>
      </c>
      <c r="B57" s="929" t="s">
        <v>234</v>
      </c>
      <c r="C57" s="71" t="s">
        <v>235</v>
      </c>
      <c r="D57" s="16" t="s">
        <v>62</v>
      </c>
      <c r="E57" s="16"/>
      <c r="F57" s="164">
        <f>F49</f>
        <v>6</v>
      </c>
      <c r="G57" s="53"/>
      <c r="H57" s="53"/>
      <c r="I57" s="53"/>
      <c r="J57" s="53"/>
      <c r="K57" s="53"/>
      <c r="L57" s="53"/>
      <c r="M57" s="54"/>
    </row>
    <row r="58" spans="1:13" ht="15.75" thickBot="1" x14ac:dyDescent="0.25">
      <c r="A58" s="1148"/>
      <c r="B58" s="998"/>
      <c r="C58" s="120" t="s">
        <v>63</v>
      </c>
      <c r="D58" s="17" t="s">
        <v>64</v>
      </c>
      <c r="E58" s="17">
        <v>1.21</v>
      </c>
      <c r="F58" s="195">
        <f>F57*E58</f>
        <v>7.26</v>
      </c>
      <c r="G58" s="27"/>
      <c r="H58" s="27"/>
      <c r="I58" s="27"/>
      <c r="J58" s="27"/>
      <c r="K58" s="27"/>
      <c r="L58" s="27"/>
      <c r="M58" s="28"/>
    </row>
    <row r="59" spans="1:13" ht="15" x14ac:dyDescent="0.2">
      <c r="A59" s="684"/>
      <c r="B59" s="90"/>
      <c r="C59" s="576" t="s">
        <v>113</v>
      </c>
      <c r="D59" s="91"/>
      <c r="E59" s="96"/>
      <c r="F59" s="96"/>
      <c r="G59" s="102"/>
      <c r="H59" s="320"/>
      <c r="I59" s="320"/>
      <c r="J59" s="320"/>
      <c r="K59" s="320"/>
      <c r="L59" s="320"/>
      <c r="M59" s="522"/>
    </row>
    <row r="60" spans="1:13" ht="30" x14ac:dyDescent="0.2">
      <c r="A60" s="135"/>
      <c r="B60" s="343"/>
      <c r="C60" s="121" t="s">
        <v>148</v>
      </c>
      <c r="D60" s="362" t="s">
        <v>757</v>
      </c>
      <c r="E60" s="39"/>
      <c r="F60" s="39"/>
      <c r="G60" s="40"/>
      <c r="H60" s="75"/>
      <c r="I60" s="75"/>
      <c r="J60" s="75"/>
      <c r="K60" s="75"/>
      <c r="L60" s="75"/>
      <c r="M60" s="41"/>
    </row>
    <row r="61" spans="1:13" ht="15" x14ac:dyDescent="0.2">
      <c r="A61" s="135"/>
      <c r="B61" s="343"/>
      <c r="C61" s="594" t="s">
        <v>24</v>
      </c>
      <c r="D61" s="362"/>
      <c r="E61" s="39"/>
      <c r="F61" s="39"/>
      <c r="G61" s="40"/>
      <c r="H61" s="75"/>
      <c r="I61" s="75"/>
      <c r="J61" s="75"/>
      <c r="K61" s="75"/>
      <c r="L61" s="75"/>
      <c r="M61" s="597"/>
    </row>
    <row r="62" spans="1:13" ht="15" x14ac:dyDescent="0.2">
      <c r="A62" s="135"/>
      <c r="B62" s="123"/>
      <c r="C62" s="21" t="s">
        <v>117</v>
      </c>
      <c r="D62" s="362" t="s">
        <v>757</v>
      </c>
      <c r="E62" s="61"/>
      <c r="F62" s="136"/>
      <c r="G62" s="75"/>
      <c r="H62" s="75"/>
      <c r="I62" s="40"/>
      <c r="J62" s="40"/>
      <c r="K62" s="40"/>
      <c r="L62" s="24"/>
      <c r="M62" s="25"/>
    </row>
    <row r="63" spans="1:13" ht="15" x14ac:dyDescent="0.2">
      <c r="A63" s="135"/>
      <c r="B63" s="123"/>
      <c r="C63" s="595" t="s">
        <v>24</v>
      </c>
      <c r="D63" s="362"/>
      <c r="E63" s="61"/>
      <c r="F63" s="136"/>
      <c r="G63" s="75"/>
      <c r="H63" s="75"/>
      <c r="I63" s="40"/>
      <c r="J63" s="40"/>
      <c r="K63" s="40"/>
      <c r="L63" s="40"/>
      <c r="M63" s="118"/>
    </row>
    <row r="64" spans="1:13" ht="15" x14ac:dyDescent="0.2">
      <c r="A64" s="135"/>
      <c r="B64" s="123"/>
      <c r="C64" s="21" t="s">
        <v>118</v>
      </c>
      <c r="D64" s="362" t="s">
        <v>757</v>
      </c>
      <c r="E64" s="61"/>
      <c r="F64" s="136"/>
      <c r="G64" s="75"/>
      <c r="H64" s="75"/>
      <c r="I64" s="40"/>
      <c r="J64" s="40"/>
      <c r="K64" s="40"/>
      <c r="L64" s="24"/>
      <c r="M64" s="25"/>
    </row>
    <row r="65" spans="1:13" s="873" customFormat="1" ht="15.75" thickBot="1" x14ac:dyDescent="0.25">
      <c r="A65" s="391"/>
      <c r="B65" s="399"/>
      <c r="C65" s="614" t="s">
        <v>344</v>
      </c>
      <c r="D65" s="392"/>
      <c r="E65" s="393"/>
      <c r="F65" s="394"/>
      <c r="G65" s="395"/>
      <c r="H65" s="395"/>
      <c r="I65" s="395"/>
      <c r="J65" s="395"/>
      <c r="K65" s="395"/>
      <c r="L65" s="396"/>
      <c r="M65" s="397"/>
    </row>
    <row r="66" spans="1:13" ht="15.75" thickBot="1" x14ac:dyDescent="0.25">
      <c r="A66" s="129"/>
      <c r="B66" s="400"/>
      <c r="C66" s="386" t="s">
        <v>7</v>
      </c>
      <c r="D66" s="401"/>
      <c r="E66" s="402"/>
      <c r="F66" s="402"/>
      <c r="G66" s="403"/>
      <c r="H66" s="403"/>
      <c r="I66" s="403"/>
      <c r="J66" s="403"/>
      <c r="K66" s="403"/>
      <c r="L66" s="403"/>
      <c r="M66" s="404"/>
    </row>
    <row r="67" spans="1:13" ht="30" x14ac:dyDescent="0.2">
      <c r="A67" s="1166">
        <v>1</v>
      </c>
      <c r="B67" s="632" t="s">
        <v>708</v>
      </c>
      <c r="C67" s="705" t="s">
        <v>727</v>
      </c>
      <c r="D67" s="845" t="s">
        <v>120</v>
      </c>
      <c r="E67" s="845"/>
      <c r="F67" s="234">
        <v>9</v>
      </c>
      <c r="G67" s="235"/>
      <c r="H67" s="236"/>
      <c r="I67" s="235"/>
      <c r="J67" s="235"/>
      <c r="K67" s="235"/>
      <c r="L67" s="235"/>
      <c r="M67" s="125"/>
    </row>
    <row r="68" spans="1:13" ht="15" x14ac:dyDescent="0.2">
      <c r="A68" s="1167"/>
      <c r="B68" s="238"/>
      <c r="C68" s="121" t="s">
        <v>63</v>
      </c>
      <c r="D68" s="846" t="s">
        <v>64</v>
      </c>
      <c r="E68" s="22">
        <v>2</v>
      </c>
      <c r="F68" s="168">
        <f>E68*F67</f>
        <v>18</v>
      </c>
      <c r="G68" s="24"/>
      <c r="H68" s="24"/>
      <c r="I68" s="24"/>
      <c r="J68" s="24"/>
      <c r="K68" s="24"/>
      <c r="L68" s="24"/>
      <c r="M68" s="25"/>
    </row>
    <row r="69" spans="1:13" ht="15" x14ac:dyDescent="0.2">
      <c r="A69" s="1167"/>
      <c r="B69" s="238"/>
      <c r="C69" s="121" t="s">
        <v>82</v>
      </c>
      <c r="D69" s="846" t="s">
        <v>78</v>
      </c>
      <c r="E69" s="22">
        <v>2.2000000000000002</v>
      </c>
      <c r="F69" s="168">
        <f>E69*F67</f>
        <v>19.8</v>
      </c>
      <c r="G69" s="24"/>
      <c r="H69" s="24"/>
      <c r="I69" s="24"/>
      <c r="J69" s="24"/>
      <c r="K69" s="40"/>
      <c r="L69" s="24"/>
      <c r="M69" s="25"/>
    </row>
    <row r="70" spans="1:13" ht="30" x14ac:dyDescent="0.2">
      <c r="A70" s="1167"/>
      <c r="B70" s="369"/>
      <c r="C70" s="121" t="s">
        <v>359</v>
      </c>
      <c r="D70" s="846" t="s">
        <v>120</v>
      </c>
      <c r="E70" s="168">
        <v>1</v>
      </c>
      <c r="F70" s="168">
        <f>E70*F67</f>
        <v>9</v>
      </c>
      <c r="G70" s="24"/>
      <c r="H70" s="24"/>
      <c r="I70" s="24"/>
      <c r="J70" s="24"/>
      <c r="K70" s="24"/>
      <c r="L70" s="24"/>
      <c r="M70" s="25"/>
    </row>
    <row r="71" spans="1:13" ht="15.75" thickBot="1" x14ac:dyDescent="0.35">
      <c r="A71" s="1168"/>
      <c r="B71" s="257"/>
      <c r="C71" s="239" t="s">
        <v>85</v>
      </c>
      <c r="D71" s="240" t="s">
        <v>78</v>
      </c>
      <c r="E71" s="860">
        <v>0.05</v>
      </c>
      <c r="F71" s="241">
        <f>E71*F67</f>
        <v>0.45</v>
      </c>
      <c r="G71" s="49"/>
      <c r="H71" s="27"/>
      <c r="I71" s="242"/>
      <c r="J71" s="242"/>
      <c r="K71" s="242"/>
      <c r="L71" s="242"/>
      <c r="M71" s="28"/>
    </row>
    <row r="72" spans="1:13" ht="45" x14ac:dyDescent="0.2">
      <c r="A72" s="1119">
        <v>2</v>
      </c>
      <c r="B72" s="999" t="s">
        <v>728</v>
      </c>
      <c r="C72" s="29" t="s">
        <v>248</v>
      </c>
      <c r="D72" s="29" t="s">
        <v>125</v>
      </c>
      <c r="E72" s="861"/>
      <c r="F72" s="213">
        <f>F75+F76+F77</f>
        <v>227.5</v>
      </c>
      <c r="G72" s="150"/>
      <c r="H72" s="150"/>
      <c r="I72" s="150"/>
      <c r="J72" s="150"/>
      <c r="K72" s="150"/>
      <c r="L72" s="150"/>
      <c r="M72" s="351"/>
    </row>
    <row r="73" spans="1:13" ht="15" x14ac:dyDescent="0.2">
      <c r="A73" s="1119"/>
      <c r="B73" s="862"/>
      <c r="C73" s="121" t="s">
        <v>63</v>
      </c>
      <c r="D73" s="846" t="s">
        <v>64</v>
      </c>
      <c r="E73" s="997">
        <f>10/100</f>
        <v>0.1</v>
      </c>
      <c r="F73" s="854">
        <f>E73*F72</f>
        <v>22.75</v>
      </c>
      <c r="G73" s="863"/>
      <c r="H73" s="150"/>
      <c r="I73" s="150"/>
      <c r="J73" s="24"/>
      <c r="K73" s="150"/>
      <c r="L73" s="150"/>
      <c r="M73" s="25"/>
    </row>
    <row r="74" spans="1:13" ht="15" x14ac:dyDescent="0.2">
      <c r="A74" s="1119"/>
      <c r="B74" s="134"/>
      <c r="C74" s="57" t="s">
        <v>253</v>
      </c>
      <c r="D74" s="133" t="s">
        <v>78</v>
      </c>
      <c r="E74" s="61">
        <f>7.87/100</f>
        <v>7.8700000000000006E-2</v>
      </c>
      <c r="F74" s="61">
        <f>F72*E74</f>
        <v>17.904250000000001</v>
      </c>
      <c r="G74" s="24"/>
      <c r="H74" s="24"/>
      <c r="I74" s="24"/>
      <c r="J74" s="24"/>
      <c r="K74" s="40"/>
      <c r="L74" s="24"/>
      <c r="M74" s="25"/>
    </row>
    <row r="75" spans="1:13" ht="30" x14ac:dyDescent="0.2">
      <c r="A75" s="1119"/>
      <c r="B75" s="132" t="s">
        <v>547</v>
      </c>
      <c r="C75" s="143" t="s">
        <v>249</v>
      </c>
      <c r="D75" s="133" t="s">
        <v>125</v>
      </c>
      <c r="E75" s="63" t="s">
        <v>72</v>
      </c>
      <c r="F75" s="334">
        <v>107.5</v>
      </c>
      <c r="G75" s="24"/>
      <c r="H75" s="24"/>
      <c r="I75" s="24"/>
      <c r="J75" s="24"/>
      <c r="K75" s="24"/>
      <c r="L75" s="24"/>
      <c r="M75" s="25"/>
    </row>
    <row r="76" spans="1:13" ht="30" x14ac:dyDescent="0.2">
      <c r="A76" s="1119"/>
      <c r="B76" s="864" t="s">
        <v>540</v>
      </c>
      <c r="C76" s="633" t="s">
        <v>250</v>
      </c>
      <c r="D76" s="846" t="s">
        <v>125</v>
      </c>
      <c r="E76" s="63" t="s">
        <v>72</v>
      </c>
      <c r="F76" s="865">
        <v>85</v>
      </c>
      <c r="G76" s="855"/>
      <c r="H76" s="24"/>
      <c r="I76" s="24"/>
      <c r="J76" s="24"/>
      <c r="K76" s="24"/>
      <c r="L76" s="24"/>
      <c r="M76" s="25"/>
    </row>
    <row r="77" spans="1:13" ht="30" x14ac:dyDescent="0.2">
      <c r="A77" s="1119"/>
      <c r="B77" s="866" t="s">
        <v>541</v>
      </c>
      <c r="C77" s="633" t="s">
        <v>251</v>
      </c>
      <c r="D77" s="846" t="s">
        <v>125</v>
      </c>
      <c r="E77" s="63" t="s">
        <v>72</v>
      </c>
      <c r="F77" s="865">
        <v>35</v>
      </c>
      <c r="G77" s="855"/>
      <c r="H77" s="24"/>
      <c r="I77" s="24"/>
      <c r="J77" s="24"/>
      <c r="K77" s="24"/>
      <c r="L77" s="24"/>
      <c r="M77" s="25"/>
    </row>
    <row r="78" spans="1:13" ht="15.75" thickBot="1" x14ac:dyDescent="0.25">
      <c r="A78" s="1119"/>
      <c r="B78" s="740"/>
      <c r="C78" s="867" t="s">
        <v>85</v>
      </c>
      <c r="D78" s="868" t="s">
        <v>78</v>
      </c>
      <c r="E78" s="1000">
        <f>0.55/100</f>
        <v>5.5000000000000005E-3</v>
      </c>
      <c r="F78" s="1001">
        <f>E78*F72</f>
        <v>1.2512500000000002</v>
      </c>
      <c r="G78" s="49"/>
      <c r="H78" s="24"/>
      <c r="I78" s="67"/>
      <c r="J78" s="67"/>
      <c r="K78" s="67"/>
      <c r="L78" s="67"/>
      <c r="M78" s="95"/>
    </row>
    <row r="79" spans="1:13" ht="75" x14ac:dyDescent="0.2">
      <c r="A79" s="1139">
        <v>3</v>
      </c>
      <c r="B79" s="635" t="s">
        <v>252</v>
      </c>
      <c r="C79" s="869" t="s">
        <v>256</v>
      </c>
      <c r="D79" s="16" t="s">
        <v>120</v>
      </c>
      <c r="E79" s="97"/>
      <c r="F79" s="97">
        <v>1</v>
      </c>
      <c r="G79" s="60"/>
      <c r="H79" s="53"/>
      <c r="I79" s="53"/>
      <c r="J79" s="53"/>
      <c r="K79" s="53"/>
      <c r="L79" s="53"/>
      <c r="M79" s="125"/>
    </row>
    <row r="80" spans="1:13" ht="15" x14ac:dyDescent="0.2">
      <c r="A80" s="1140"/>
      <c r="B80" s="132"/>
      <c r="C80" s="57" t="s">
        <v>63</v>
      </c>
      <c r="D80" s="133" t="s">
        <v>64</v>
      </c>
      <c r="E80" s="61">
        <v>6.02</v>
      </c>
      <c r="F80" s="61">
        <f>F79*E80</f>
        <v>6.02</v>
      </c>
      <c r="G80" s="24"/>
      <c r="H80" s="24"/>
      <c r="I80" s="24"/>
      <c r="J80" s="24"/>
      <c r="K80" s="24"/>
      <c r="L80" s="24"/>
      <c r="M80" s="25"/>
    </row>
    <row r="81" spans="1:13" ht="15" x14ac:dyDescent="0.2">
      <c r="A81" s="1140"/>
      <c r="B81" s="134"/>
      <c r="C81" s="57" t="s">
        <v>253</v>
      </c>
      <c r="D81" s="133" t="s">
        <v>78</v>
      </c>
      <c r="E81" s="61">
        <v>0.06</v>
      </c>
      <c r="F81" s="61">
        <f>F79*E81</f>
        <v>0.06</v>
      </c>
      <c r="G81" s="24"/>
      <c r="H81" s="24"/>
      <c r="I81" s="24"/>
      <c r="J81" s="24"/>
      <c r="K81" s="40"/>
      <c r="L81" s="24"/>
      <c r="M81" s="25"/>
    </row>
    <row r="82" spans="1:13" ht="15" x14ac:dyDescent="0.2">
      <c r="A82" s="1140"/>
      <c r="B82" s="132" t="s">
        <v>543</v>
      </c>
      <c r="C82" s="57" t="s">
        <v>122</v>
      </c>
      <c r="D82" s="133" t="s">
        <v>87</v>
      </c>
      <c r="E82" s="63" t="s">
        <v>72</v>
      </c>
      <c r="F82" s="334">
        <v>1</v>
      </c>
      <c r="G82" s="24"/>
      <c r="H82" s="24"/>
      <c r="I82" s="24"/>
      <c r="J82" s="24"/>
      <c r="K82" s="24"/>
      <c r="L82" s="24"/>
      <c r="M82" s="25"/>
    </row>
    <row r="83" spans="1:13" ht="15" x14ac:dyDescent="0.2">
      <c r="A83" s="1140"/>
      <c r="B83" s="132" t="s">
        <v>546</v>
      </c>
      <c r="C83" s="57" t="s">
        <v>123</v>
      </c>
      <c r="D83" s="133" t="s">
        <v>87</v>
      </c>
      <c r="E83" s="63" t="s">
        <v>72</v>
      </c>
      <c r="F83" s="334">
        <v>8</v>
      </c>
      <c r="G83" s="24"/>
      <c r="H83" s="24"/>
      <c r="I83" s="24"/>
      <c r="J83" s="24"/>
      <c r="K83" s="24"/>
      <c r="L83" s="24"/>
      <c r="M83" s="25"/>
    </row>
    <row r="84" spans="1:13" ht="15" x14ac:dyDescent="0.2">
      <c r="A84" s="1140"/>
      <c r="B84" s="132" t="s">
        <v>544</v>
      </c>
      <c r="C84" s="57" t="s">
        <v>124</v>
      </c>
      <c r="D84" s="133" t="s">
        <v>87</v>
      </c>
      <c r="E84" s="63" t="s">
        <v>72</v>
      </c>
      <c r="F84" s="334">
        <v>10</v>
      </c>
      <c r="G84" s="24"/>
      <c r="H84" s="24"/>
      <c r="I84" s="24"/>
      <c r="J84" s="24"/>
      <c r="K84" s="24"/>
      <c r="L84" s="24"/>
      <c r="M84" s="25"/>
    </row>
    <row r="85" spans="1:13" ht="15" x14ac:dyDescent="0.2">
      <c r="A85" s="1140"/>
      <c r="B85" s="132" t="s">
        <v>545</v>
      </c>
      <c r="C85" s="57" t="s">
        <v>254</v>
      </c>
      <c r="D85" s="133" t="s">
        <v>87</v>
      </c>
      <c r="E85" s="63" t="s">
        <v>72</v>
      </c>
      <c r="F85" s="334">
        <v>6</v>
      </c>
      <c r="G85" s="24"/>
      <c r="H85" s="24"/>
      <c r="I85" s="24"/>
      <c r="J85" s="24"/>
      <c r="K85" s="24"/>
      <c r="L85" s="24"/>
      <c r="M85" s="25"/>
    </row>
    <row r="86" spans="1:13" ht="30" x14ac:dyDescent="0.2">
      <c r="A86" s="1140"/>
      <c r="B86" s="132" t="s">
        <v>542</v>
      </c>
      <c r="C86" s="121" t="s">
        <v>255</v>
      </c>
      <c r="D86" s="133" t="s">
        <v>87</v>
      </c>
      <c r="E86" s="63" t="s">
        <v>72</v>
      </c>
      <c r="F86" s="334">
        <v>1</v>
      </c>
      <c r="G86" s="24"/>
      <c r="H86" s="24"/>
      <c r="I86" s="24"/>
      <c r="J86" s="24"/>
      <c r="K86" s="24"/>
      <c r="L86" s="24"/>
      <c r="M86" s="25"/>
    </row>
    <row r="87" spans="1:13" ht="15.75" thickBot="1" x14ac:dyDescent="0.25">
      <c r="A87" s="1141"/>
      <c r="B87" s="350"/>
      <c r="C87" s="58" t="s">
        <v>85</v>
      </c>
      <c r="D87" s="176" t="s">
        <v>78</v>
      </c>
      <c r="E87" s="70">
        <v>2</v>
      </c>
      <c r="F87" s="70">
        <f>F79*E87</f>
        <v>2</v>
      </c>
      <c r="G87" s="49"/>
      <c r="H87" s="24"/>
      <c r="I87" s="27"/>
      <c r="J87" s="27"/>
      <c r="K87" s="27"/>
      <c r="L87" s="27"/>
      <c r="M87" s="28"/>
    </row>
    <row r="88" spans="1:13" ht="15" x14ac:dyDescent="0.2">
      <c r="A88" s="144"/>
      <c r="B88" s="78"/>
      <c r="C88" s="629" t="s">
        <v>113</v>
      </c>
      <c r="D88" s="146"/>
      <c r="E88" s="147"/>
      <c r="F88" s="147"/>
      <c r="G88" s="146"/>
      <c r="H88" s="148"/>
      <c r="I88" s="148"/>
      <c r="J88" s="148"/>
      <c r="K88" s="148"/>
      <c r="L88" s="148"/>
      <c r="M88" s="148"/>
    </row>
    <row r="89" spans="1:13" ht="15" x14ac:dyDescent="0.2">
      <c r="A89" s="870"/>
      <c r="B89" s="201"/>
      <c r="C89" s="31" t="s">
        <v>150</v>
      </c>
      <c r="D89" s="117"/>
      <c r="E89" s="398" t="s">
        <v>757</v>
      </c>
      <c r="F89" s="61"/>
      <c r="G89" s="409"/>
      <c r="H89" s="409"/>
      <c r="I89" s="409"/>
      <c r="J89" s="409"/>
      <c r="K89" s="409"/>
      <c r="L89" s="409"/>
      <c r="M89" s="871"/>
    </row>
    <row r="90" spans="1:13" ht="15" x14ac:dyDescent="0.2">
      <c r="A90" s="870"/>
      <c r="B90" s="201"/>
      <c r="C90" s="628" t="s">
        <v>24</v>
      </c>
      <c r="D90" s="117"/>
      <c r="E90" s="398"/>
      <c r="F90" s="61"/>
      <c r="G90" s="409"/>
      <c r="H90" s="409"/>
      <c r="I90" s="409"/>
      <c r="J90" s="409"/>
      <c r="K90" s="409"/>
      <c r="L90" s="409"/>
      <c r="M90" s="872"/>
    </row>
    <row r="91" spans="1:13" ht="15" x14ac:dyDescent="0.2">
      <c r="A91" s="328"/>
      <c r="B91" s="132"/>
      <c r="C91" s="57" t="s">
        <v>151</v>
      </c>
      <c r="D91" s="138"/>
      <c r="E91" s="398" t="s">
        <v>757</v>
      </c>
      <c r="F91" s="61"/>
      <c r="G91" s="24"/>
      <c r="H91" s="24"/>
      <c r="I91" s="24"/>
      <c r="J91" s="24"/>
      <c r="K91" s="24"/>
      <c r="L91" s="24"/>
      <c r="M91" s="25"/>
    </row>
    <row r="92" spans="1:13" ht="15" x14ac:dyDescent="0.2">
      <c r="A92" s="328"/>
      <c r="B92" s="132"/>
      <c r="C92" s="628" t="s">
        <v>113</v>
      </c>
      <c r="D92" s="133"/>
      <c r="E92" s="398"/>
      <c r="F92" s="61"/>
      <c r="G92" s="24"/>
      <c r="H92" s="24"/>
      <c r="I92" s="24"/>
      <c r="J92" s="24"/>
      <c r="K92" s="24"/>
      <c r="L92" s="24"/>
      <c r="M92" s="118"/>
    </row>
    <row r="93" spans="1:13" ht="15" x14ac:dyDescent="0.2">
      <c r="A93" s="328"/>
      <c r="B93" s="134"/>
      <c r="C93" s="31" t="s">
        <v>152</v>
      </c>
      <c r="D93" s="138"/>
      <c r="E93" s="398" t="s">
        <v>757</v>
      </c>
      <c r="F93" s="61"/>
      <c r="G93" s="24"/>
      <c r="H93" s="24"/>
      <c r="I93" s="24"/>
      <c r="J93" s="24"/>
      <c r="K93" s="24"/>
      <c r="L93" s="24"/>
      <c r="M93" s="25"/>
    </row>
    <row r="94" spans="1:13" s="873" customFormat="1" ht="15" x14ac:dyDescent="0.2">
      <c r="A94" s="331"/>
      <c r="B94" s="991"/>
      <c r="C94" s="627" t="s">
        <v>153</v>
      </c>
      <c r="D94" s="333"/>
      <c r="E94" s="398"/>
      <c r="F94" s="334"/>
      <c r="G94" s="669"/>
      <c r="H94" s="669"/>
      <c r="I94" s="669"/>
      <c r="J94" s="669"/>
      <c r="K94" s="669"/>
      <c r="L94" s="669"/>
      <c r="M94" s="118"/>
    </row>
    <row r="95" spans="1:13" s="873" customFormat="1" ht="15" x14ac:dyDescent="0.2">
      <c r="A95" s="331"/>
      <c r="B95" s="332"/>
      <c r="C95" s="628" t="s">
        <v>366</v>
      </c>
      <c r="D95" s="333"/>
      <c r="E95" s="334"/>
      <c r="F95" s="334"/>
      <c r="G95" s="669"/>
      <c r="H95" s="669"/>
      <c r="I95" s="669"/>
      <c r="J95" s="669"/>
      <c r="K95" s="669"/>
      <c r="L95" s="669"/>
      <c r="M95" s="118"/>
    </row>
    <row r="96" spans="1:13" ht="15.75" thickBot="1" x14ac:dyDescent="0.25">
      <c r="A96" s="1002"/>
      <c r="B96" s="139"/>
      <c r="C96" s="634" t="s">
        <v>149</v>
      </c>
      <c r="D96" s="140"/>
      <c r="E96" s="141"/>
      <c r="F96" s="141"/>
      <c r="G96" s="142"/>
      <c r="H96" s="142"/>
      <c r="I96" s="142"/>
      <c r="J96" s="142"/>
      <c r="K96" s="142"/>
      <c r="L96" s="142"/>
      <c r="M96" s="1003"/>
    </row>
  </sheetData>
  <sheetProtection password="CF7A" sheet="1" objects="1" scenarios="1"/>
  <protectedRanges>
    <protectedRange sqref="D88:G96" name="Range2"/>
    <protectedRange sqref="G9:M96" name="Range1"/>
  </protectedRanges>
  <autoFilter ref="A7:M96"/>
  <mergeCells count="29">
    <mergeCell ref="A9:A10"/>
    <mergeCell ref="B9:B10"/>
    <mergeCell ref="B49:B50"/>
    <mergeCell ref="A43:A48"/>
    <mergeCell ref="I5:J5"/>
    <mergeCell ref="A27:A31"/>
    <mergeCell ref="A24:A26"/>
    <mergeCell ref="A37:A42"/>
    <mergeCell ref="A11:A17"/>
    <mergeCell ref="A18:A23"/>
    <mergeCell ref="A49:A50"/>
    <mergeCell ref="K5:L5"/>
    <mergeCell ref="M5:M6"/>
    <mergeCell ref="B1:L1"/>
    <mergeCell ref="B2:L2"/>
    <mergeCell ref="B3:L3"/>
    <mergeCell ref="A4:M4"/>
    <mergeCell ref="A5:A6"/>
    <mergeCell ref="B5:B6"/>
    <mergeCell ref="C5:C6"/>
    <mergeCell ref="D5:D6"/>
    <mergeCell ref="E5:F5"/>
    <mergeCell ref="G5:H5"/>
    <mergeCell ref="A79:A87"/>
    <mergeCell ref="A32:A36"/>
    <mergeCell ref="A67:A71"/>
    <mergeCell ref="A72:A78"/>
    <mergeCell ref="A57:A58"/>
    <mergeCell ref="A51:A56"/>
  </mergeCells>
  <conditionalFormatting sqref="B18:D23 B42:D50 D41 C40:D40 B28:D30 E28:F31 B37:D39 C31:D31 E37:F50">
    <cfRule type="cellIs" dxfId="186" priority="48" stopIfTrue="1" operator="equal">
      <formula>8223.307275</formula>
    </cfRule>
  </conditionalFormatting>
  <conditionalFormatting sqref="B52:D55">
    <cfRule type="cellIs" dxfId="185" priority="42" stopIfTrue="1" operator="equal">
      <formula>8223.307275</formula>
    </cfRule>
  </conditionalFormatting>
  <conditionalFormatting sqref="B27 D27">
    <cfRule type="cellIs" dxfId="184" priority="39" stopIfTrue="1" operator="equal">
      <formula>8223.307275</formula>
    </cfRule>
  </conditionalFormatting>
  <conditionalFormatting sqref="C27">
    <cfRule type="cellIs" dxfId="183" priority="35" stopIfTrue="1" operator="equal">
      <formula>8223.307275</formula>
    </cfRule>
  </conditionalFormatting>
  <conditionalFormatting sqref="B25:D26 B24 D24">
    <cfRule type="cellIs" dxfId="182" priority="34" stopIfTrue="1" operator="equal">
      <formula>8223.307275</formula>
    </cfRule>
  </conditionalFormatting>
  <conditionalFormatting sqref="C24">
    <cfRule type="cellIs" dxfId="181" priority="33" stopIfTrue="1" operator="equal">
      <formula>8223.307275</formula>
    </cfRule>
  </conditionalFormatting>
  <conditionalFormatting sqref="B33:D33 C32:D32">
    <cfRule type="cellIs" dxfId="180" priority="32" stopIfTrue="1" operator="equal">
      <formula>8223.307275</formula>
    </cfRule>
  </conditionalFormatting>
  <conditionalFormatting sqref="B35:D35 B70">
    <cfRule type="cellIs" dxfId="179" priority="31" stopIfTrue="1" operator="equal">
      <formula>8223.307275</formula>
    </cfRule>
  </conditionalFormatting>
  <conditionalFormatting sqref="B67:D68">
    <cfRule type="cellIs" dxfId="178" priority="28" stopIfTrue="1" operator="equal">
      <formula>8223.307275</formula>
    </cfRule>
  </conditionalFormatting>
  <conditionalFormatting sqref="B69:D69 B71:D71 C70:D70">
    <cfRule type="cellIs" dxfId="177" priority="27" stopIfTrue="1" operator="equal">
      <formula>8223.307275</formula>
    </cfRule>
  </conditionalFormatting>
  <conditionalFormatting sqref="E18:F23">
    <cfRule type="cellIs" dxfId="176" priority="24" stopIfTrue="1" operator="equal">
      <formula>8223.307275</formula>
    </cfRule>
  </conditionalFormatting>
  <conditionalFormatting sqref="E52:F52 F53:F55">
    <cfRule type="cellIs" dxfId="175" priority="23" stopIfTrue="1" operator="equal">
      <formula>8223.307275</formula>
    </cfRule>
  </conditionalFormatting>
  <conditionalFormatting sqref="E27:F27">
    <cfRule type="cellIs" dxfId="174" priority="22" stopIfTrue="1" operator="equal">
      <formula>8223.307275</formula>
    </cfRule>
  </conditionalFormatting>
  <conditionalFormatting sqref="E53:E55">
    <cfRule type="cellIs" dxfId="173" priority="21" stopIfTrue="1" operator="equal">
      <formula>8223.307275</formula>
    </cfRule>
  </conditionalFormatting>
  <conditionalFormatting sqref="E24:F26">
    <cfRule type="cellIs" dxfId="172" priority="20" stopIfTrue="1" operator="equal">
      <formula>8223.307275</formula>
    </cfRule>
  </conditionalFormatting>
  <conditionalFormatting sqref="E32:F33">
    <cfRule type="cellIs" dxfId="171" priority="19" stopIfTrue="1" operator="equal">
      <formula>8223.307275</formula>
    </cfRule>
  </conditionalFormatting>
  <conditionalFormatting sqref="E35:F35 F34">
    <cfRule type="cellIs" dxfId="170" priority="18" stopIfTrue="1" operator="equal">
      <formula>8223.307275</formula>
    </cfRule>
  </conditionalFormatting>
  <conditionalFormatting sqref="E67:F67 E68">
    <cfRule type="cellIs" dxfId="169" priority="15" stopIfTrue="1" operator="equal">
      <formula>8223.307275</formula>
    </cfRule>
  </conditionalFormatting>
  <conditionalFormatting sqref="E69:E71">
    <cfRule type="cellIs" dxfId="168" priority="14" stopIfTrue="1" operator="equal">
      <formula>8223.307275</formula>
    </cfRule>
  </conditionalFormatting>
  <conditionalFormatting sqref="F68">
    <cfRule type="cellIs" dxfId="167" priority="11" stopIfTrue="1" operator="equal">
      <formula>8223.307275</formula>
    </cfRule>
  </conditionalFormatting>
  <conditionalFormatting sqref="F69">
    <cfRule type="cellIs" dxfId="166" priority="10" stopIfTrue="1" operator="equal">
      <formula>8223.307275</formula>
    </cfRule>
  </conditionalFormatting>
  <conditionalFormatting sqref="F70">
    <cfRule type="cellIs" dxfId="165" priority="9" stopIfTrue="1" operator="equal">
      <formula>8223.307275</formula>
    </cfRule>
  </conditionalFormatting>
  <conditionalFormatting sqref="F71">
    <cfRule type="cellIs" dxfId="164" priority="8" stopIfTrue="1" operator="equal">
      <formula>8223.307275</formula>
    </cfRule>
  </conditionalFormatting>
  <conditionalFormatting sqref="B31">
    <cfRule type="cellIs" dxfId="163" priority="7" stopIfTrue="1" operator="equal">
      <formula>8223.307275</formula>
    </cfRule>
  </conditionalFormatting>
  <conditionalFormatting sqref="B32">
    <cfRule type="cellIs" dxfId="162" priority="6" stopIfTrue="1" operator="equal">
      <formula>8223.307275</formula>
    </cfRule>
  </conditionalFormatting>
  <conditionalFormatting sqref="B34:E34">
    <cfRule type="cellIs" dxfId="161" priority="5" stopIfTrue="1" operator="equal">
      <formula>8223.307275</formula>
    </cfRule>
  </conditionalFormatting>
  <conditionalFormatting sqref="C36:F36">
    <cfRule type="cellIs" dxfId="160" priority="4" stopIfTrue="1" operator="equal">
      <formula>8223.307275</formula>
    </cfRule>
  </conditionalFormatting>
  <conditionalFormatting sqref="B36">
    <cfRule type="cellIs" dxfId="159" priority="3" stopIfTrue="1" operator="equal">
      <formula>8223.307275</formula>
    </cfRule>
  </conditionalFormatting>
  <conditionalFormatting sqref="E56">
    <cfRule type="cellIs" dxfId="158" priority="1" stopIfTrue="1" operator="equal">
      <formula>8223.307275</formula>
    </cfRule>
  </conditionalFormatting>
  <pageMargins left="0.77" right="0" top="0.35" bottom="0.23622047244094491" header="0.19685039370078741" footer="0.19685039370078741"/>
  <pageSetup paperSize="9" scale="90" orientation="landscape" horizontalDpi="4294967295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26</vt:i4>
      </vt:variant>
    </vt:vector>
  </HeadingPairs>
  <TitlesOfParts>
    <vt:vector size="43" baseType="lpstr">
      <vt:lpstr>ნაკრები ძირითადი</vt:lpstr>
      <vt:lpstr>გარე  საფეხ. და ველო-ბილიკებ</vt:lpstr>
      <vt:lpstr>ავტოსადგომი</vt:lpstr>
      <vt:lpstr>შიდა საფეხ. და ველო-ბილიკები</vt:lpstr>
      <vt:lpstr>კედელი და მოაჯირი</vt:lpstr>
      <vt:lpstr>N1 შადრევნის მოედანი </vt:lpstr>
      <vt:lpstr>შადრევანი N1</vt:lpstr>
      <vt:lpstr>N2 შადრევნის მოედანი</vt:lpstr>
      <vt:lpstr>გარე განათება</vt:lpstr>
      <vt:lpstr>ტრენაჟორები</vt:lpstr>
      <vt:lpstr>საბავშვო ატრაქციონები</vt:lpstr>
      <vt:lpstr>ბანერი</vt:lpstr>
      <vt:lpstr>გამწვანება</vt:lpstr>
      <vt:lpstr>კიბეები და საფეხ.ბილიკები</vt:lpstr>
      <vt:lpstr>სათამაშო მოედნები</vt:lpstr>
      <vt:lpstr>წყარო</vt:lpstr>
      <vt:lpstr>დასასვენებელი სკამები</vt:lpstr>
      <vt:lpstr>'N2 შადრევნის მოედანი'!Print_Area</vt:lpstr>
      <vt:lpstr>ბანერი!Print_Area</vt:lpstr>
      <vt:lpstr>გამწვანება!Print_Area</vt:lpstr>
      <vt:lpstr>'დასასვენებელი სკამები'!Print_Area</vt:lpstr>
      <vt:lpstr>'საბავშვო ატრაქციონები'!Print_Area</vt:lpstr>
      <vt:lpstr>'სათამაშო მოედნები'!Print_Area</vt:lpstr>
      <vt:lpstr>ტრენაჟორები!Print_Area</vt:lpstr>
      <vt:lpstr>'შადრევანი N1'!Print_Area</vt:lpstr>
      <vt:lpstr>'შიდა საფეხ. და ველო-ბილიკები'!Print_Area</vt:lpstr>
      <vt:lpstr>'N1 შადრევნის მოედანი '!Print_Titles</vt:lpstr>
      <vt:lpstr>'N2 შადრევნის მოედანი'!Print_Titles</vt:lpstr>
      <vt:lpstr>ავტოსადგომი!Print_Titles</vt:lpstr>
      <vt:lpstr>ბანერი!Print_Titles</vt:lpstr>
      <vt:lpstr>გამწვანება!Print_Titles</vt:lpstr>
      <vt:lpstr>'გარე  საფეხ. და ველო-ბილიკებ'!Print_Titles</vt:lpstr>
      <vt:lpstr>'გარე განათება'!Print_Titles</vt:lpstr>
      <vt:lpstr>'დასასვენებელი სკამები'!Print_Titles</vt:lpstr>
      <vt:lpstr>'კედელი და მოაჯირი'!Print_Titles</vt:lpstr>
      <vt:lpstr>'კიბეები და საფეხ.ბილიკები'!Print_Titles</vt:lpstr>
      <vt:lpstr>'ნაკრები ძირითადი'!Print_Titles</vt:lpstr>
      <vt:lpstr>'საბავშვო ატრაქციონები'!Print_Titles</vt:lpstr>
      <vt:lpstr>'სათამაშო მოედნები'!Print_Titles</vt:lpstr>
      <vt:lpstr>ტრენაჟორები!Print_Titles</vt:lpstr>
      <vt:lpstr>'შადრევანი N1'!Print_Titles</vt:lpstr>
      <vt:lpstr>'შიდა საფეხ. და ველო-ბილიკები'!Print_Titles</vt:lpstr>
      <vt:lpstr>წყარო!Print_Titles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</dc:creator>
  <cp:lastModifiedBy>Goderdzi Lazarashvili</cp:lastModifiedBy>
  <cp:lastPrinted>2022-08-16T18:08:51Z</cp:lastPrinted>
  <dcterms:created xsi:type="dcterms:W3CDTF">2019-09-26T15:15:03Z</dcterms:created>
  <dcterms:modified xsi:type="dcterms:W3CDTF">2022-08-17T12:15:15Z</dcterms:modified>
</cp:coreProperties>
</file>