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04" firstSheet="1" activeTab="3"/>
  </bookViews>
  <sheets>
    <sheet name="დეფექტური აქტი" sheetId="1" state="hidden" r:id="rId1"/>
    <sheet name="ნაკრები ხარჯთაღრიცხვა" sheetId="3" r:id="rId2"/>
    <sheet name="კერბულაში" sheetId="7" r:id="rId3"/>
    <sheet name="დევდარიანები" sheetId="2" r:id="rId4"/>
    <sheet name="gvimbrala" sheetId="13" state="hidden" r:id="rId5"/>
  </sheets>
  <definedNames>
    <definedName name="_xlnm._FilterDatabase" localSheetId="4" hidden="1">gvimbrala!$A$5:$M$140</definedName>
    <definedName name="_xlnm._FilterDatabase" localSheetId="3" hidden="1">დევდარიანები!$A$7:$M$7</definedName>
    <definedName name="_xlnm._FilterDatabase" localSheetId="2" hidden="1">კერბულაში!$A$7:$M$88</definedName>
    <definedName name="_xlnm.Print_Area" localSheetId="4">gvimbrala!$A$1:$M$186</definedName>
    <definedName name="_xlnm.Print_Area" localSheetId="3">დევდარიანები!$A$1:$M$135</definedName>
    <definedName name="_xlnm.Print_Area" localSheetId="0">'დეფექტური აქტი'!$A$1:$E$43</definedName>
    <definedName name="_xlnm.Print_Area" localSheetId="2">კერბულაში!$A$1:$M$92</definedName>
    <definedName name="_xlnm.Print_Area" localSheetId="1">'ნაკრები ხარჯთაღრიცხვა'!$A$1:$F$22</definedName>
  </definedNames>
  <calcPr calcId="162913" calcMode="manual"/>
</workbook>
</file>

<file path=xl/calcChain.xml><?xml version="1.0" encoding="utf-8"?>
<calcChain xmlns="http://schemas.openxmlformats.org/spreadsheetml/2006/main">
  <c r="F124" i="2" l="1"/>
  <c r="F123" i="2"/>
  <c r="F122" i="2"/>
  <c r="F121" i="2"/>
  <c r="F120" i="2"/>
  <c r="F119" i="2"/>
  <c r="F118" i="2"/>
  <c r="F117" i="2"/>
  <c r="F116" i="2"/>
  <c r="F115" i="2"/>
  <c r="F72" i="7"/>
  <c r="F73" i="7"/>
  <c r="F74" i="7"/>
  <c r="F75" i="7"/>
  <c r="F76" i="7"/>
  <c r="F77" i="7"/>
  <c r="F78" i="7"/>
  <c r="F79" i="7"/>
  <c r="F80" i="7"/>
  <c r="F81" i="7"/>
  <c r="F70" i="2" l="1"/>
  <c r="F68" i="2"/>
  <c r="F43" i="7" l="1"/>
  <c r="F52" i="7"/>
  <c r="F73" i="2"/>
  <c r="F105" i="2"/>
  <c r="F106" i="2" s="1"/>
  <c r="F97" i="2"/>
  <c r="F102" i="2" s="1"/>
  <c r="F103" i="2" l="1"/>
  <c r="F111" i="2"/>
  <c r="F104" i="2"/>
  <c r="F112" i="2"/>
  <c r="F98" i="2"/>
  <c r="F92" i="2" l="1"/>
  <c r="F46" i="7" l="1"/>
  <c r="F93" i="2"/>
  <c r="F80" i="2"/>
  <c r="F79" i="2"/>
  <c r="F81" i="2" s="1"/>
  <c r="F82" i="2" s="1"/>
  <c r="F77" i="2"/>
  <c r="F69" i="2"/>
  <c r="F41" i="7"/>
  <c r="F74" i="2"/>
  <c r="F67" i="2"/>
  <c r="F66" i="2"/>
  <c r="F65" i="2"/>
  <c r="F64" i="2"/>
  <c r="F63" i="2"/>
  <c r="F61" i="2"/>
  <c r="F60" i="2"/>
  <c r="F55" i="2"/>
  <c r="F54" i="2"/>
  <c r="F52" i="2"/>
  <c r="F51" i="2"/>
  <c r="F49" i="2"/>
  <c r="F48" i="2"/>
  <c r="F47" i="2"/>
  <c r="F44" i="2"/>
  <c r="F43" i="2"/>
  <c r="F31" i="2"/>
  <c r="F10" i="2"/>
  <c r="F15" i="2"/>
  <c r="F18" i="2"/>
  <c r="F17" i="2"/>
  <c r="F29" i="2"/>
  <c r="F28" i="2"/>
  <c r="F27" i="2"/>
  <c r="F26" i="2"/>
  <c r="F25" i="2"/>
  <c r="F24" i="2"/>
  <c r="F21" i="2"/>
  <c r="F20" i="2"/>
  <c r="F84" i="2" l="1"/>
  <c r="F83" i="2"/>
  <c r="F94" i="2"/>
  <c r="F65" i="7"/>
  <c r="F68" i="7" s="1"/>
  <c r="F53" i="7"/>
  <c r="F50" i="7"/>
  <c r="F42" i="7"/>
  <c r="F58" i="7"/>
  <c r="F63" i="7" s="1"/>
  <c r="F47" i="7"/>
  <c r="F48" i="7"/>
  <c r="E45" i="7"/>
  <c r="E44" i="7"/>
  <c r="F34" i="7"/>
  <c r="F35" i="7" s="1"/>
  <c r="F50" i="2"/>
  <c r="F30" i="7"/>
  <c r="F28" i="7"/>
  <c r="F27" i="7"/>
  <c r="F26" i="7"/>
  <c r="F25" i="7"/>
  <c r="F24" i="7"/>
  <c r="F23" i="7"/>
  <c r="F20" i="7"/>
  <c r="F19" i="7"/>
  <c r="F16" i="7"/>
  <c r="F14" i="7"/>
  <c r="F9" i="7"/>
  <c r="E11" i="7"/>
  <c r="F11" i="7" s="1"/>
  <c r="E12" i="7"/>
  <c r="F17" i="7"/>
  <c r="F85" i="2"/>
  <c r="F86" i="2" s="1"/>
  <c r="F35" i="2"/>
  <c r="F36" i="2" s="1"/>
  <c r="F67" i="7" l="1"/>
  <c r="F66" i="7"/>
  <c r="F69" i="7"/>
  <c r="F54" i="7"/>
  <c r="F64" i="7"/>
  <c r="F59" i="7"/>
  <c r="F44" i="7"/>
  <c r="F45" i="7"/>
  <c r="F75" i="2"/>
  <c r="F55" i="7" l="1"/>
  <c r="F57" i="7"/>
  <c r="F56" i="7"/>
  <c r="F179" i="13" l="1"/>
  <c r="F178" i="13"/>
  <c r="J178" i="13" s="1"/>
  <c r="F177" i="13"/>
  <c r="J177" i="13" s="1"/>
  <c r="F176" i="13"/>
  <c r="F175" i="13"/>
  <c r="H175" i="13" s="1"/>
  <c r="F174" i="13"/>
  <c r="F173" i="13"/>
  <c r="J173" i="13" s="1"/>
  <c r="F172" i="13"/>
  <c r="H172" i="13" s="1"/>
  <c r="F171" i="13"/>
  <c r="H171" i="13" s="1"/>
  <c r="F170" i="13"/>
  <c r="H170" i="13" s="1"/>
  <c r="L169" i="13"/>
  <c r="J169" i="13"/>
  <c r="H169" i="13"/>
  <c r="L168" i="13"/>
  <c r="J168" i="13"/>
  <c r="H168" i="13"/>
  <c r="L165" i="13"/>
  <c r="J165" i="13"/>
  <c r="H165" i="13"/>
  <c r="L164" i="13"/>
  <c r="J164" i="13"/>
  <c r="H164" i="13"/>
  <c r="L163" i="13"/>
  <c r="J163" i="13"/>
  <c r="H163" i="13"/>
  <c r="L162" i="13"/>
  <c r="J162" i="13"/>
  <c r="H162" i="13"/>
  <c r="F160" i="13"/>
  <c r="F166" i="13" s="1"/>
  <c r="L156" i="13"/>
  <c r="J156" i="13"/>
  <c r="H156" i="13"/>
  <c r="L155" i="13"/>
  <c r="J155" i="13"/>
  <c r="H155" i="13"/>
  <c r="L154" i="13"/>
  <c r="J154" i="13"/>
  <c r="H154" i="13"/>
  <c r="F152" i="13"/>
  <c r="F157" i="13" s="1"/>
  <c r="L151" i="13"/>
  <c r="J151" i="13"/>
  <c r="H151" i="13"/>
  <c r="L150" i="13"/>
  <c r="J150" i="13"/>
  <c r="H150" i="13"/>
  <c r="L149" i="13"/>
  <c r="J149" i="13"/>
  <c r="H149" i="13"/>
  <c r="L148" i="13"/>
  <c r="J148" i="13"/>
  <c r="H148" i="13"/>
  <c r="L147" i="13"/>
  <c r="J147" i="13"/>
  <c r="H147" i="13"/>
  <c r="L146" i="13"/>
  <c r="J146" i="13"/>
  <c r="H146" i="13"/>
  <c r="L145" i="13"/>
  <c r="J145" i="13"/>
  <c r="H145" i="13"/>
  <c r="L144" i="13"/>
  <c r="J144" i="13"/>
  <c r="H144" i="13"/>
  <c r="F143" i="13"/>
  <c r="J143" i="13" s="1"/>
  <c r="L142" i="13"/>
  <c r="J142" i="13"/>
  <c r="H142" i="13"/>
  <c r="F141" i="13"/>
  <c r="F140" i="13"/>
  <c r="J140" i="13" s="1"/>
  <c r="L139" i="13"/>
  <c r="J139" i="13"/>
  <c r="H139" i="13"/>
  <c r="F138" i="13"/>
  <c r="J138" i="13" s="1"/>
  <c r="F137" i="13"/>
  <c r="J137" i="13" s="1"/>
  <c r="L136" i="13"/>
  <c r="J136" i="13"/>
  <c r="H136" i="13"/>
  <c r="L135" i="13"/>
  <c r="J135" i="13"/>
  <c r="H135" i="13"/>
  <c r="L134" i="13"/>
  <c r="J134" i="13"/>
  <c r="H134" i="13"/>
  <c r="L133" i="13"/>
  <c r="J133" i="13"/>
  <c r="H133" i="13"/>
  <c r="L132" i="13"/>
  <c r="J132" i="13"/>
  <c r="H132" i="13"/>
  <c r="F131" i="13"/>
  <c r="L130" i="13"/>
  <c r="J130" i="13"/>
  <c r="H130" i="13"/>
  <c r="F129" i="13"/>
  <c r="J129" i="13" s="1"/>
  <c r="F128" i="13"/>
  <c r="J128" i="13" s="1"/>
  <c r="F127" i="13"/>
  <c r="J127" i="13" s="1"/>
  <c r="L126" i="13"/>
  <c r="J126" i="13"/>
  <c r="H126" i="13"/>
  <c r="F125" i="13"/>
  <c r="H125" i="13" s="1"/>
  <c r="F124" i="13"/>
  <c r="J124" i="13" s="1"/>
  <c r="L123" i="13"/>
  <c r="J123" i="13"/>
  <c r="H123" i="13"/>
  <c r="L122" i="13"/>
  <c r="J122" i="13"/>
  <c r="H122" i="13"/>
  <c r="F121" i="13"/>
  <c r="J121" i="13" s="1"/>
  <c r="L120" i="13"/>
  <c r="J120" i="13"/>
  <c r="H120" i="13"/>
  <c r="F119" i="13"/>
  <c r="H119" i="13" s="1"/>
  <c r="F118" i="13"/>
  <c r="H118" i="13" s="1"/>
  <c r="L117" i="13"/>
  <c r="J117" i="13"/>
  <c r="H117" i="13"/>
  <c r="L116" i="13"/>
  <c r="J116" i="13"/>
  <c r="H116" i="13"/>
  <c r="E115" i="13"/>
  <c r="F115" i="13" s="1"/>
  <c r="E114" i="13"/>
  <c r="F114" i="13" s="1"/>
  <c r="L113" i="13"/>
  <c r="J113" i="13"/>
  <c r="H113" i="13"/>
  <c r="F112" i="13"/>
  <c r="H112" i="13" s="1"/>
  <c r="L111" i="13"/>
  <c r="J111" i="13"/>
  <c r="H111" i="13"/>
  <c r="L110" i="13"/>
  <c r="J110" i="13"/>
  <c r="H110" i="13"/>
  <c r="L109" i="13"/>
  <c r="J109" i="13"/>
  <c r="H109" i="13"/>
  <c r="L108" i="13"/>
  <c r="J108" i="13"/>
  <c r="H108" i="13"/>
  <c r="L107" i="13"/>
  <c r="J107" i="13"/>
  <c r="H107" i="13"/>
  <c r="F106" i="13"/>
  <c r="J106" i="13" s="1"/>
  <c r="L105" i="13"/>
  <c r="J105" i="13"/>
  <c r="H105" i="13"/>
  <c r="F104" i="13"/>
  <c r="F103" i="13"/>
  <c r="H103" i="13" s="1"/>
  <c r="F102" i="13"/>
  <c r="H102" i="13" s="1"/>
  <c r="F101" i="13"/>
  <c r="J101" i="13" s="1"/>
  <c r="F100" i="13"/>
  <c r="F99" i="13"/>
  <c r="H99" i="13" s="1"/>
  <c r="L98" i="13"/>
  <c r="J98" i="13"/>
  <c r="H98" i="13"/>
  <c r="F97" i="13"/>
  <c r="F96" i="13"/>
  <c r="J96" i="13" s="1"/>
  <c r="L95" i="13"/>
  <c r="J95" i="13"/>
  <c r="H95" i="13"/>
  <c r="L94" i="13"/>
  <c r="J94" i="13"/>
  <c r="H94" i="13"/>
  <c r="L93" i="13"/>
  <c r="J93" i="13"/>
  <c r="H93" i="13"/>
  <c r="L92" i="13"/>
  <c r="J92" i="13"/>
  <c r="H92" i="13"/>
  <c r="F91" i="13"/>
  <c r="H91" i="13" s="1"/>
  <c r="F90" i="13"/>
  <c r="H90" i="13" s="1"/>
  <c r="L89" i="13"/>
  <c r="J89" i="13"/>
  <c r="H89" i="13"/>
  <c r="F88" i="13"/>
  <c r="H88" i="13" s="1"/>
  <c r="F87" i="13"/>
  <c r="J87" i="13" s="1"/>
  <c r="F86" i="13"/>
  <c r="F85" i="13"/>
  <c r="H85" i="13" s="1"/>
  <c r="F84" i="13"/>
  <c r="J84" i="13" s="1"/>
  <c r="L83" i="13"/>
  <c r="J83" i="13"/>
  <c r="H83" i="13"/>
  <c r="F82" i="13"/>
  <c r="J82" i="13" s="1"/>
  <c r="L81" i="13"/>
  <c r="J81" i="13"/>
  <c r="H81" i="13"/>
  <c r="L80" i="13"/>
  <c r="J80" i="13"/>
  <c r="H80" i="13"/>
  <c r="F79" i="13"/>
  <c r="F78" i="13"/>
  <c r="H78" i="13" s="1"/>
  <c r="L77" i="13"/>
  <c r="J77" i="13"/>
  <c r="H77" i="13"/>
  <c r="F76" i="13"/>
  <c r="F75" i="13"/>
  <c r="J75" i="13" s="1"/>
  <c r="L74" i="13"/>
  <c r="J74" i="13"/>
  <c r="H74" i="13"/>
  <c r="L73" i="13"/>
  <c r="J73" i="13"/>
  <c r="H73" i="13"/>
  <c r="L72" i="13"/>
  <c r="J72" i="13"/>
  <c r="H72" i="13"/>
  <c r="L71" i="13"/>
  <c r="J71" i="13"/>
  <c r="H71" i="13"/>
  <c r="F70" i="13"/>
  <c r="F69" i="13"/>
  <c r="H69" i="13" s="1"/>
  <c r="L68" i="13"/>
  <c r="J68" i="13"/>
  <c r="H68" i="13"/>
  <c r="F67" i="13"/>
  <c r="F66" i="13"/>
  <c r="J66" i="13" s="1"/>
  <c r="F65" i="13"/>
  <c r="F64" i="13"/>
  <c r="H64" i="13" s="1"/>
  <c r="F63" i="13"/>
  <c r="J63" i="13" s="1"/>
  <c r="L62" i="13"/>
  <c r="J62" i="13"/>
  <c r="H62" i="13"/>
  <c r="F61" i="13"/>
  <c r="J61" i="13" s="1"/>
  <c r="L60" i="13"/>
  <c r="J60" i="13"/>
  <c r="H60" i="13"/>
  <c r="L59" i="13"/>
  <c r="J59" i="13"/>
  <c r="H59" i="13"/>
  <c r="F58" i="13"/>
  <c r="L58" i="13" s="1"/>
  <c r="F57" i="13"/>
  <c r="H57" i="13" s="1"/>
  <c r="L56" i="13"/>
  <c r="J56" i="13"/>
  <c r="H56" i="13"/>
  <c r="F55" i="13"/>
  <c r="F54" i="13"/>
  <c r="J54" i="13" s="1"/>
  <c r="L53" i="13"/>
  <c r="J53" i="13"/>
  <c r="H53" i="13"/>
  <c r="F52" i="13"/>
  <c r="J52" i="13" s="1"/>
  <c r="L51" i="13"/>
  <c r="J51" i="13"/>
  <c r="H51" i="13"/>
  <c r="F50" i="13"/>
  <c r="F49" i="13"/>
  <c r="J49" i="13" s="1"/>
  <c r="L48" i="13"/>
  <c r="J48" i="13"/>
  <c r="H48" i="13"/>
  <c r="F47" i="13"/>
  <c r="J47" i="13" s="1"/>
  <c r="F46" i="13"/>
  <c r="J46" i="13" s="1"/>
  <c r="L45" i="13"/>
  <c r="J45" i="13"/>
  <c r="H45" i="13"/>
  <c r="L44" i="13"/>
  <c r="J44" i="13"/>
  <c r="H44" i="13"/>
  <c r="F43" i="13"/>
  <c r="H43" i="13" s="1"/>
  <c r="F42" i="13"/>
  <c r="J42" i="13" s="1"/>
  <c r="L41" i="13"/>
  <c r="J41" i="13"/>
  <c r="H41" i="13"/>
  <c r="L40" i="13"/>
  <c r="J40" i="13"/>
  <c r="H40" i="13"/>
  <c r="L39" i="13"/>
  <c r="J39" i="13"/>
  <c r="H39" i="13"/>
  <c r="L38" i="13"/>
  <c r="J38" i="13"/>
  <c r="H38" i="13"/>
  <c r="F37" i="13"/>
  <c r="J37" i="13" s="1"/>
  <c r="L36" i="13"/>
  <c r="J36" i="13"/>
  <c r="H36" i="13"/>
  <c r="F29" i="13"/>
  <c r="J29" i="13" s="1"/>
  <c r="F28" i="13"/>
  <c r="J28" i="13" s="1"/>
  <c r="F25" i="13"/>
  <c r="F34" i="13" s="1"/>
  <c r="F24" i="13"/>
  <c r="J24" i="13" s="1"/>
  <c r="F23" i="13"/>
  <c r="L23" i="13" s="1"/>
  <c r="L22" i="13"/>
  <c r="J22" i="13"/>
  <c r="H22" i="13"/>
  <c r="F21" i="13"/>
  <c r="H21" i="13" s="1"/>
  <c r="F20" i="13"/>
  <c r="F19" i="13"/>
  <c r="J19" i="13" s="1"/>
  <c r="F18" i="13"/>
  <c r="L18" i="13" s="1"/>
  <c r="L17" i="13"/>
  <c r="J17" i="13"/>
  <c r="H17" i="13"/>
  <c r="F16" i="13"/>
  <c r="H16" i="13" s="1"/>
  <c r="F15" i="13"/>
  <c r="J15" i="13" s="1"/>
  <c r="F14" i="13"/>
  <c r="L14" i="13" s="1"/>
  <c r="L13" i="13"/>
  <c r="J13" i="13"/>
  <c r="H13" i="13"/>
  <c r="E12" i="13"/>
  <c r="F12" i="13" s="1"/>
  <c r="E11" i="13"/>
  <c r="F11" i="13" s="1"/>
  <c r="L10" i="13"/>
  <c r="J10" i="13"/>
  <c r="H10" i="13"/>
  <c r="F9" i="13"/>
  <c r="L8" i="13"/>
  <c r="J8" i="13"/>
  <c r="H8" i="13"/>
  <c r="AD106" i="13"/>
  <c r="M98" i="13" l="1"/>
  <c r="L49" i="13"/>
  <c r="M168" i="13"/>
  <c r="L137" i="13"/>
  <c r="L63" i="13"/>
  <c r="M169" i="13"/>
  <c r="M73" i="13"/>
  <c r="L124" i="13"/>
  <c r="M139" i="13"/>
  <c r="J78" i="13"/>
  <c r="M163" i="13"/>
  <c r="J43" i="13"/>
  <c r="H46" i="13"/>
  <c r="J69" i="13"/>
  <c r="H29" i="13"/>
  <c r="L46" i="13"/>
  <c r="H52" i="13"/>
  <c r="L84" i="13"/>
  <c r="H15" i="13"/>
  <c r="H42" i="13"/>
  <c r="M45" i="13"/>
  <c r="M46" i="13"/>
  <c r="M48" i="13"/>
  <c r="J57" i="13"/>
  <c r="M60" i="13"/>
  <c r="M62" i="13"/>
  <c r="M93" i="13"/>
  <c r="M109" i="13"/>
  <c r="M123" i="13"/>
  <c r="M132" i="13"/>
  <c r="M136" i="13"/>
  <c r="L143" i="13"/>
  <c r="M147" i="13"/>
  <c r="M151" i="13"/>
  <c r="M154" i="13"/>
  <c r="H160" i="13"/>
  <c r="L15" i="13"/>
  <c r="L42" i="13"/>
  <c r="M53" i="13"/>
  <c r="J64" i="13"/>
  <c r="H127" i="13"/>
  <c r="H129" i="13"/>
  <c r="M130" i="13"/>
  <c r="J160" i="13"/>
  <c r="J170" i="13"/>
  <c r="J175" i="13"/>
  <c r="L178" i="13"/>
  <c r="F167" i="13"/>
  <c r="J167" i="13" s="1"/>
  <c r="F26" i="13"/>
  <c r="H26" i="13" s="1"/>
  <c r="M41" i="13"/>
  <c r="H49" i="13"/>
  <c r="M49" i="13" s="1"/>
  <c r="L52" i="13"/>
  <c r="M52" i="13" s="1"/>
  <c r="H63" i="13"/>
  <c r="H84" i="13"/>
  <c r="M84" i="13" s="1"/>
  <c r="J103" i="13"/>
  <c r="H124" i="13"/>
  <c r="M124" i="13" s="1"/>
  <c r="M126" i="13"/>
  <c r="L127" i="13"/>
  <c r="L129" i="13"/>
  <c r="L140" i="13"/>
  <c r="L160" i="13"/>
  <c r="L170" i="13"/>
  <c r="J9" i="13"/>
  <c r="L9" i="13"/>
  <c r="M10" i="13"/>
  <c r="F35" i="13"/>
  <c r="F30" i="13"/>
  <c r="H25" i="13"/>
  <c r="M39" i="13"/>
  <c r="J55" i="13"/>
  <c r="H55" i="13"/>
  <c r="J65" i="13"/>
  <c r="L65" i="13"/>
  <c r="J86" i="13"/>
  <c r="L86" i="13"/>
  <c r="J97" i="13"/>
  <c r="L97" i="13"/>
  <c r="M107" i="13"/>
  <c r="M111" i="13"/>
  <c r="H131" i="13"/>
  <c r="J131" i="13"/>
  <c r="H9" i="13"/>
  <c r="M17" i="13"/>
  <c r="J21" i="13"/>
  <c r="J23" i="13"/>
  <c r="H23" i="13"/>
  <c r="L25" i="13"/>
  <c r="F32" i="13"/>
  <c r="J32" i="13" s="1"/>
  <c r="M36" i="13"/>
  <c r="M38" i="13"/>
  <c r="M44" i="13"/>
  <c r="H50" i="13"/>
  <c r="J50" i="13"/>
  <c r="L55" i="13"/>
  <c r="H65" i="13"/>
  <c r="J70" i="13"/>
  <c r="L70" i="13"/>
  <c r="H70" i="13"/>
  <c r="J79" i="13"/>
  <c r="L79" i="13"/>
  <c r="H79" i="13"/>
  <c r="H86" i="13"/>
  <c r="J91" i="13"/>
  <c r="L91" i="13"/>
  <c r="M92" i="13"/>
  <c r="H97" i="13"/>
  <c r="J102" i="13"/>
  <c r="L102" i="13"/>
  <c r="J104" i="13"/>
  <c r="L104" i="13"/>
  <c r="H104" i="13"/>
  <c r="M110" i="13"/>
  <c r="J112" i="13"/>
  <c r="L112" i="13"/>
  <c r="M113" i="13"/>
  <c r="M117" i="13"/>
  <c r="H141" i="13"/>
  <c r="J141" i="13"/>
  <c r="M164" i="13"/>
  <c r="J20" i="13"/>
  <c r="H20" i="13"/>
  <c r="H34" i="13"/>
  <c r="J34" i="13"/>
  <c r="J100" i="13"/>
  <c r="L100" i="13"/>
  <c r="J174" i="13"/>
  <c r="L174" i="13"/>
  <c r="J176" i="13"/>
  <c r="H176" i="13"/>
  <c r="J16" i="13"/>
  <c r="J18" i="13"/>
  <c r="H18" i="13"/>
  <c r="L20" i="13"/>
  <c r="M22" i="13"/>
  <c r="J26" i="13"/>
  <c r="L29" i="13"/>
  <c r="M29" i="13" s="1"/>
  <c r="M40" i="13"/>
  <c r="M51" i="13"/>
  <c r="J58" i="13"/>
  <c r="H58" i="13"/>
  <c r="J67" i="13"/>
  <c r="L67" i="13"/>
  <c r="H67" i="13"/>
  <c r="M72" i="13"/>
  <c r="J76" i="13"/>
  <c r="L76" i="13"/>
  <c r="H76" i="13"/>
  <c r="M81" i="13"/>
  <c r="M83" i="13"/>
  <c r="J88" i="13"/>
  <c r="L88" i="13"/>
  <c r="M88" i="13" s="1"/>
  <c r="M89" i="13"/>
  <c r="H100" i="13"/>
  <c r="M108" i="13"/>
  <c r="J119" i="13"/>
  <c r="L119" i="13"/>
  <c r="M120" i="13"/>
  <c r="M122" i="13"/>
  <c r="M135" i="13"/>
  <c r="M142" i="13"/>
  <c r="M146" i="13"/>
  <c r="M150" i="13"/>
  <c r="J172" i="13"/>
  <c r="L172" i="13"/>
  <c r="H174" i="13"/>
  <c r="L176" i="13"/>
  <c r="H179" i="13"/>
  <c r="J179" i="13"/>
  <c r="M68" i="13"/>
  <c r="M71" i="13"/>
  <c r="M77" i="13"/>
  <c r="M80" i="13"/>
  <c r="M95" i="13"/>
  <c r="M105" i="13"/>
  <c r="M116" i="13"/>
  <c r="M134" i="13"/>
  <c r="M145" i="13"/>
  <c r="M149" i="13"/>
  <c r="M156" i="13"/>
  <c r="M160" i="13"/>
  <c r="M162" i="13"/>
  <c r="M13" i="13"/>
  <c r="M56" i="13"/>
  <c r="M59" i="13"/>
  <c r="M74" i="13"/>
  <c r="J85" i="13"/>
  <c r="J90" i="13"/>
  <c r="M94" i="13"/>
  <c r="J99" i="13"/>
  <c r="J118" i="13"/>
  <c r="J125" i="13"/>
  <c r="M133" i="13"/>
  <c r="H137" i="13"/>
  <c r="M137" i="13" s="1"/>
  <c r="H140" i="13"/>
  <c r="H143" i="13"/>
  <c r="M143" i="13" s="1"/>
  <c r="M144" i="13"/>
  <c r="M148" i="13"/>
  <c r="M155" i="13"/>
  <c r="F161" i="13"/>
  <c r="M165" i="13"/>
  <c r="J171" i="13"/>
  <c r="H178" i="13"/>
  <c r="M178" i="13" s="1"/>
  <c r="H157" i="13"/>
  <c r="J157" i="13"/>
  <c r="L157" i="13"/>
  <c r="L12" i="13"/>
  <c r="H12" i="13"/>
  <c r="J12" i="13"/>
  <c r="H11" i="13"/>
  <c r="J11" i="13"/>
  <c r="L11" i="13"/>
  <c r="H115" i="13"/>
  <c r="J115" i="13"/>
  <c r="L115" i="13"/>
  <c r="L166" i="13"/>
  <c r="H166" i="13"/>
  <c r="J166" i="13"/>
  <c r="L35" i="13"/>
  <c r="J35" i="13"/>
  <c r="H35" i="13"/>
  <c r="L114" i="13"/>
  <c r="H114" i="13"/>
  <c r="J114" i="13"/>
  <c r="M42" i="13"/>
  <c r="M63" i="13"/>
  <c r="M86" i="13"/>
  <c r="M100" i="13"/>
  <c r="M174" i="13"/>
  <c r="M8" i="13"/>
  <c r="J14" i="13"/>
  <c r="H14" i="13"/>
  <c r="L16" i="13"/>
  <c r="M16" i="13" s="1"/>
  <c r="H19" i="13"/>
  <c r="L21" i="13"/>
  <c r="M21" i="13" s="1"/>
  <c r="H24" i="13"/>
  <c r="L26" i="13"/>
  <c r="H28" i="13"/>
  <c r="L30" i="13"/>
  <c r="H32" i="13"/>
  <c r="F33" i="13"/>
  <c r="L34" i="13"/>
  <c r="H37" i="13"/>
  <c r="L43" i="13"/>
  <c r="M43" i="13" s="1"/>
  <c r="H47" i="13"/>
  <c r="L50" i="13"/>
  <c r="H54" i="13"/>
  <c r="L57" i="13"/>
  <c r="M57" i="13" s="1"/>
  <c r="H61" i="13"/>
  <c r="L64" i="13"/>
  <c r="M64" i="13" s="1"/>
  <c r="H66" i="13"/>
  <c r="L69" i="13"/>
  <c r="M69" i="13" s="1"/>
  <c r="H75" i="13"/>
  <c r="L78" i="13"/>
  <c r="M78" i="13" s="1"/>
  <c r="H82" i="13"/>
  <c r="L85" i="13"/>
  <c r="M85" i="13" s="1"/>
  <c r="H87" i="13"/>
  <c r="L90" i="13"/>
  <c r="H96" i="13"/>
  <c r="L99" i="13"/>
  <c r="M99" i="13" s="1"/>
  <c r="H101" i="13"/>
  <c r="L103" i="13"/>
  <c r="M103" i="13" s="1"/>
  <c r="H106" i="13"/>
  <c r="L118" i="13"/>
  <c r="M118" i="13" s="1"/>
  <c r="H121" i="13"/>
  <c r="L125" i="13"/>
  <c r="H128" i="13"/>
  <c r="L131" i="13"/>
  <c r="H138" i="13"/>
  <c r="L141" i="13"/>
  <c r="M141" i="13" s="1"/>
  <c r="H152" i="13"/>
  <c r="F153" i="13"/>
  <c r="L171" i="13"/>
  <c r="M171" i="13" s="1"/>
  <c r="H173" i="13"/>
  <c r="L175" i="13"/>
  <c r="M175" i="13" s="1"/>
  <c r="H177" i="13"/>
  <c r="L179" i="13"/>
  <c r="F159" i="13"/>
  <c r="L19" i="13"/>
  <c r="L24" i="13"/>
  <c r="J25" i="13"/>
  <c r="M25" i="13" s="1"/>
  <c r="F27" i="13"/>
  <c r="L28" i="13"/>
  <c r="F31" i="13"/>
  <c r="L32" i="13"/>
  <c r="L37" i="13"/>
  <c r="L47" i="13"/>
  <c r="L54" i="13"/>
  <c r="L61" i="13"/>
  <c r="L66" i="13"/>
  <c r="L75" i="13"/>
  <c r="L82" i="13"/>
  <c r="L87" i="13"/>
  <c r="L96" i="13"/>
  <c r="L101" i="13"/>
  <c r="L106" i="13"/>
  <c r="L121" i="13"/>
  <c r="L128" i="13"/>
  <c r="L138" i="13"/>
  <c r="L152" i="13"/>
  <c r="F158" i="13"/>
  <c r="L167" i="13"/>
  <c r="L173" i="13"/>
  <c r="L177" i="13"/>
  <c r="M177" i="13" s="1"/>
  <c r="J152" i="13"/>
  <c r="M170" i="13" l="1"/>
  <c r="M15" i="13"/>
  <c r="M172" i="13"/>
  <c r="M119" i="13"/>
  <c r="M67" i="13"/>
  <c r="M58" i="13"/>
  <c r="M102" i="13"/>
  <c r="M91" i="13"/>
  <c r="M18" i="13"/>
  <c r="M97" i="13"/>
  <c r="M104" i="13"/>
  <c r="M79" i="13"/>
  <c r="M129" i="13"/>
  <c r="M138" i="13"/>
  <c r="M101" i="13"/>
  <c r="M75" i="13"/>
  <c r="M47" i="13"/>
  <c r="M14" i="13"/>
  <c r="M112" i="13"/>
  <c r="M55" i="13"/>
  <c r="M23" i="13"/>
  <c r="M65" i="13"/>
  <c r="H167" i="13"/>
  <c r="M140" i="13"/>
  <c r="M76" i="13"/>
  <c r="M28" i="13"/>
  <c r="M19" i="13"/>
  <c r="M131" i="13"/>
  <c r="M70" i="13"/>
  <c r="M9" i="13"/>
  <c r="M127" i="13"/>
  <c r="H161" i="13"/>
  <c r="J161" i="13"/>
  <c r="M32" i="13"/>
  <c r="M179" i="13"/>
  <c r="M106" i="13"/>
  <c r="M54" i="13"/>
  <c r="M24" i="13"/>
  <c r="M125" i="13"/>
  <c r="M90" i="13"/>
  <c r="M50" i="13"/>
  <c r="M34" i="13"/>
  <c r="M114" i="13"/>
  <c r="H30" i="13"/>
  <c r="J30" i="13"/>
  <c r="M176" i="13"/>
  <c r="M152" i="13"/>
  <c r="M82" i="13"/>
  <c r="M173" i="13"/>
  <c r="L161" i="13"/>
  <c r="M26" i="13"/>
  <c r="M20" i="13"/>
  <c r="H33" i="13"/>
  <c r="L33" i="13"/>
  <c r="J33" i="13"/>
  <c r="L31" i="13"/>
  <c r="H31" i="13"/>
  <c r="J31" i="13"/>
  <c r="L158" i="13"/>
  <c r="H158" i="13"/>
  <c r="J158" i="13"/>
  <c r="L27" i="13"/>
  <c r="H27" i="13"/>
  <c r="J27" i="13"/>
  <c r="J159" i="13"/>
  <c r="L159" i="13"/>
  <c r="H159" i="13"/>
  <c r="H153" i="13"/>
  <c r="J153" i="13"/>
  <c r="L153" i="13"/>
  <c r="M157" i="13"/>
  <c r="M121" i="13"/>
  <c r="M87" i="13"/>
  <c r="M61" i="13"/>
  <c r="M35" i="13"/>
  <c r="M115" i="13"/>
  <c r="M12" i="13"/>
  <c r="M167" i="13"/>
  <c r="M128" i="13"/>
  <c r="M96" i="13"/>
  <c r="M66" i="13"/>
  <c r="M37" i="13"/>
  <c r="M166" i="13"/>
  <c r="M11" i="13"/>
  <c r="M30" i="13" l="1"/>
  <c r="M161" i="13"/>
  <c r="J180" i="13"/>
  <c r="M31" i="13"/>
  <c r="H180" i="13"/>
  <c r="H181" i="13" s="1"/>
  <c r="M181" i="13" s="1"/>
  <c r="M153" i="13"/>
  <c r="M159" i="13"/>
  <c r="M27" i="13"/>
  <c r="M33" i="13"/>
  <c r="L180" i="13"/>
  <c r="M158" i="13"/>
  <c r="M180" i="13" l="1"/>
  <c r="M182" i="13" s="1"/>
  <c r="M183" i="13" l="1"/>
  <c r="M184" i="13" s="1"/>
  <c r="M185" i="13" l="1"/>
  <c r="M186" i="13" s="1"/>
  <c r="F96" i="2" l="1"/>
  <c r="F95" i="2"/>
  <c r="AD97" i="2"/>
  <c r="F91" i="2"/>
  <c r="F90" i="2"/>
  <c r="E72" i="2"/>
  <c r="F72" i="2" s="1"/>
  <c r="E71" i="2"/>
  <c r="E13" i="2"/>
  <c r="E12" i="2"/>
  <c r="F12" i="2" s="1"/>
  <c r="F71" i="2" l="1"/>
  <c r="F13" i="2"/>
  <c r="E42" i="1" l="1"/>
  <c r="D17" i="1" l="1"/>
  <c r="D15" i="1"/>
  <c r="D5" i="1"/>
  <c r="D7" i="1"/>
</calcChain>
</file>

<file path=xl/sharedStrings.xml><?xml version="1.0" encoding="utf-8"?>
<sst xmlns="http://schemas.openxmlformats.org/spreadsheetml/2006/main" count="1125" uniqueCount="247">
  <si>
    <t>ლენტეხის მუნიციპალიტეტის წყალსადენების მოწყობა რეაბილიტაცია</t>
  </si>
  <si>
    <t>სოფ.ჟახუნდერი (კერბულაში უბანი)</t>
  </si>
  <si>
    <t>ზედა გვიმბრალა</t>
  </si>
  <si>
    <t xml:space="preserve">სოფ ლასკადურა </t>
  </si>
  <si>
    <t>სოფ ლასკადურა(კვიცკრის 2 უბანი)</t>
  </si>
  <si>
    <t>სამუშაოს დასახელება</t>
  </si>
  <si>
    <t>განზომილება</t>
  </si>
  <si>
    <t>რაოდენობა</t>
  </si>
  <si>
    <t xml:space="preserve">წყალშემკრების მოწყობა </t>
  </si>
  <si>
    <t>რეზერვუარის მოწყობა</t>
  </si>
  <si>
    <t>ქსელის მოწყობა</t>
  </si>
  <si>
    <t xml:space="preserve">მაგისტრალის მოწყობა </t>
  </si>
  <si>
    <t>გრძ. მ</t>
  </si>
  <si>
    <t>ცალი</t>
  </si>
  <si>
    <t>მ3</t>
  </si>
  <si>
    <t>სოფ ჟახუნდერი  (დევდარიანების უბანი)</t>
  </si>
  <si>
    <t>სოფ.ჭველფი</t>
  </si>
  <si>
    <t>სოფ შკედი(„ლაბადოლ“-ის უბანი)</t>
  </si>
  <si>
    <t>Rirebuleba: 2021 wlis mimdinare fasebi</t>
  </si>
  <si>
    <t>normatiuli resursi</t>
  </si>
  <si>
    <t>masala</t>
  </si>
  <si>
    <t>jami</t>
  </si>
  <si>
    <t>erTeuli</t>
  </si>
  <si>
    <t>Sromis danaxarji</t>
  </si>
  <si>
    <t>sxva manqanebi</t>
  </si>
  <si>
    <t>lari</t>
  </si>
  <si>
    <t>c</t>
  </si>
  <si>
    <t>t</t>
  </si>
  <si>
    <t>lokaluri xarjTaRricxva</t>
  </si>
  <si>
    <t>nakrebi xarjTaRricxva</t>
  </si>
  <si>
    <t>#</t>
  </si>
  <si>
    <t>samuSaoebis dasaxeleba</t>
  </si>
  <si>
    <t>ganz. erTeuli</t>
  </si>
  <si>
    <t>Rirebuleba lari</t>
  </si>
  <si>
    <t>maT Soris xelfasi</t>
  </si>
  <si>
    <t>gauTvaliswinebeli xarjebi</t>
  </si>
  <si>
    <t>dagrovebiTi sapensio gadasaxadi (xelfasidan)</t>
  </si>
  <si>
    <t>d.R.g.</t>
  </si>
  <si>
    <t>sul jami</t>
  </si>
  <si>
    <t>დანართი 1.1</t>
  </si>
  <si>
    <t>დანართი 1.3</t>
  </si>
  <si>
    <t>დანართი 1.5</t>
  </si>
  <si>
    <t>Sifri</t>
  </si>
  <si>
    <t>samuSaos dasaxeleba</t>
  </si>
  <si>
    <t>ganzomileba</t>
  </si>
  <si>
    <t>xelfasi</t>
  </si>
  <si>
    <t>manqana meqanizmebi</t>
  </si>
  <si>
    <t>sul</t>
  </si>
  <si>
    <t xml:space="preserve">1-112-(1,4,7,10)        t.n.p 3-136 </t>
  </si>
  <si>
    <t>teritoriis gawmenda mcenareuli safarisagan</t>
  </si>
  <si>
    <t>1 ha</t>
  </si>
  <si>
    <t xml:space="preserve">manqana meqanizmebi </t>
  </si>
  <si>
    <t>m/sT</t>
  </si>
  <si>
    <t>1-93-6</t>
  </si>
  <si>
    <t xml:space="preserve">kldovani gruntis damuSaveba saZirkvlebisTvis sangrevi CaquCebiT </t>
  </si>
  <si>
    <t>m3</t>
  </si>
  <si>
    <t>k/sT</t>
  </si>
  <si>
    <t>T,14-330</t>
  </si>
  <si>
    <t>sangrevi CaquCebi moZrav kompresorze</t>
  </si>
  <si>
    <t xml:space="preserve">1-23-8         </t>
  </si>
  <si>
    <t>gruntis damuSaveba eqskavatoriT V=0,15 m3, adgilze gaSliT</t>
  </si>
  <si>
    <t xml:space="preserve"> Sromis danaxarji </t>
  </si>
  <si>
    <t>T,14-124</t>
  </si>
  <si>
    <t xml:space="preserve"> eqskavatori CamCis moculoba V=0.15 m3  </t>
  </si>
  <si>
    <t xml:space="preserve"> sxva manqanebi  </t>
  </si>
  <si>
    <t xml:space="preserve">6-1-1
</t>
  </si>
  <si>
    <t xml:space="preserve"> m3</t>
  </si>
  <si>
    <t xml:space="preserve"> Sromis danaxarji  </t>
  </si>
  <si>
    <t>4,1-341</t>
  </si>
  <si>
    <t>betoni В-15</t>
  </si>
  <si>
    <t xml:space="preserve">sxva manqanebi </t>
  </si>
  <si>
    <t xml:space="preserve">sxva masalebi </t>
  </si>
  <si>
    <t>23-1-2</t>
  </si>
  <si>
    <r>
      <t xml:space="preserve"> m</t>
    </r>
    <r>
      <rPr>
        <b/>
        <vertAlign val="superscript"/>
        <sz val="14"/>
        <rFont val="AcadNusx"/>
      </rPr>
      <t>3</t>
    </r>
  </si>
  <si>
    <t>4,1-236</t>
  </si>
  <si>
    <t>wvrilfraqciuli RorRi 5-10 mm</t>
  </si>
  <si>
    <r>
      <t xml:space="preserve"> m</t>
    </r>
    <r>
      <rPr>
        <vertAlign val="superscript"/>
        <sz val="14"/>
        <rFont val="AcadNusx"/>
      </rPr>
      <t>3</t>
    </r>
  </si>
  <si>
    <t>6-11-7</t>
  </si>
  <si>
    <r>
      <t>m</t>
    </r>
    <r>
      <rPr>
        <b/>
        <vertAlign val="superscript"/>
        <sz val="14"/>
        <rFont val="AcadNusx"/>
      </rPr>
      <t>3</t>
    </r>
  </si>
  <si>
    <t>T4,1-343</t>
  </si>
  <si>
    <t xml:space="preserve">betoniDВ-22,5 </t>
  </si>
  <si>
    <t>1,1-10</t>
  </si>
  <si>
    <t>armatura А-I</t>
  </si>
  <si>
    <t>pr</t>
  </si>
  <si>
    <t>1,1-12</t>
  </si>
  <si>
    <t>armatura А-III</t>
  </si>
  <si>
    <t>5,1-16</t>
  </si>
  <si>
    <t xml:space="preserve">ficari Camoganuli III x. 40 mm da meti  </t>
  </si>
  <si>
    <t>T5,1-138</t>
  </si>
  <si>
    <t xml:space="preserve">sayalibe fari </t>
  </si>
  <si>
    <t>m2</t>
  </si>
  <si>
    <t>1,10-17</t>
  </si>
  <si>
    <t>samSeneblo WanWiki</t>
  </si>
  <si>
    <t>T1,10-13</t>
  </si>
  <si>
    <t xml:space="preserve">eleqtrodi </t>
  </si>
  <si>
    <t xml:space="preserve">sxva masalebi  </t>
  </si>
  <si>
    <t>23-23</t>
  </si>
  <si>
    <t>asaxdeli xufebis mowyoba uJangavi foladis furcliT</t>
  </si>
  <si>
    <t>uJangavi foladis furceli sisqiT 1,99 mm</t>
  </si>
  <si>
    <t>kuTxovana 50X5 mm</t>
  </si>
  <si>
    <t>m</t>
  </si>
  <si>
    <t>uJangavi foladis milkvadrati 20X40 mm</t>
  </si>
  <si>
    <t>23-17-1</t>
  </si>
  <si>
    <t>4,1-118</t>
  </si>
  <si>
    <t xml:space="preserve"> sxva masalebi  </t>
  </si>
  <si>
    <t xml:space="preserve">Sromis danaxarji  </t>
  </si>
  <si>
    <t>saipeqsi</t>
  </si>
  <si>
    <t>kg</t>
  </si>
  <si>
    <t>12-9-6</t>
  </si>
  <si>
    <t>auzebis gadaxurvaze linikromis fenis mowyoba</t>
  </si>
  <si>
    <t xml:space="preserve">Sromis danaxarji </t>
  </si>
  <si>
    <t>T4,1-373</t>
  </si>
  <si>
    <t>bitumis mastika</t>
  </si>
  <si>
    <t>4,1-332</t>
  </si>
  <si>
    <t>linikromi qveda fena</t>
  </si>
  <si>
    <t>4,1-333</t>
  </si>
  <si>
    <t>linikromi zeda fena</t>
  </si>
  <si>
    <t>filtrisTvis qvis, RorRis da kvarcis fenebis mowyoba</t>
  </si>
  <si>
    <t>4,1-239</t>
  </si>
  <si>
    <t>40-70 mm fraqciis RorRi (10sm)</t>
  </si>
  <si>
    <t>4,1-238</t>
  </si>
  <si>
    <t>40-20 mm fraqciis RorRi (10sm)</t>
  </si>
  <si>
    <t>4,1-218</t>
  </si>
  <si>
    <t>garecxili kvarcis qviSa (10sm)</t>
  </si>
  <si>
    <t>riyis qva (20sm)</t>
  </si>
  <si>
    <t>1-80-4</t>
  </si>
  <si>
    <t>rTul reliefze kldovani gruntis damuSaveba saZirkvlebisTvis sangrevi CaquCebiT 250 grZ/mze</t>
  </si>
  <si>
    <t>saxelS</t>
  </si>
  <si>
    <t>23-1-3</t>
  </si>
  <si>
    <t>milebis qveS qviSa safuZvlis mowyoba sisqiT 10 sm</t>
  </si>
  <si>
    <t>qviSa Savi adgilobrivi</t>
  </si>
  <si>
    <t>22-8-1</t>
  </si>
  <si>
    <t>wyalsatari polieTilenis milebis SeZena montaJi arxebSi</t>
  </si>
  <si>
    <t>grZ/m</t>
  </si>
  <si>
    <t>grZ.m</t>
  </si>
  <si>
    <t>wyalsadenis polieTilenis mili d-32X3mm pe-100 sdr-11 pn-16</t>
  </si>
  <si>
    <t>16-22-1</t>
  </si>
  <si>
    <t>polieTilenis milebis hidravlikuri
gamocda</t>
  </si>
  <si>
    <t xml:space="preserve">wyali  </t>
  </si>
  <si>
    <t>22-23-1</t>
  </si>
  <si>
    <t xml:space="preserve"> plastmasis fasonuri nawilebis montaJi</t>
  </si>
  <si>
    <t>d-32 mm polieTilenis damxSobi</t>
  </si>
  <si>
    <t>d-32 mm muxli</t>
  </si>
  <si>
    <t>d-32 mm haergamSvebi vantuzi</t>
  </si>
  <si>
    <t>d-32 mm ventili</t>
  </si>
  <si>
    <t>milebis dafarva qviSa sisqiT 15 sm</t>
  </si>
  <si>
    <t>1-81-3</t>
  </si>
  <si>
    <t>amoRebuli gruntis ukuCayra xeliT</t>
  </si>
  <si>
    <t>9-18-3</t>
  </si>
  <si>
    <t>wyalgamanawilebeli koleqtoris damzadeba da montaJi 1c</t>
  </si>
  <si>
    <t>liTonis mili d-100/4</t>
  </si>
  <si>
    <t>liTonis mili d-32/3</t>
  </si>
  <si>
    <t xml:space="preserve"> eleqtrodi </t>
  </si>
  <si>
    <t xml:space="preserve"> sxva manqanebi</t>
  </si>
  <si>
    <t>fasonuri nawilebis montaJi</t>
  </si>
  <si>
    <t>d-32 mm amerikanka</t>
  </si>
  <si>
    <t xml:space="preserve">d-20 mm amerikanka </t>
  </si>
  <si>
    <t>d-20 mm ventili</t>
  </si>
  <si>
    <t>Stuceri</t>
  </si>
  <si>
    <t>1 c yinvadamcavi xufebis damzadeba milkvadratis karkasze da montaJi</t>
  </si>
  <si>
    <t>milkvadrati 100X2,5 mm</t>
  </si>
  <si>
    <t>milkvadrati 50X2 mm</t>
  </si>
  <si>
    <t>uJangavi foladis furceli sisqiT 1,2 mm</t>
  </si>
  <si>
    <t>Serebili profnastili sisqiT 0,55 mm</t>
  </si>
  <si>
    <t>moTuTiebuli Tunuqi sisqiT 0,55 mm</t>
  </si>
  <si>
    <t>furclovani foladi sisqiT 2 mm</t>
  </si>
  <si>
    <t>sWvali sigrZiT 30 mm</t>
  </si>
  <si>
    <t>folgiani mineraluri bamba</t>
  </si>
  <si>
    <t>petli</t>
  </si>
  <si>
    <t xml:space="preserve">masalebis transportireba </t>
  </si>
  <si>
    <t>zednadebi</t>
  </si>
  <si>
    <t>gegmiuri</t>
  </si>
  <si>
    <t xml:space="preserve">jami </t>
  </si>
  <si>
    <t>Sedgenilia: m.S.k. IV kvartlis mixedviT</t>
  </si>
  <si>
    <t>lentexis municipalitetis SkedSi (labadolis ubani) wyalmimRebi kaptaJis, gamanawilebeli avzis da wyalsadeni magistralisa da qselis  mowyobis samuSaoebi</t>
  </si>
  <si>
    <t>დანართი 1.8</t>
  </si>
  <si>
    <t>mimRebis  Ziris safuZvlis mowyoba wvrilfraqciuli Catkepnili RorRiT</t>
  </si>
  <si>
    <t>rezervuaris mowyoba</t>
  </si>
  <si>
    <t xml:space="preserve">rTul reliefze milebis Casawyobad gruntis gaWra xeliT 725 grZ/mze 50X30 sm </t>
  </si>
  <si>
    <t>wyalsadenis polieTilenis mili d-40X3,0 pe-100 sdr-17 pn-10</t>
  </si>
  <si>
    <t>2c wyalmimRebi nagebobis saZikvlis mowyoba betoniT</t>
  </si>
  <si>
    <t>mimRebis da auzebis Ziris safuZvlis mowyoba wvrilfraqciuli Catkepnili RorRiT</t>
  </si>
  <si>
    <t xml:space="preserve">2c wyalmimRebis fskeris,  kedlebis da rigelebis mowyoba monoliTuri rk/betoniT </t>
  </si>
  <si>
    <r>
      <t xml:space="preserve">wyalsadenis wnevis damgdebi </t>
    </r>
    <r>
      <rPr>
        <b/>
        <sz val="14"/>
        <rFont val="AcadNusx"/>
      </rPr>
      <t>D=1000 mm H=1000 mm mrgvali Webis mowyoba monoliTuri rk/betoniT samSeneblo masalebis xeliT da jalambaris gamoyenebiT rTul reliefze 650 m-ze gadaadgilebiT (4c Wa)</t>
    </r>
  </si>
  <si>
    <t>Tujis xufi</t>
  </si>
  <si>
    <t>rk/betonis Wis rgolebis gamotexva d-63 mm-iani plasmasis milebisaTvis</t>
  </si>
  <si>
    <t>rk/betonis Wis Zirisa da kedlebis damuSaveba, Sevseba wyalgaumtari xsnariT saipeqsiT</t>
  </si>
  <si>
    <r>
      <t>m</t>
    </r>
    <r>
      <rPr>
        <b/>
        <vertAlign val="superscript"/>
        <sz val="14"/>
        <rFont val="AcadNusx"/>
      </rPr>
      <t>2</t>
    </r>
  </si>
  <si>
    <t>wyalgamanawilebeli auzis mowyoba monoliTuri rk/betoniT, filtris CawyobiT</t>
  </si>
  <si>
    <t>nagebobis gadaxurva rk/betonis filiT ormagi armirebiT Tujis luqis dayenebiT</t>
  </si>
  <si>
    <t>oTiasubanSi wyalsamarago avzis mowyoba monoliTuri rk/betoniT ormagi armirebiT</t>
  </si>
  <si>
    <t xml:space="preserve">rTul reliefze milebis Casawyobad gruntis gaWra xeliT 700 grZ/mze 50X30 sm </t>
  </si>
  <si>
    <t>kldovanqaniani gruntis gaWra ,,kodalaTi" da 0,15 m3 camCis mqone eqskavatoriT 1650 grZ/mze kveTiT 40X50 sm 50% ukuCayriT</t>
  </si>
  <si>
    <t>wyalsadenis polieTilenis mili d-63X5,8 pe-100 sdr-17 pn-10</t>
  </si>
  <si>
    <t>d-32 mm samkapi</t>
  </si>
  <si>
    <t>WiSkris CarCoebis damzadeba, liTonis sayrdenebis mowyoba da nagebobebis damcavi zonebis SemoRobva mavTulbadiT 9 adgilze</t>
  </si>
  <si>
    <t>liTonis milkvadrati 40X40mm</t>
  </si>
  <si>
    <t>ku|Txovana 40X40X4 mm</t>
  </si>
  <si>
    <t>betoniDВ-15</t>
  </si>
  <si>
    <t>moTuTiebuli mavTulbade ujriT 50X50X3 mm</t>
  </si>
  <si>
    <t>moTuTiebuli bagiri d-4 mm</t>
  </si>
  <si>
    <t>WiSkris saketi mowyobiloba</t>
  </si>
  <si>
    <t>komp</t>
  </si>
  <si>
    <t>liTonis mili d-0,92</t>
  </si>
  <si>
    <t>kaptaJebs mowyoba</t>
  </si>
  <si>
    <t>1-80-3,</t>
  </si>
  <si>
    <t>kub.m.</t>
  </si>
  <si>
    <t>k-1,2</t>
  </si>
  <si>
    <t xml:space="preserve">Sromis danaxarjebi </t>
  </si>
  <si>
    <t>kac/sT</t>
  </si>
  <si>
    <t>grntis damuSaveba xelis iaraRebiT saZirkvlebisa da Ziris mosawyobad</t>
  </si>
  <si>
    <t>asaxdeli xufis mowyoba uJangavi foladis furcliT</t>
  </si>
  <si>
    <t xml:space="preserve">1c kaptaJis fskerisა da  kedlebis mowyoba monoliTuri rk/betoniT </t>
  </si>
  <si>
    <t>kaptaJis  Ziris safuZvlis mowyoba wvrilfraqciuli  RorRiT sisqiT 10 sm.</t>
  </si>
  <si>
    <t>rezervuaris gadaxurva rk/betonis filiT  plastmasis luqis dayenebiT</t>
  </si>
  <si>
    <t>gadaxurvaze linikromis fenis mowyoba</t>
  </si>
  <si>
    <t>rTul reliefze kldovani gruntis damuSaveba milebis Casawyobad sangrevi CaquCebiT 340 grZ/mze</t>
  </si>
  <si>
    <t>polieTilenis milebis hidravli-kuri gamocda</t>
  </si>
  <si>
    <t>polieTilenis milebis hidravlikuri gamocda</t>
  </si>
  <si>
    <t>poxieri Tixa</t>
  </si>
  <si>
    <t>plastmasis xufi დიამეტრით 60 სმ.</t>
  </si>
  <si>
    <t xml:space="preserve">rTul reliefze milebis Casawyobad gruntis gaWra xeliT 1043 grZ/mze 50X30 sm </t>
  </si>
  <si>
    <t>foladis milkvadrati 20X40 mmsisqiT 2,5mm.</t>
  </si>
  <si>
    <t>d-50 mm muxli</t>
  </si>
  <si>
    <t>d-50 mm ventili</t>
  </si>
  <si>
    <t>d-50 mm amerikanka</t>
  </si>
  <si>
    <t>moTuTiebuli Tunuqi sisqiT 0,50 mm</t>
  </si>
  <si>
    <t>d50 mm muxli</t>
  </si>
  <si>
    <t>liTonis mili d-20/2.5</t>
  </si>
  <si>
    <t xml:space="preserve"> foladis furceli sisqiT 1,2 mm</t>
  </si>
  <si>
    <t>Serebili profnastili sisqiT 0,50 mm</t>
  </si>
  <si>
    <t>d-50 mm polieTilenis მექანიკური quro</t>
  </si>
  <si>
    <t>Rirebuleba: 2022 wlis mimdinare fasebi</t>
  </si>
  <si>
    <t>Sedgenilia: m.S.k. I kvartlis mixedviT</t>
  </si>
  <si>
    <t>SeRebili profnastili sisqiT 0,50 mm</t>
  </si>
  <si>
    <t>rTul reliefze kldovani gruntis damuSaveba milebis Casawyobad sangrevi CaquCebiT 450 grZ/mze</t>
  </si>
  <si>
    <t>3 c yinvadamcavi xufebis damzadeba milkvadratis karkasze da montaJi</t>
  </si>
  <si>
    <r>
      <t xml:space="preserve">wyalsadenis polieTilenis mili </t>
    </r>
    <r>
      <rPr>
        <sz val="14"/>
        <rFont val="Sylfaen"/>
        <family val="2"/>
        <scheme val="minor"/>
      </rPr>
      <t>D=</t>
    </r>
    <r>
      <rPr>
        <sz val="14"/>
        <rFont val="AcadNusx"/>
      </rPr>
      <t xml:space="preserve">50X3,0 </t>
    </r>
    <r>
      <rPr>
        <sz val="14"/>
        <rFont val="Sylfaen"/>
        <family val="2"/>
        <scheme val="minor"/>
      </rPr>
      <t>PE</t>
    </r>
    <r>
      <rPr>
        <sz val="14"/>
        <rFont val="AcadNusx"/>
      </rPr>
      <t xml:space="preserve">-100 </t>
    </r>
    <r>
      <rPr>
        <sz val="14"/>
        <rFont val="Arial"/>
        <family val="2"/>
      </rPr>
      <t>SDR</t>
    </r>
    <r>
      <rPr>
        <sz val="14"/>
        <rFont val="AcadNusx"/>
      </rPr>
      <t xml:space="preserve">-17 </t>
    </r>
    <r>
      <rPr>
        <sz val="14"/>
        <rFont val="Sylfaen"/>
        <family val="2"/>
        <scheme val="minor"/>
      </rPr>
      <t>PN</t>
    </r>
    <r>
      <rPr>
        <sz val="14"/>
        <rFont val="AcadNusx"/>
      </rPr>
      <t>-10</t>
    </r>
  </si>
  <si>
    <r>
      <t xml:space="preserve">wyalsadenis polieTilenis mili </t>
    </r>
    <r>
      <rPr>
        <sz val="14"/>
        <rFont val="Sylfaen"/>
        <family val="2"/>
        <scheme val="minor"/>
      </rPr>
      <t>D=</t>
    </r>
    <r>
      <rPr>
        <sz val="14"/>
        <rFont val="AcadNusx"/>
      </rPr>
      <t xml:space="preserve">63X8,6 </t>
    </r>
    <r>
      <rPr>
        <sz val="14"/>
        <rFont val="Sylfaen"/>
        <family val="2"/>
        <scheme val="minor"/>
      </rPr>
      <t>PE</t>
    </r>
    <r>
      <rPr>
        <sz val="14"/>
        <rFont val="AcadNusx"/>
      </rPr>
      <t xml:space="preserve">-100 </t>
    </r>
    <r>
      <rPr>
        <sz val="14"/>
        <rFont val="Sylfaen"/>
        <family val="2"/>
        <scheme val="minor"/>
      </rPr>
      <t>SDR</t>
    </r>
    <r>
      <rPr>
        <sz val="14"/>
        <rFont val="AcadNusx"/>
      </rPr>
      <t xml:space="preserve">-11 </t>
    </r>
    <r>
      <rPr>
        <sz val="14"/>
        <rFont val="Sylfaen"/>
        <family val="2"/>
        <scheme val="minor"/>
      </rPr>
      <t>PN</t>
    </r>
    <r>
      <rPr>
        <sz val="14"/>
        <rFont val="AcadNusx"/>
      </rPr>
      <t>-25</t>
    </r>
  </si>
  <si>
    <t>1-84-5</t>
  </si>
  <si>
    <t>lentexis municipalitetis sofel JaxunderSi (kerbulaSis ubani) wyalmimRebi kaptaJisა da  wyalsadeni magistralis  mowyobis samuSaoebi</t>
  </si>
  <si>
    <t>lentexis municipalitetis sof. JaxunderSi (devdarianebis ubani) wyalmimRebi kaptaJis, rezervuaris,   wyalsadeni magistralisa da wyalgamanawilebeli koleqtoris  mowyobis samuSaoebi</t>
  </si>
  <si>
    <t>x a r j T a R r i x v a</t>
  </si>
  <si>
    <t>%</t>
  </si>
  <si>
    <t>სოფ ჟახუნდერი ( დევდარიანების უბანი) წყალშემკრები კაპტაჟების სარეზერვო ავზის და  ქსელის  მოწყობა</t>
  </si>
  <si>
    <t>ლარი</t>
  </si>
  <si>
    <t>სოფ.ჟახუნდერი (კერბულაში უბანი)წყალშემკრები კაპტაჟის სარეზერვო ავზის და  ქსელის  მოწყობა 1200გრძ/მ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</si>
</sst>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_-* #,##0.00_р_._-;\-* #,##0.00_р_._-;_-* &quot;-&quot;??_р_._-;_-@_-"/>
    <numFmt numFmtId="166" formatCode="0.000"/>
    <numFmt numFmtId="167" formatCode="0.0"/>
    <numFmt numFmtId="168" formatCode="0.00000"/>
    <numFmt numFmtId="169" formatCode="#,##0.000"/>
  </numFmts>
  <fonts count="42" x14ac:knownFonts="1">
    <font>
      <sz val="11"/>
      <color theme="1"/>
      <name val="Sylfaen"/>
      <family val="2"/>
      <scheme val="minor"/>
    </font>
    <font>
      <b/>
      <sz val="12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4"/>
      <color theme="1"/>
      <name val="Sylfaen"/>
      <family val="1"/>
      <scheme val="minor"/>
    </font>
    <font>
      <b/>
      <sz val="11"/>
      <color theme="1"/>
      <name val="AcadMtavr"/>
    </font>
    <font>
      <sz val="11"/>
      <color theme="1"/>
      <name val="AcadMtavr"/>
    </font>
    <font>
      <sz val="10"/>
      <name val="Arial"/>
      <family val="2"/>
    </font>
    <font>
      <b/>
      <sz val="11"/>
      <name val="AcadMtavr"/>
    </font>
    <font>
      <sz val="11"/>
      <name val="AcadNusx"/>
    </font>
    <font>
      <sz val="10"/>
      <name val="Arial Cyr"/>
      <charset val="204"/>
    </font>
    <font>
      <b/>
      <sz val="11"/>
      <color theme="1"/>
      <name val="AcadNusx"/>
    </font>
    <font>
      <sz val="11"/>
      <color theme="1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cadNusx"/>
    </font>
    <font>
      <b/>
      <sz val="10"/>
      <color theme="1"/>
      <name val="AcadNusx"/>
    </font>
    <font>
      <sz val="10"/>
      <name val="Arial Cyr"/>
      <family val="2"/>
      <charset val="204"/>
    </font>
    <font>
      <b/>
      <sz val="14"/>
      <name val="AcadNusx"/>
    </font>
    <font>
      <sz val="14"/>
      <name val="AcadNusx"/>
    </font>
    <font>
      <sz val="14"/>
      <color theme="1"/>
      <name val="AcadNusx"/>
    </font>
    <font>
      <sz val="11"/>
      <name val="AcadMtavr"/>
    </font>
    <font>
      <b/>
      <sz val="14"/>
      <color theme="1"/>
      <name val="AcadNusx"/>
    </font>
    <font>
      <b/>
      <vertAlign val="superscript"/>
      <sz val="14"/>
      <name val="AcadNusx"/>
    </font>
    <font>
      <vertAlign val="superscript"/>
      <sz val="14"/>
      <name val="AcadNusx"/>
    </font>
    <font>
      <b/>
      <sz val="10"/>
      <name val="AcadMtavr"/>
    </font>
    <font>
      <sz val="10"/>
      <name val="AcadMtavr"/>
    </font>
    <font>
      <sz val="12"/>
      <color theme="1"/>
      <name val="AcadMtavr"/>
    </font>
    <font>
      <b/>
      <sz val="12"/>
      <name val="AcadMtavr"/>
    </font>
    <font>
      <b/>
      <sz val="14"/>
      <color rgb="FFFF0000"/>
      <name val="AcadNusx"/>
    </font>
    <font>
      <b/>
      <sz val="12"/>
      <name val="AcadNusx"/>
    </font>
    <font>
      <b/>
      <sz val="12"/>
      <name val="Times New Roman"/>
      <family val="1"/>
    </font>
    <font>
      <sz val="12"/>
      <name val="AcadNusx"/>
    </font>
    <font>
      <sz val="14"/>
      <name val="Sylfaen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cadNusx"/>
    </font>
    <font>
      <sz val="12"/>
      <name val="AcadMtavr"/>
    </font>
    <font>
      <sz val="14"/>
      <color theme="1"/>
      <name val="AcadMtavr"/>
    </font>
    <font>
      <b/>
      <sz val="14"/>
      <color theme="1"/>
      <name val="AcadMtavr"/>
    </font>
    <font>
      <b/>
      <sz val="14"/>
      <name val="AcadMtavr"/>
    </font>
    <font>
      <sz val="14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0" fontId="14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</cellStyleXfs>
  <cellXfs count="34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2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5" applyFont="1" applyAlignment="1">
      <alignment wrapText="1"/>
    </xf>
    <xf numFmtId="0" fontId="7" fillId="0" borderId="0" xfId="4"/>
    <xf numFmtId="0" fontId="8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9" fontId="5" fillId="0" borderId="1" xfId="0" applyNumberFormat="1" applyFont="1" applyBorder="1" applyAlignment="1">
      <alignment horizontal="center" vertical="center"/>
    </xf>
    <xf numFmtId="2" fontId="7" fillId="0" borderId="0" xfId="4" applyNumberFormat="1"/>
    <xf numFmtId="2" fontId="0" fillId="0" borderId="1" xfId="0" applyNumberFormat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vertical="center" wrapText="1"/>
    </xf>
    <xf numFmtId="2" fontId="15" fillId="0" borderId="0" xfId="5" applyNumberFormat="1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6" applyFont="1"/>
    <xf numFmtId="4" fontId="19" fillId="0" borderId="1" xfId="6" applyNumberFormat="1" applyFont="1" applyBorder="1" applyAlignment="1">
      <alignment horizontal="center" vertical="center" wrapText="1"/>
    </xf>
    <xf numFmtId="3" fontId="18" fillId="0" borderId="3" xfId="6" applyNumberFormat="1" applyFont="1" applyBorder="1" applyAlignment="1">
      <alignment horizontal="center" vertical="center" wrapText="1"/>
    </xf>
    <xf numFmtId="3" fontId="18" fillId="0" borderId="1" xfId="6" applyNumberFormat="1" applyFont="1" applyBorder="1" applyAlignment="1">
      <alignment horizontal="center" vertical="center" wrapText="1"/>
    </xf>
    <xf numFmtId="0" fontId="8" fillId="0" borderId="0" xfId="6" applyFont="1" applyAlignment="1">
      <alignment horizont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4" applyNumberFormat="1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justify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justify" vertical="center"/>
    </xf>
    <xf numFmtId="0" fontId="19" fillId="0" borderId="1" xfId="0" applyNumberFormat="1" applyFont="1" applyBorder="1" applyAlignment="1">
      <alignment horizontal="left" vertical="center" wrapText="1"/>
    </xf>
    <xf numFmtId="0" fontId="18" fillId="2" borderId="1" xfId="4" applyNumberFormat="1" applyFont="1" applyFill="1" applyBorder="1" applyAlignment="1">
      <alignment horizontal="left" vertical="center" wrapText="1"/>
    </xf>
    <xf numFmtId="0" fontId="19" fillId="2" borderId="1" xfId="7" applyNumberFormat="1" applyFont="1" applyFill="1" applyBorder="1" applyAlignment="1">
      <alignment horizontal="justify" vertical="center"/>
    </xf>
    <xf numFmtId="0" fontId="13" fillId="2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9" fillId="2" borderId="1" xfId="7" applyNumberFormat="1" applyFont="1" applyFill="1" applyBorder="1" applyAlignment="1">
      <alignment horizontal="justify" vertical="justify"/>
    </xf>
    <xf numFmtId="0" fontId="19" fillId="2" borderId="1" xfId="7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9" fillId="2" borderId="0" xfId="7" applyFont="1" applyFill="1" applyAlignment="1">
      <alignment horizontal="center" vertical="center" wrapText="1"/>
    </xf>
    <xf numFmtId="49" fontId="18" fillId="2" borderId="1" xfId="7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0" fillId="2" borderId="1" xfId="7" applyFont="1" applyFill="1" applyBorder="1" applyAlignment="1">
      <alignment horizontal="center" vertical="center" wrapText="1"/>
    </xf>
    <xf numFmtId="0" fontId="5" fillId="2" borderId="0" xfId="0" applyFont="1" applyFill="1"/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/>
    <xf numFmtId="0" fontId="17" fillId="2" borderId="0" xfId="6" applyFont="1" applyFill="1"/>
    <xf numFmtId="0" fontId="15" fillId="2" borderId="0" xfId="7" applyFont="1" applyFill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7" applyNumberFormat="1" applyFont="1" applyFill="1" applyBorder="1" applyAlignment="1">
      <alignment horizontal="justify" vertical="center"/>
    </xf>
    <xf numFmtId="49" fontId="19" fillId="2" borderId="1" xfId="7" applyNumberFormat="1" applyFont="1" applyFill="1" applyBorder="1" applyAlignment="1">
      <alignment horizontal="center" vertical="center" wrapText="1"/>
    </xf>
    <xf numFmtId="0" fontId="20" fillId="2" borderId="1" xfId="7" applyNumberFormat="1" applyFont="1" applyFill="1" applyBorder="1" applyAlignment="1">
      <alignment horizontal="justify" vertical="justify"/>
    </xf>
    <xf numFmtId="0" fontId="20" fillId="2" borderId="1" xfId="0" applyFont="1" applyFill="1" applyBorder="1" applyAlignment="1">
      <alignment horizontal="center" vertical="center"/>
    </xf>
    <xf numFmtId="49" fontId="19" fillId="2" borderId="1" xfId="4" applyNumberFormat="1" applyFont="1" applyFill="1" applyBorder="1" applyAlignment="1">
      <alignment horizontal="center" vertical="center" wrapText="1"/>
    </xf>
    <xf numFmtId="0" fontId="6" fillId="0" borderId="0" xfId="8" applyFont="1"/>
    <xf numFmtId="49" fontId="20" fillId="2" borderId="1" xfId="7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18" fillId="2" borderId="1" xfId="9" applyNumberFormat="1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center" vertical="center" wrapText="1"/>
    </xf>
    <xf numFmtId="4" fontId="18" fillId="2" borderId="1" xfId="6" applyNumberFormat="1" applyFont="1" applyFill="1" applyBorder="1" applyAlignment="1">
      <alignment horizontal="center" vertical="center" wrapText="1"/>
    </xf>
    <xf numFmtId="0" fontId="8" fillId="2" borderId="0" xfId="6" applyFont="1" applyFill="1" applyAlignment="1">
      <alignment horizontal="center"/>
    </xf>
    <xf numFmtId="49" fontId="19" fillId="2" borderId="1" xfId="9" applyNumberFormat="1" applyFont="1" applyFill="1" applyBorder="1" applyAlignment="1">
      <alignment horizontal="center" vertical="center" wrapText="1"/>
    </xf>
    <xf numFmtId="0" fontId="19" fillId="2" borderId="1" xfId="9" applyNumberFormat="1" applyFont="1" applyFill="1" applyBorder="1" applyAlignment="1">
      <alignment horizontal="justify" vertical="center"/>
    </xf>
    <xf numFmtId="0" fontId="19" fillId="2" borderId="1" xfId="9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19" fillId="2" borderId="1" xfId="1" applyNumberFormat="1" applyFont="1" applyFill="1" applyBorder="1" applyAlignment="1">
      <alignment horizontal="justify" vertical="justify"/>
    </xf>
    <xf numFmtId="49" fontId="19" fillId="2" borderId="3" xfId="9" applyNumberFormat="1" applyFont="1" applyFill="1" applyBorder="1" applyAlignment="1">
      <alignment horizontal="center" vertical="center" wrapText="1"/>
    </xf>
    <xf numFmtId="0" fontId="19" fillId="2" borderId="3" xfId="9" applyNumberFormat="1" applyFont="1" applyFill="1" applyBorder="1" applyAlignment="1">
      <alignment horizontal="justify" vertical="center"/>
    </xf>
    <xf numFmtId="0" fontId="19" fillId="2" borderId="3" xfId="9" applyFont="1" applyFill="1" applyBorder="1" applyAlignment="1">
      <alignment horizontal="center" vertical="center" wrapText="1"/>
    </xf>
    <xf numFmtId="0" fontId="22" fillId="2" borderId="3" xfId="7" applyFont="1" applyFill="1" applyBorder="1" applyAlignment="1">
      <alignment horizontal="center" vertical="center" wrapText="1"/>
    </xf>
    <xf numFmtId="0" fontId="19" fillId="2" borderId="4" xfId="7" applyNumberFormat="1" applyFont="1" applyFill="1" applyBorder="1" applyAlignment="1">
      <alignment horizontal="justify" vertical="center"/>
    </xf>
    <xf numFmtId="0" fontId="19" fillId="2" borderId="6" xfId="9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10" applyNumberFormat="1" applyFont="1" applyFill="1" applyBorder="1" applyAlignment="1">
      <alignment horizontal="justify" vertical="center"/>
    </xf>
    <xf numFmtId="0" fontId="19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0" xfId="6" applyFont="1" applyFill="1" applyAlignment="1">
      <alignment horizontal="center"/>
    </xf>
    <xf numFmtId="0" fontId="19" fillId="2" borderId="3" xfId="0" applyNumberFormat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1" xfId="9" applyNumberFormat="1" applyFont="1" applyFill="1" applyBorder="1" applyAlignment="1">
      <alignment horizontal="justify" vertical="center" wrapText="1"/>
    </xf>
    <xf numFmtId="0" fontId="25" fillId="2" borderId="0" xfId="9" applyFont="1" applyFill="1" applyAlignment="1">
      <alignment horizontal="center" vertical="center" wrapText="1"/>
    </xf>
    <xf numFmtId="164" fontId="19" fillId="2" borderId="1" xfId="9" applyNumberFormat="1" applyFont="1" applyFill="1" applyBorder="1" applyAlignment="1">
      <alignment horizontal="center" vertical="center" wrapText="1"/>
    </xf>
    <xf numFmtId="0" fontId="26" fillId="2" borderId="0" xfId="9" applyFont="1" applyFill="1" applyAlignment="1">
      <alignment horizontal="center" vertical="center" wrapText="1"/>
    </xf>
    <xf numFmtId="0" fontId="19" fillId="2" borderId="1" xfId="9" applyNumberFormat="1" applyFont="1" applyFill="1" applyBorder="1" applyAlignment="1">
      <alignment horizontal="justify" vertical="justify"/>
    </xf>
    <xf numFmtId="0" fontId="19" fillId="2" borderId="1" xfId="0" applyFont="1" applyFill="1" applyBorder="1" applyAlignment="1">
      <alignment horizontal="center"/>
    </xf>
    <xf numFmtId="0" fontId="18" fillId="2" borderId="0" xfId="6" applyFont="1" applyFill="1" applyAlignment="1">
      <alignment horizontal="center"/>
    </xf>
    <xf numFmtId="49" fontId="18" fillId="2" borderId="3" xfId="0" applyNumberFormat="1" applyFont="1" applyFill="1" applyBorder="1" applyAlignment="1">
      <alignment horizontal="center" vertical="center" wrapText="1"/>
    </xf>
    <xf numFmtId="0" fontId="19" fillId="2" borderId="3" xfId="10" applyNumberFormat="1" applyFont="1" applyFill="1" applyBorder="1" applyAlignment="1">
      <alignment horizontal="justify" vertical="center"/>
    </xf>
    <xf numFmtId="0" fontId="27" fillId="2" borderId="0" xfId="0" applyFont="1" applyFill="1" applyAlignment="1">
      <alignment horizontal="center"/>
    </xf>
    <xf numFmtId="0" fontId="28" fillId="2" borderId="0" xfId="6" applyFont="1" applyFill="1"/>
    <xf numFmtId="0" fontId="21" fillId="2" borderId="0" xfId="6" applyFont="1" applyFill="1"/>
    <xf numFmtId="0" fontId="2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3" borderId="7" xfId="8" applyNumberFormat="1" applyFont="1" applyFill="1" applyBorder="1" applyAlignment="1">
      <alignment horizontal="justify" vertical="center"/>
    </xf>
    <xf numFmtId="0" fontId="19" fillId="3" borderId="7" xfId="8" applyNumberFormat="1" applyFont="1" applyFill="1" applyBorder="1" applyAlignment="1">
      <alignment horizontal="center" vertical="center"/>
    </xf>
    <xf numFmtId="0" fontId="18" fillId="3" borderId="7" xfId="8" applyNumberFormat="1" applyFont="1" applyFill="1" applyBorder="1" applyAlignment="1">
      <alignment horizontal="center" vertical="center"/>
    </xf>
    <xf numFmtId="0" fontId="18" fillId="3" borderId="1" xfId="8" applyNumberFormat="1" applyFont="1" applyFill="1" applyBorder="1" applyAlignment="1">
      <alignment horizontal="justify" vertical="center"/>
    </xf>
    <xf numFmtId="0" fontId="19" fillId="3" borderId="1" xfId="8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8" fillId="3" borderId="1" xfId="8" applyFont="1" applyFill="1" applyBorder="1" applyAlignment="1">
      <alignment horizontal="center" vertical="center" wrapText="1"/>
    </xf>
    <xf numFmtId="1" fontId="18" fillId="3" borderId="1" xfId="8" applyNumberFormat="1" applyFont="1" applyFill="1" applyBorder="1" applyAlignment="1">
      <alignment horizontal="center" vertical="center" wrapText="1"/>
    </xf>
    <xf numFmtId="49" fontId="19" fillId="3" borderId="1" xfId="8" applyNumberFormat="1" applyFont="1" applyFill="1" applyBorder="1" applyAlignment="1">
      <alignment horizontal="center" vertical="center" wrapText="1"/>
    </xf>
    <xf numFmtId="0" fontId="18" fillId="3" borderId="1" xfId="8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7" fillId="0" borderId="0" xfId="4" applyNumberFormat="1" applyProtection="1">
      <protection locked="0" hidden="1"/>
    </xf>
    <xf numFmtId="2" fontId="1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0" fillId="2" borderId="1" xfId="0" applyNumberFormat="1" applyFont="1" applyFill="1" applyBorder="1" applyAlignment="1" applyProtection="1">
      <alignment horizontal="center"/>
      <protection locked="0" hidden="1"/>
    </xf>
    <xf numFmtId="2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2" fontId="20" fillId="2" borderId="1" xfId="7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1" xfId="7" applyNumberFormat="1" applyFont="1" applyFill="1" applyBorder="1" applyAlignment="1" applyProtection="1">
      <alignment horizontal="center" vertical="center" wrapText="1"/>
      <protection locked="0" hidden="1"/>
    </xf>
    <xf numFmtId="2" fontId="20" fillId="2" borderId="1" xfId="0" applyNumberFormat="1" applyFont="1" applyFill="1" applyBorder="1" applyAlignment="1" applyProtection="1">
      <alignment horizontal="center" vertical="center"/>
      <protection locked="0" hidden="1"/>
    </xf>
    <xf numFmtId="2" fontId="19" fillId="2" borderId="1" xfId="6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1" xfId="9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18" fillId="2" borderId="1" xfId="6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3" xfId="6" applyNumberFormat="1" applyFont="1" applyFill="1" applyBorder="1" applyAlignment="1" applyProtection="1">
      <alignment horizontal="center" vertical="center" wrapText="1"/>
      <protection locked="0" hidden="1"/>
    </xf>
    <xf numFmtId="2" fontId="18" fillId="2" borderId="1" xfId="9" applyNumberFormat="1" applyFont="1" applyFill="1" applyBorder="1" applyAlignment="1" applyProtection="1">
      <alignment horizontal="center" vertical="center" wrapText="1"/>
      <protection locked="0" hidden="1"/>
    </xf>
    <xf numFmtId="2" fontId="18" fillId="3" borderId="7" xfId="8" applyNumberFormat="1" applyFont="1" applyFill="1" applyBorder="1" applyAlignment="1" applyProtection="1">
      <alignment horizontal="center" vertical="center"/>
      <protection locked="0" hidden="1"/>
    </xf>
    <xf numFmtId="2" fontId="18" fillId="3" borderId="7" xfId="8" applyNumberFormat="1" applyFont="1" applyFill="1" applyBorder="1" applyAlignment="1" applyProtection="1">
      <alignment horizontal="center" vertical="center" wrapText="1"/>
      <protection locked="0" hidden="1"/>
    </xf>
    <xf numFmtId="2" fontId="18" fillId="3" borderId="1" xfId="8" applyNumberFormat="1" applyFont="1" applyFill="1" applyBorder="1" applyAlignment="1" applyProtection="1">
      <alignment horizontal="center" vertical="center"/>
      <protection locked="0" hidden="1"/>
    </xf>
    <xf numFmtId="2" fontId="18" fillId="3" borderId="1" xfId="8" applyNumberFormat="1" applyFont="1" applyFill="1" applyBorder="1" applyAlignment="1" applyProtection="1">
      <alignment horizontal="center" vertical="center" wrapText="1"/>
      <protection locked="0" hidden="1"/>
    </xf>
    <xf numFmtId="2" fontId="29" fillId="3" borderId="1" xfId="8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4" xfId="7" applyNumberFormat="1" applyFont="1" applyFill="1" applyBorder="1" applyAlignment="1" applyProtection="1">
      <alignment horizontal="center" vertical="center" wrapText="1"/>
      <protection locked="0" hidden="1"/>
    </xf>
    <xf numFmtId="2" fontId="19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2" fontId="6" fillId="0" borderId="0" xfId="0" applyNumberFormat="1" applyFont="1" applyProtection="1">
      <protection locked="0" hidden="1"/>
    </xf>
    <xf numFmtId="2" fontId="0" fillId="0" borderId="1" xfId="0" applyNumberFormat="1" applyBorder="1" applyAlignment="1" applyProtection="1">
      <alignment horizontal="center" vertical="center" wrapText="1"/>
      <protection locked="0" hidden="1"/>
    </xf>
    <xf numFmtId="2" fontId="5" fillId="0" borderId="1" xfId="0" applyNumberFormat="1" applyFont="1" applyBorder="1" applyAlignment="1" applyProtection="1">
      <alignment horizontal="center" vertical="center"/>
      <protection locked="0" hidden="1"/>
    </xf>
    <xf numFmtId="2" fontId="18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9" fillId="2" borderId="1" xfId="1" applyNumberFormat="1" applyFont="1" applyFill="1" applyBorder="1" applyAlignment="1">
      <alignment horizontal="justify" vertical="center"/>
    </xf>
    <xf numFmtId="2" fontId="19" fillId="2" borderId="0" xfId="1" applyNumberFormat="1" applyFont="1" applyFill="1" applyAlignment="1" applyProtection="1">
      <alignment horizontal="center" vertical="center" wrapText="1"/>
      <protection locked="0" hidden="1"/>
    </xf>
    <xf numFmtId="2" fontId="19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8" fillId="2" borderId="1" xfId="0" applyNumberFormat="1" applyFont="1" applyFill="1" applyBorder="1" applyAlignment="1">
      <alignment horizontal="justify" vertical="center"/>
    </xf>
    <xf numFmtId="2" fontId="19" fillId="2" borderId="1" xfId="0" applyNumberFormat="1" applyFont="1" applyFill="1" applyBorder="1" applyAlignment="1">
      <alignment vertical="center" wrapText="1"/>
    </xf>
    <xf numFmtId="0" fontId="19" fillId="2" borderId="7" xfId="0" applyNumberFormat="1" applyFont="1" applyFill="1" applyBorder="1" applyAlignment="1">
      <alignment horizontal="justify" vertical="center"/>
    </xf>
    <xf numFmtId="0" fontId="19" fillId="2" borderId="7" xfId="7" applyFont="1" applyFill="1" applyBorder="1" applyAlignment="1">
      <alignment horizontal="center" vertical="center" wrapText="1"/>
    </xf>
    <xf numFmtId="2" fontId="19" fillId="2" borderId="7" xfId="7" applyNumberFormat="1" applyFont="1" applyFill="1" applyBorder="1" applyAlignment="1" applyProtection="1">
      <alignment horizontal="center" vertical="center" wrapText="1"/>
      <protection locked="0" hidden="1"/>
    </xf>
    <xf numFmtId="2" fontId="18" fillId="2" borderId="3" xfId="6" applyNumberFormat="1" applyFont="1" applyFill="1" applyBorder="1" applyAlignment="1" applyProtection="1">
      <alignment horizontal="center" vertical="center" wrapText="1"/>
      <protection locked="0" hidden="1"/>
    </xf>
    <xf numFmtId="9" fontId="18" fillId="3" borderId="1" xfId="8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0" fontId="18" fillId="2" borderId="1" xfId="9" applyNumberFormat="1" applyFont="1" applyFill="1" applyBorder="1" applyAlignment="1">
      <alignment horizontal="left" vertical="center" wrapText="1"/>
    </xf>
    <xf numFmtId="166" fontId="1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6" fontId="19" fillId="2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34" fillId="0" borderId="1" xfId="0" quotePrefix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18" fillId="2" borderId="1" xfId="0" applyNumberFormat="1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166" fontId="19" fillId="2" borderId="4" xfId="7" applyNumberFormat="1" applyFont="1" applyFill="1" applyBorder="1" applyAlignment="1">
      <alignment horizontal="center" vertical="center" wrapText="1"/>
    </xf>
    <xf numFmtId="166" fontId="19" fillId="2" borderId="4" xfId="0" applyNumberFormat="1" applyFont="1" applyFill="1" applyBorder="1" applyAlignment="1">
      <alignment horizontal="center" vertical="center" wrapText="1"/>
    </xf>
    <xf numFmtId="166" fontId="19" fillId="2" borderId="4" xfId="1" applyNumberFormat="1" applyFont="1" applyFill="1" applyBorder="1" applyAlignment="1">
      <alignment horizontal="center" vertical="center" wrapText="1"/>
    </xf>
    <xf numFmtId="169" fontId="18" fillId="2" borderId="1" xfId="6" applyNumberFormat="1" applyFont="1" applyFill="1" applyBorder="1" applyAlignment="1">
      <alignment horizontal="center" vertical="center" wrapText="1"/>
    </xf>
    <xf numFmtId="4" fontId="19" fillId="2" borderId="1" xfId="6" applyNumberFormat="1" applyFont="1" applyFill="1" applyBorder="1" applyAlignment="1">
      <alignment horizontal="center" vertical="center" wrapText="1"/>
    </xf>
    <xf numFmtId="169" fontId="19" fillId="2" borderId="1" xfId="6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2" fontId="19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4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66" fontId="18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1" xfId="0" applyFont="1" applyFill="1" applyBorder="1"/>
    <xf numFmtId="0" fontId="8" fillId="2" borderId="0" xfId="0" applyFont="1" applyFill="1"/>
    <xf numFmtId="2" fontId="1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/>
    <xf numFmtId="0" fontId="21" fillId="0" borderId="0" xfId="8" applyFont="1"/>
    <xf numFmtId="0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167" fontId="1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2" fontId="19" fillId="2" borderId="1" xfId="0" applyNumberFormat="1" applyFont="1" applyFill="1" applyBorder="1" applyAlignment="1" applyProtection="1">
      <alignment horizontal="center"/>
      <protection locked="0" hidden="1"/>
    </xf>
    <xf numFmtId="2" fontId="18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2" fontId="18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6" fillId="0" borderId="0" xfId="4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Protection="1">
      <protection locked="0" hidden="1"/>
    </xf>
    <xf numFmtId="0" fontId="36" fillId="0" borderId="0" xfId="4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 applyProtection="1">
      <alignment vertical="center"/>
      <protection locked="0" hidden="1"/>
    </xf>
    <xf numFmtId="0" fontId="9" fillId="0" borderId="0" xfId="0" applyFont="1" applyAlignment="1">
      <alignment horizontal="left" vertical="center"/>
    </xf>
    <xf numFmtId="0" fontId="19" fillId="0" borderId="3" xfId="0" applyNumberFormat="1" applyFont="1" applyFill="1" applyBorder="1" applyAlignment="1">
      <alignment horizontal="justify" vertical="center"/>
    </xf>
    <xf numFmtId="0" fontId="13" fillId="0" borderId="0" xfId="0" applyFont="1" applyAlignment="1">
      <alignment horizontal="left" vertical="center"/>
    </xf>
    <xf numFmtId="2" fontId="19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1" xfId="7" applyFont="1" applyFill="1" applyBorder="1" applyAlignment="1">
      <alignment horizontal="center" vertical="center" wrapText="1"/>
    </xf>
    <xf numFmtId="0" fontId="18" fillId="2" borderId="3" xfId="7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/>
      <protection locked="0" hidden="1"/>
    </xf>
    <xf numFmtId="0" fontId="19" fillId="2" borderId="1" xfId="0" applyNumberFormat="1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18" fillId="0" borderId="7" xfId="8" applyNumberFormat="1" applyFont="1" applyFill="1" applyBorder="1" applyAlignment="1">
      <alignment horizontal="justify" vertical="center"/>
    </xf>
    <xf numFmtId="0" fontId="19" fillId="0" borderId="7" xfId="8" applyNumberFormat="1" applyFont="1" applyFill="1" applyBorder="1" applyAlignment="1">
      <alignment horizontal="center" vertical="center"/>
    </xf>
    <xf numFmtId="0" fontId="18" fillId="0" borderId="7" xfId="8" applyNumberFormat="1" applyFont="1" applyFill="1" applyBorder="1" applyAlignment="1">
      <alignment horizontal="center" vertical="center"/>
    </xf>
    <xf numFmtId="2" fontId="18" fillId="0" borderId="7" xfId="8" applyNumberFormat="1" applyFont="1" applyFill="1" applyBorder="1" applyAlignment="1" applyProtection="1">
      <alignment horizontal="center" vertical="center"/>
      <protection locked="0" hidden="1"/>
    </xf>
    <xf numFmtId="2" fontId="18" fillId="0" borderId="7" xfId="8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1" xfId="8" applyNumberFormat="1" applyFont="1" applyFill="1" applyBorder="1" applyAlignment="1">
      <alignment horizontal="justify" vertical="center"/>
    </xf>
    <xf numFmtId="0" fontId="19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 wrapText="1"/>
    </xf>
    <xf numFmtId="2" fontId="18" fillId="0" borderId="1" xfId="8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8" applyNumberFormat="1" applyFont="1" applyFill="1" applyBorder="1" applyAlignment="1">
      <alignment horizontal="center" vertical="center"/>
    </xf>
    <xf numFmtId="2" fontId="18" fillId="0" borderId="1" xfId="8" applyNumberFormat="1" applyFont="1" applyFill="1" applyBorder="1" applyAlignment="1" applyProtection="1">
      <alignment horizontal="center" vertical="center" wrapText="1"/>
      <protection locked="0" hidden="1"/>
    </xf>
    <xf numFmtId="10" fontId="18" fillId="0" borderId="1" xfId="8" applyNumberFormat="1" applyFont="1" applyFill="1" applyBorder="1" applyAlignment="1">
      <alignment horizontal="center" vertical="center" wrapText="1"/>
    </xf>
    <xf numFmtId="10" fontId="18" fillId="0" borderId="1" xfId="8" applyNumberFormat="1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9" fillId="0" borderId="1" xfId="0" applyFont="1" applyBorder="1" applyAlignment="1">
      <alignment horizontal="center" vertical="center"/>
    </xf>
    <xf numFmtId="9" fontId="39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 applyProtection="1">
      <alignment horizontal="center" vertical="center"/>
      <protection locked="0" hidden="1"/>
    </xf>
    <xf numFmtId="2" fontId="38" fillId="0" borderId="0" xfId="0" applyNumberFormat="1" applyFont="1" applyProtection="1">
      <protection locked="0" hidden="1"/>
    </xf>
    <xf numFmtId="2" fontId="4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1" fillId="2" borderId="1" xfId="7" applyNumberFormat="1" applyFont="1" applyFill="1" applyBorder="1" applyAlignment="1">
      <alignment horizontal="center" vertical="center" wrapText="1"/>
    </xf>
    <xf numFmtId="0" fontId="41" fillId="2" borderId="1" xfId="7" applyNumberFormat="1" applyFont="1" applyFill="1" applyBorder="1" applyAlignment="1">
      <alignment horizontal="justify" vertical="justify"/>
    </xf>
    <xf numFmtId="0" fontId="41" fillId="2" borderId="1" xfId="7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2" fontId="41" fillId="2" borderId="1" xfId="7" applyNumberFormat="1" applyFont="1" applyFill="1" applyBorder="1" applyAlignment="1" applyProtection="1">
      <alignment horizontal="center" vertical="center" wrapText="1"/>
      <protection locked="0" hidden="1"/>
    </xf>
    <xf numFmtId="2" fontId="4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1" fillId="2" borderId="1" xfId="4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18" fillId="0" borderId="1" xfId="6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3" fontId="18" fillId="2" borderId="1" xfId="6" applyNumberFormat="1" applyFont="1" applyFill="1" applyBorder="1" applyAlignment="1">
      <alignment horizontal="center" vertical="center" wrapText="1"/>
    </xf>
    <xf numFmtId="3" fontId="18" fillId="2" borderId="3" xfId="6" applyNumberFormat="1" applyFont="1" applyFill="1" applyBorder="1" applyAlignment="1">
      <alignment horizontal="center" vertical="center" wrapText="1"/>
    </xf>
    <xf numFmtId="3" fontId="18" fillId="2" borderId="8" xfId="6" applyNumberFormat="1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8" fillId="2" borderId="3" xfId="9" applyFont="1" applyFill="1" applyBorder="1" applyAlignment="1">
      <alignment horizontal="center" vertical="center" wrapText="1"/>
    </xf>
    <xf numFmtId="0" fontId="18" fillId="2" borderId="8" xfId="9" applyFont="1" applyFill="1" applyBorder="1" applyAlignment="1">
      <alignment horizontal="center" vertical="center" wrapText="1"/>
    </xf>
    <xf numFmtId="0" fontId="18" fillId="2" borderId="7" xfId="9" applyFont="1" applyFill="1" applyBorder="1" applyAlignment="1">
      <alignment horizontal="center" vertical="center" wrapText="1"/>
    </xf>
    <xf numFmtId="3" fontId="18" fillId="2" borderId="7" xfId="6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" fontId="18" fillId="0" borderId="4" xfId="6" applyNumberFormat="1" applyFont="1" applyBorder="1" applyAlignment="1">
      <alignment horizontal="center" vertical="center" wrapText="1"/>
    </xf>
    <xf numFmtId="4" fontId="18" fillId="0" borderId="6" xfId="6" applyNumberFormat="1" applyFont="1" applyBorder="1" applyAlignment="1">
      <alignment horizontal="center" vertical="center" wrapText="1"/>
    </xf>
    <xf numFmtId="4" fontId="18" fillId="0" borderId="3" xfId="6" applyNumberFormat="1" applyFont="1" applyBorder="1" applyAlignment="1">
      <alignment horizontal="center" vertical="center" wrapText="1"/>
    </xf>
    <xf numFmtId="4" fontId="18" fillId="0" borderId="7" xfId="6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</cellXfs>
  <cellStyles count="11">
    <cellStyle name="Normal" xfId="0" builtinId="0"/>
    <cellStyle name="Normal 10" xfId="3"/>
    <cellStyle name="Normal 2" xfId="4"/>
    <cellStyle name="Normal 3" xfId="1"/>
    <cellStyle name="Обычный 2" xfId="6"/>
    <cellStyle name="Обычный 2 2" xfId="9"/>
    <cellStyle name="Обычный 3" xfId="8"/>
    <cellStyle name="Обычный 4_პუშკინის 13" xfId="5"/>
    <cellStyle name="მძიმე 2" xfId="2"/>
    <cellStyle name="ჩვეულებრივი 2" xfId="7"/>
    <cellStyle name="ჩვეულებრივი 2 2" xfId="10"/>
  </cellStyles>
  <dxfs count="9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topLeftCell="A4" zoomScale="115" zoomScaleNormal="100" zoomScaleSheetLayoutView="115" workbookViewId="0">
      <selection activeCell="D18" sqref="D18"/>
    </sheetView>
  </sheetViews>
  <sheetFormatPr defaultRowHeight="16.5" x14ac:dyDescent="0.35"/>
  <cols>
    <col min="1" max="1" width="3" customWidth="1"/>
    <col min="2" max="2" width="47.25" style="2" customWidth="1"/>
    <col min="3" max="3" width="13.625" style="13" customWidth="1"/>
    <col min="4" max="4" width="15.625" style="13" customWidth="1"/>
    <col min="5" max="5" width="14.25" style="4" customWidth="1"/>
  </cols>
  <sheetData>
    <row r="1" spans="1:6" ht="32.25" customHeight="1" x14ac:dyDescent="0.35">
      <c r="C1" s="12"/>
      <c r="D1" s="12"/>
    </row>
    <row r="2" spans="1:6" ht="48" customHeight="1" x14ac:dyDescent="0.35">
      <c r="A2" s="297" t="s">
        <v>0</v>
      </c>
      <c r="B2" s="297"/>
      <c r="C2" s="297"/>
      <c r="D2" s="297"/>
      <c r="E2" s="297"/>
    </row>
    <row r="3" spans="1:6" s="1" customFormat="1" ht="20.25" x14ac:dyDescent="0.35">
      <c r="A3" s="297" t="s">
        <v>15</v>
      </c>
      <c r="B3" s="297"/>
      <c r="C3" s="297"/>
      <c r="D3" s="297"/>
      <c r="E3" s="297"/>
      <c r="F3" s="11"/>
    </row>
    <row r="4" spans="1:6" ht="26.25" customHeight="1" x14ac:dyDescent="0.35">
      <c r="A4" s="3"/>
      <c r="B4" s="6" t="s">
        <v>5</v>
      </c>
      <c r="C4" s="6" t="s">
        <v>6</v>
      </c>
      <c r="D4" s="6" t="s">
        <v>7</v>
      </c>
      <c r="E4" s="6">
        <v>40000</v>
      </c>
    </row>
    <row r="5" spans="1:6" x14ac:dyDescent="0.35">
      <c r="A5" s="3"/>
      <c r="B5" s="5" t="s">
        <v>8</v>
      </c>
      <c r="C5" s="6" t="s">
        <v>14</v>
      </c>
      <c r="D5" s="6">
        <f>1*1.1+1.5*1.1</f>
        <v>2.75</v>
      </c>
      <c r="E5" s="6"/>
    </row>
    <row r="6" spans="1:6" x14ac:dyDescent="0.35">
      <c r="A6" s="3"/>
      <c r="B6" s="5" t="s">
        <v>11</v>
      </c>
      <c r="C6" s="6" t="s">
        <v>12</v>
      </c>
      <c r="D6" s="6">
        <v>1020</v>
      </c>
      <c r="E6" s="6"/>
    </row>
    <row r="7" spans="1:6" x14ac:dyDescent="0.35">
      <c r="A7" s="3"/>
      <c r="B7" s="5" t="s">
        <v>9</v>
      </c>
      <c r="C7" s="6" t="s">
        <v>14</v>
      </c>
      <c r="D7" s="6">
        <f>1.5*1.5*2</f>
        <v>4.5</v>
      </c>
      <c r="E7" s="6"/>
    </row>
    <row r="8" spans="1:6" x14ac:dyDescent="0.35">
      <c r="A8" s="3"/>
      <c r="B8" s="5" t="s">
        <v>10</v>
      </c>
      <c r="C8" s="6" t="s">
        <v>12</v>
      </c>
      <c r="D8" s="6"/>
      <c r="E8" s="6"/>
    </row>
    <row r="9" spans="1:6" ht="20.25" x14ac:dyDescent="0.35">
      <c r="A9" s="299" t="s">
        <v>16</v>
      </c>
      <c r="B9" s="300"/>
      <c r="C9" s="300"/>
      <c r="D9" s="300"/>
      <c r="E9" s="301"/>
    </row>
    <row r="10" spans="1:6" ht="22.5" customHeight="1" x14ac:dyDescent="0.35">
      <c r="A10" s="3"/>
      <c r="B10" s="6" t="s">
        <v>5</v>
      </c>
      <c r="C10" s="6" t="s">
        <v>6</v>
      </c>
      <c r="D10" s="6" t="s">
        <v>7</v>
      </c>
      <c r="E10" s="6">
        <v>10000</v>
      </c>
    </row>
    <row r="11" spans="1:6" x14ac:dyDescent="0.35">
      <c r="A11" s="3"/>
      <c r="B11" s="5" t="s">
        <v>11</v>
      </c>
      <c r="C11" s="6" t="s">
        <v>12</v>
      </c>
      <c r="D11" s="6">
        <v>1120</v>
      </c>
      <c r="E11" s="6"/>
    </row>
    <row r="12" spans="1:6" x14ac:dyDescent="0.35">
      <c r="A12" s="3"/>
      <c r="B12" s="5" t="s">
        <v>10</v>
      </c>
      <c r="C12" s="6"/>
      <c r="D12" s="6"/>
      <c r="E12" s="6"/>
    </row>
    <row r="13" spans="1:6" ht="20.25" x14ac:dyDescent="0.35">
      <c r="A13" s="299" t="s">
        <v>1</v>
      </c>
      <c r="B13" s="300"/>
      <c r="C13" s="300"/>
      <c r="D13" s="300"/>
      <c r="E13" s="301"/>
    </row>
    <row r="14" spans="1:6" ht="24" customHeight="1" x14ac:dyDescent="0.35">
      <c r="A14" s="3"/>
      <c r="B14" s="6" t="s">
        <v>5</v>
      </c>
      <c r="C14" s="6" t="s">
        <v>6</v>
      </c>
      <c r="D14" s="6" t="s">
        <v>7</v>
      </c>
      <c r="E14" s="6">
        <v>25000</v>
      </c>
    </row>
    <row r="15" spans="1:6" x14ac:dyDescent="0.35">
      <c r="A15" s="3"/>
      <c r="B15" s="5" t="s">
        <v>8</v>
      </c>
      <c r="C15" s="6" t="s">
        <v>14</v>
      </c>
      <c r="D15" s="6">
        <f>1*1.1+1.5*1.1</f>
        <v>2.75</v>
      </c>
      <c r="E15" s="6"/>
    </row>
    <row r="16" spans="1:6" x14ac:dyDescent="0.35">
      <c r="A16" s="3"/>
      <c r="B16" s="5" t="s">
        <v>11</v>
      </c>
      <c r="C16" s="6" t="s">
        <v>12</v>
      </c>
      <c r="D16" s="6">
        <v>1020</v>
      </c>
      <c r="E16" s="6"/>
    </row>
    <row r="17" spans="1:5" x14ac:dyDescent="0.35">
      <c r="A17" s="3"/>
      <c r="B17" s="5" t="s">
        <v>9</v>
      </c>
      <c r="C17" s="6" t="s">
        <v>14</v>
      </c>
      <c r="D17" s="6">
        <f>1.5*1.5*2</f>
        <v>4.5</v>
      </c>
      <c r="E17" s="6"/>
    </row>
    <row r="18" spans="1:5" x14ac:dyDescent="0.35">
      <c r="A18" s="3"/>
      <c r="B18" s="5" t="s">
        <v>10</v>
      </c>
      <c r="C18" s="6" t="s">
        <v>12</v>
      </c>
      <c r="D18" s="6"/>
      <c r="E18" s="6"/>
    </row>
    <row r="19" spans="1:5" ht="20.25" x14ac:dyDescent="0.35">
      <c r="A19" s="299" t="s">
        <v>2</v>
      </c>
      <c r="B19" s="300"/>
      <c r="C19" s="300"/>
      <c r="D19" s="300"/>
      <c r="E19" s="301"/>
    </row>
    <row r="20" spans="1:5" ht="27.75" customHeight="1" x14ac:dyDescent="0.35">
      <c r="A20" s="3"/>
      <c r="B20" s="6" t="s">
        <v>5</v>
      </c>
      <c r="C20" s="6" t="s">
        <v>6</v>
      </c>
      <c r="D20" s="6" t="s">
        <v>7</v>
      </c>
      <c r="E20" s="6">
        <v>35000</v>
      </c>
    </row>
    <row r="21" spans="1:5" x14ac:dyDescent="0.35">
      <c r="A21" s="3"/>
      <c r="B21" s="5" t="s">
        <v>8</v>
      </c>
      <c r="C21" s="6" t="s">
        <v>13</v>
      </c>
      <c r="D21" s="6">
        <v>2</v>
      </c>
      <c r="E21" s="6"/>
    </row>
    <row r="22" spans="1:5" x14ac:dyDescent="0.35">
      <c r="A22" s="3"/>
      <c r="B22" s="5" t="s">
        <v>11</v>
      </c>
      <c r="C22" s="6" t="s">
        <v>12</v>
      </c>
      <c r="D22" s="6">
        <v>1</v>
      </c>
      <c r="E22" s="6"/>
    </row>
    <row r="23" spans="1:5" x14ac:dyDescent="0.35">
      <c r="A23" s="3"/>
      <c r="B23" s="5" t="s">
        <v>9</v>
      </c>
      <c r="C23" s="6"/>
      <c r="D23" s="6"/>
      <c r="E23" s="6"/>
    </row>
    <row r="24" spans="1:5" x14ac:dyDescent="0.35">
      <c r="A24" s="3"/>
      <c r="B24" s="5" t="s">
        <v>10</v>
      </c>
      <c r="C24" s="6"/>
      <c r="D24" s="6"/>
      <c r="E24" s="6"/>
    </row>
    <row r="25" spans="1:5" ht="20.25" x14ac:dyDescent="0.35">
      <c r="A25" s="300" t="s">
        <v>3</v>
      </c>
      <c r="B25" s="300"/>
      <c r="C25" s="300"/>
      <c r="D25" s="300"/>
      <c r="E25" s="301"/>
    </row>
    <row r="26" spans="1:5" ht="28.5" customHeight="1" x14ac:dyDescent="0.35">
      <c r="A26" s="3"/>
      <c r="B26" s="6" t="s">
        <v>5</v>
      </c>
      <c r="C26" s="6" t="s">
        <v>6</v>
      </c>
      <c r="D26" s="6" t="s">
        <v>7</v>
      </c>
      <c r="E26" s="6">
        <v>40000</v>
      </c>
    </row>
    <row r="27" spans="1:5" x14ac:dyDescent="0.35">
      <c r="A27" s="3"/>
      <c r="B27" s="5" t="s">
        <v>8</v>
      </c>
      <c r="C27" s="6" t="s">
        <v>13</v>
      </c>
      <c r="D27" s="6">
        <v>2</v>
      </c>
      <c r="E27" s="6"/>
    </row>
    <row r="28" spans="1:5" x14ac:dyDescent="0.35">
      <c r="A28" s="3"/>
      <c r="B28" s="5" t="s">
        <v>11</v>
      </c>
      <c r="C28" s="6" t="s">
        <v>12</v>
      </c>
      <c r="D28" s="6">
        <v>1</v>
      </c>
      <c r="E28" s="6"/>
    </row>
    <row r="29" spans="1:5" x14ac:dyDescent="0.35">
      <c r="A29" s="3"/>
      <c r="B29" s="5" t="s">
        <v>9</v>
      </c>
      <c r="C29" s="6"/>
      <c r="D29" s="6"/>
      <c r="E29" s="6"/>
    </row>
    <row r="30" spans="1:5" x14ac:dyDescent="0.35">
      <c r="A30" s="3"/>
      <c r="B30" s="5" t="s">
        <v>10</v>
      </c>
      <c r="C30" s="6"/>
      <c r="D30" s="6"/>
      <c r="E30" s="6"/>
    </row>
    <row r="31" spans="1:5" ht="20.25" x14ac:dyDescent="0.35">
      <c r="A31" s="300" t="s">
        <v>4</v>
      </c>
      <c r="B31" s="300"/>
      <c r="C31" s="300"/>
      <c r="D31" s="300"/>
      <c r="E31" s="301"/>
    </row>
    <row r="32" spans="1:5" ht="28.5" customHeight="1" x14ac:dyDescent="0.35">
      <c r="A32" s="3"/>
      <c r="B32" s="6" t="s">
        <v>5</v>
      </c>
      <c r="C32" s="6" t="s">
        <v>6</v>
      </c>
      <c r="D32" s="6" t="s">
        <v>7</v>
      </c>
      <c r="E32" s="6">
        <v>47000</v>
      </c>
    </row>
    <row r="33" spans="1:5" x14ac:dyDescent="0.35">
      <c r="A33" s="3"/>
      <c r="B33" s="5" t="s">
        <v>8</v>
      </c>
      <c r="C33" s="6" t="s">
        <v>13</v>
      </c>
      <c r="D33" s="6">
        <v>2</v>
      </c>
      <c r="E33" s="6"/>
    </row>
    <row r="34" spans="1:5" x14ac:dyDescent="0.35">
      <c r="A34" s="3"/>
      <c r="B34" s="5" t="s">
        <v>11</v>
      </c>
      <c r="C34" s="6" t="s">
        <v>12</v>
      </c>
      <c r="D34" s="6">
        <v>1</v>
      </c>
      <c r="E34" s="6"/>
    </row>
    <row r="35" spans="1:5" x14ac:dyDescent="0.35">
      <c r="A35" s="3"/>
      <c r="B35" s="5" t="s">
        <v>9</v>
      </c>
      <c r="C35" s="6"/>
      <c r="D35" s="6"/>
      <c r="E35" s="6"/>
    </row>
    <row r="36" spans="1:5" x14ac:dyDescent="0.35">
      <c r="A36" s="3"/>
      <c r="B36" s="5" t="s">
        <v>10</v>
      </c>
      <c r="C36" s="6"/>
      <c r="D36" s="6"/>
      <c r="E36" s="6"/>
    </row>
    <row r="37" spans="1:5" x14ac:dyDescent="0.35">
      <c r="A37" s="300" t="s">
        <v>17</v>
      </c>
      <c r="B37" s="302"/>
      <c r="C37" s="302"/>
      <c r="D37" s="302"/>
      <c r="E37" s="303"/>
    </row>
    <row r="38" spans="1:5" ht="30.75" customHeight="1" x14ac:dyDescent="0.35">
      <c r="A38" s="3"/>
      <c r="B38" s="6" t="s">
        <v>5</v>
      </c>
      <c r="C38" s="6" t="s">
        <v>6</v>
      </c>
      <c r="D38" s="6" t="s">
        <v>7</v>
      </c>
      <c r="E38" s="6">
        <v>25000</v>
      </c>
    </row>
    <row r="39" spans="1:5" x14ac:dyDescent="0.35">
      <c r="A39" s="3"/>
      <c r="B39" s="5" t="s">
        <v>11</v>
      </c>
      <c r="C39" s="6" t="s">
        <v>12</v>
      </c>
      <c r="D39" s="6">
        <v>1</v>
      </c>
      <c r="E39" s="6"/>
    </row>
    <row r="40" spans="1:5" x14ac:dyDescent="0.35">
      <c r="A40" s="3"/>
      <c r="B40" s="5" t="s">
        <v>10</v>
      </c>
      <c r="C40" s="6"/>
      <c r="D40" s="6"/>
      <c r="E40" s="6"/>
    </row>
    <row r="41" spans="1:5" ht="15" customHeight="1" x14ac:dyDescent="0.35">
      <c r="A41" s="7"/>
      <c r="B41" s="5"/>
      <c r="C41" s="6"/>
      <c r="D41" s="6"/>
      <c r="E41" s="6"/>
    </row>
    <row r="42" spans="1:5" ht="28.5" customHeight="1" x14ac:dyDescent="0.35">
      <c r="A42" s="7"/>
      <c r="B42" s="8"/>
      <c r="C42" s="10"/>
      <c r="D42" s="9"/>
      <c r="E42" s="10">
        <f>SUM(E4:E41)</f>
        <v>222000</v>
      </c>
    </row>
    <row r="43" spans="1:5" ht="17.25" customHeight="1" x14ac:dyDescent="0.35">
      <c r="A43" s="7"/>
      <c r="B43" s="8"/>
      <c r="C43" s="10"/>
      <c r="D43" s="9"/>
      <c r="E43" s="10"/>
    </row>
    <row r="44" spans="1:5" ht="33" customHeight="1" x14ac:dyDescent="0.35">
      <c r="A44" s="298"/>
      <c r="B44" s="298"/>
      <c r="C44" s="298"/>
      <c r="D44" s="298"/>
      <c r="E44" s="298"/>
    </row>
  </sheetData>
  <mergeCells count="9">
    <mergeCell ref="A2:E2"/>
    <mergeCell ref="A44:E44"/>
    <mergeCell ref="A3:E3"/>
    <mergeCell ref="A9:E9"/>
    <mergeCell ref="A13:E13"/>
    <mergeCell ref="A19:E19"/>
    <mergeCell ref="A25:E25"/>
    <mergeCell ref="A31:E3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topLeftCell="A7" zoomScaleNormal="100" zoomScaleSheetLayoutView="100" workbookViewId="0">
      <selection activeCell="D21" sqref="D21"/>
    </sheetView>
  </sheetViews>
  <sheetFormatPr defaultColWidth="9.125" defaultRowHeight="12.75" x14ac:dyDescent="0.2"/>
  <cols>
    <col min="1" max="1" width="4" style="25" customWidth="1"/>
    <col min="2" max="2" width="14.125" style="25" customWidth="1"/>
    <col min="3" max="3" width="59.625" style="25" customWidth="1"/>
    <col min="4" max="4" width="28.25" style="25" customWidth="1"/>
    <col min="5" max="5" width="17.125" style="33" customWidth="1"/>
    <col min="6" max="6" width="11.125" style="25" customWidth="1"/>
    <col min="7" max="7" width="11.875" style="25" customWidth="1"/>
    <col min="8" max="8" width="12.625" style="25" customWidth="1"/>
    <col min="9" max="9" width="9" style="25" customWidth="1"/>
    <col min="10" max="10" width="11.625" style="25" customWidth="1"/>
    <col min="11" max="11" width="9.125" style="25"/>
    <col min="12" max="12" width="11.125" style="25" customWidth="1"/>
    <col min="13" max="16384" width="9.125" style="25"/>
  </cols>
  <sheetData>
    <row r="1" spans="1:13" ht="14.25" x14ac:dyDescent="0.25">
      <c r="A1" s="24"/>
      <c r="B1" s="24"/>
      <c r="C1" s="24"/>
      <c r="D1" s="24"/>
      <c r="F1" s="26"/>
    </row>
    <row r="2" spans="1:13" ht="14.25" x14ac:dyDescent="0.2">
      <c r="A2" s="304" t="s">
        <v>29</v>
      </c>
      <c r="B2" s="304"/>
      <c r="C2" s="304"/>
      <c r="D2" s="304"/>
      <c r="E2" s="304"/>
      <c r="F2" s="304"/>
    </row>
    <row r="3" spans="1:13" ht="14.25" x14ac:dyDescent="0.2">
      <c r="A3" s="20"/>
      <c r="B3" s="20"/>
      <c r="C3" s="20"/>
      <c r="D3" s="20"/>
      <c r="E3" s="35"/>
      <c r="F3" s="20"/>
    </row>
    <row r="4" spans="1:13" ht="14.25" x14ac:dyDescent="0.2">
      <c r="A4" s="304" t="s">
        <v>233</v>
      </c>
      <c r="B4" s="304"/>
      <c r="C4" s="304"/>
      <c r="D4" s="19"/>
      <c r="E4" s="16"/>
      <c r="F4" s="19"/>
    </row>
    <row r="5" spans="1:13" ht="14.25" customHeight="1" x14ac:dyDescent="0.2">
      <c r="A5" s="305" t="s">
        <v>232</v>
      </c>
      <c r="B5" s="305"/>
      <c r="C5" s="305"/>
      <c r="D5" s="27"/>
      <c r="E5" s="36"/>
      <c r="F5" s="27"/>
    </row>
    <row r="6" spans="1:13" ht="13.5" x14ac:dyDescent="0.25">
      <c r="A6" s="24"/>
      <c r="B6" s="24"/>
      <c r="C6" s="24"/>
      <c r="D6" s="24"/>
      <c r="E6" s="37"/>
    </row>
    <row r="7" spans="1:13" s="14" customFormat="1" ht="42.75" x14ac:dyDescent="0.2">
      <c r="A7" s="18" t="s">
        <v>30</v>
      </c>
      <c r="B7" s="18"/>
      <c r="C7" s="18" t="s">
        <v>31</v>
      </c>
      <c r="D7" s="28" t="s">
        <v>32</v>
      </c>
      <c r="E7" s="38" t="s">
        <v>33</v>
      </c>
      <c r="F7" s="28" t="s">
        <v>34</v>
      </c>
    </row>
    <row r="8" spans="1:13" s="14" customFormat="1" ht="14.25" x14ac:dyDescent="0.2">
      <c r="A8" s="29">
        <v>1</v>
      </c>
      <c r="B8" s="29"/>
      <c r="C8" s="29">
        <v>2</v>
      </c>
      <c r="D8" s="29">
        <v>3</v>
      </c>
      <c r="E8" s="29">
        <v>4</v>
      </c>
      <c r="F8" s="29">
        <v>5</v>
      </c>
      <c r="G8" s="177"/>
      <c r="H8" s="177"/>
      <c r="I8" s="177"/>
      <c r="J8" s="177"/>
      <c r="K8" s="177"/>
      <c r="L8" s="177"/>
      <c r="M8" s="177"/>
    </row>
    <row r="9" spans="1:13" s="14" customFormat="1" ht="33" x14ac:dyDescent="0.2">
      <c r="A9" s="17">
        <v>1</v>
      </c>
      <c r="B9" s="3" t="s">
        <v>39</v>
      </c>
      <c r="C9" s="5" t="s">
        <v>244</v>
      </c>
      <c r="D9" s="6" t="s">
        <v>245</v>
      </c>
      <c r="E9" s="34"/>
      <c r="F9" s="178"/>
      <c r="G9" s="177"/>
      <c r="H9" s="177"/>
      <c r="I9" s="177"/>
      <c r="J9" s="177"/>
      <c r="K9" s="177"/>
      <c r="L9" s="177"/>
      <c r="M9" s="177"/>
    </row>
    <row r="10" spans="1:13" s="14" customFormat="1" ht="33" x14ac:dyDescent="0.2">
      <c r="A10" s="17">
        <v>3</v>
      </c>
      <c r="B10" s="3" t="s">
        <v>40</v>
      </c>
      <c r="C10" s="5" t="s">
        <v>246</v>
      </c>
      <c r="D10" s="6" t="s">
        <v>245</v>
      </c>
      <c r="E10" s="39"/>
      <c r="F10" s="178"/>
      <c r="G10" s="177"/>
      <c r="H10" s="177"/>
      <c r="I10" s="177"/>
      <c r="J10" s="177"/>
      <c r="K10" s="177"/>
      <c r="L10" s="177"/>
      <c r="M10" s="177"/>
    </row>
    <row r="11" spans="1:13" s="14" customFormat="1" ht="21" x14ac:dyDescent="0.2">
      <c r="A11" s="17"/>
      <c r="B11" s="3"/>
      <c r="C11" s="152"/>
      <c r="D11" s="5"/>
      <c r="E11" s="34"/>
      <c r="F11" s="178"/>
      <c r="G11" s="177"/>
      <c r="H11" s="177"/>
      <c r="I11" s="177"/>
      <c r="J11" s="177"/>
      <c r="K11" s="177"/>
      <c r="L11" s="177"/>
      <c r="M11" s="177"/>
    </row>
    <row r="12" spans="1:13" s="14" customFormat="1" ht="14.25" x14ac:dyDescent="0.2">
      <c r="A12" s="31"/>
      <c r="B12" s="31"/>
      <c r="C12" s="18" t="s">
        <v>35</v>
      </c>
      <c r="D12" s="32">
        <v>0.03</v>
      </c>
      <c r="E12" s="30"/>
      <c r="F12" s="179"/>
      <c r="G12" s="177"/>
      <c r="H12" s="177"/>
      <c r="I12" s="177"/>
      <c r="J12" s="177"/>
      <c r="K12" s="177"/>
      <c r="L12" s="177"/>
      <c r="M12" s="177"/>
    </row>
    <row r="13" spans="1:13" s="14" customFormat="1" ht="14.25" x14ac:dyDescent="0.2">
      <c r="A13" s="31"/>
      <c r="B13" s="31"/>
      <c r="C13" s="18" t="s">
        <v>21</v>
      </c>
      <c r="D13" s="18"/>
      <c r="E13" s="30"/>
      <c r="F13" s="179"/>
      <c r="G13" s="177"/>
      <c r="H13" s="177"/>
      <c r="I13" s="177"/>
      <c r="J13" s="177"/>
      <c r="K13" s="177"/>
      <c r="L13" s="177"/>
      <c r="M13" s="177"/>
    </row>
    <row r="14" spans="1:13" s="14" customFormat="1" ht="14.25" x14ac:dyDescent="0.2">
      <c r="A14" s="31"/>
      <c r="B14" s="31"/>
      <c r="C14" s="18" t="s">
        <v>34</v>
      </c>
      <c r="E14" s="151"/>
      <c r="F14" s="179"/>
      <c r="G14" s="177"/>
      <c r="H14" s="177"/>
      <c r="I14" s="177"/>
      <c r="J14" s="177"/>
      <c r="K14" s="177"/>
      <c r="L14" s="177"/>
      <c r="M14" s="177"/>
    </row>
    <row r="15" spans="1:13" s="14" customFormat="1" ht="14.25" x14ac:dyDescent="0.2">
      <c r="A15" s="31"/>
      <c r="B15" s="31"/>
      <c r="C15" s="150" t="s">
        <v>36</v>
      </c>
      <c r="D15" s="32">
        <v>0.02</v>
      </c>
      <c r="E15" s="30"/>
      <c r="F15" s="179"/>
      <c r="G15" s="177"/>
      <c r="H15" s="177"/>
      <c r="I15" s="177"/>
      <c r="J15" s="177"/>
      <c r="K15" s="177"/>
      <c r="L15" s="177"/>
      <c r="M15" s="177"/>
    </row>
    <row r="16" spans="1:13" s="14" customFormat="1" ht="14.25" x14ac:dyDescent="0.2">
      <c r="A16" s="31"/>
      <c r="B16" s="31"/>
      <c r="C16" s="18" t="s">
        <v>21</v>
      </c>
      <c r="D16" s="18"/>
      <c r="E16" s="30"/>
      <c r="F16" s="179"/>
      <c r="G16" s="177"/>
      <c r="H16" s="177"/>
      <c r="I16" s="177"/>
      <c r="J16" s="177"/>
      <c r="K16" s="177"/>
      <c r="L16" s="177"/>
      <c r="M16" s="177"/>
    </row>
    <row r="17" spans="1:13" s="14" customFormat="1" ht="19.5" x14ac:dyDescent="0.3">
      <c r="A17" s="282" t="s">
        <v>242</v>
      </c>
      <c r="B17" s="282"/>
      <c r="C17" s="283" t="s">
        <v>37</v>
      </c>
      <c r="D17" s="284">
        <v>0.18</v>
      </c>
      <c r="E17" s="285"/>
      <c r="F17" s="286"/>
      <c r="G17" s="287"/>
      <c r="H17" s="287"/>
      <c r="I17" s="287"/>
      <c r="J17" s="287"/>
      <c r="K17" s="287"/>
      <c r="L17" s="287"/>
      <c r="M17" s="177"/>
    </row>
    <row r="18" spans="1:13" s="14" customFormat="1" ht="14.25" x14ac:dyDescent="0.2">
      <c r="A18" s="31"/>
      <c r="B18" s="31"/>
      <c r="C18" s="18" t="s">
        <v>38</v>
      </c>
      <c r="D18" s="18"/>
      <c r="E18" s="30"/>
      <c r="F18" s="179"/>
      <c r="G18" s="177"/>
      <c r="H18" s="177"/>
      <c r="I18" s="177"/>
      <c r="J18" s="177"/>
      <c r="K18" s="177"/>
      <c r="L18" s="177"/>
      <c r="M18" s="177"/>
    </row>
    <row r="19" spans="1:13" x14ac:dyDescent="0.2">
      <c r="F19" s="156"/>
      <c r="G19" s="156"/>
      <c r="H19" s="156"/>
      <c r="I19" s="156"/>
      <c r="J19" s="156"/>
      <c r="K19" s="156"/>
      <c r="L19" s="156"/>
      <c r="M19" s="156"/>
    </row>
    <row r="20" spans="1:13" ht="15.75" x14ac:dyDescent="0.3">
      <c r="C20" s="217"/>
      <c r="D20" s="22"/>
      <c r="E20" s="15"/>
      <c r="F20" s="15"/>
      <c r="H20" s="15"/>
      <c r="I20" s="15"/>
      <c r="J20" s="156"/>
      <c r="K20" s="156"/>
      <c r="L20" s="156"/>
      <c r="M20" s="156"/>
    </row>
    <row r="21" spans="1:13" ht="15.75" x14ac:dyDescent="0.3">
      <c r="C21" s="218"/>
      <c r="D21" s="219"/>
      <c r="E21" s="219"/>
      <c r="F21" s="15"/>
      <c r="H21" s="15"/>
      <c r="I21" s="15"/>
      <c r="J21" s="156"/>
      <c r="K21" s="156"/>
      <c r="L21" s="156"/>
      <c r="M21" s="156"/>
    </row>
    <row r="22" spans="1:13" ht="15.75" x14ac:dyDescent="0.3">
      <c r="C22" s="218"/>
      <c r="D22" s="22"/>
      <c r="E22" s="15"/>
      <c r="F22" s="15"/>
      <c r="H22" s="15"/>
      <c r="I22" s="15"/>
      <c r="J22" s="156"/>
      <c r="K22" s="156"/>
      <c r="L22" s="156"/>
      <c r="M22" s="156"/>
    </row>
    <row r="23" spans="1:13" x14ac:dyDescent="0.2">
      <c r="F23" s="156"/>
      <c r="G23" s="156"/>
      <c r="H23" s="156"/>
      <c r="I23" s="156"/>
      <c r="J23" s="156"/>
      <c r="K23" s="156"/>
      <c r="L23" s="156"/>
      <c r="M23" s="156"/>
    </row>
    <row r="24" spans="1:13" x14ac:dyDescent="0.2">
      <c r="F24" s="156"/>
      <c r="G24" s="156"/>
      <c r="H24" s="156"/>
      <c r="I24" s="156"/>
      <c r="J24" s="156"/>
      <c r="K24" s="156"/>
      <c r="L24" s="156"/>
      <c r="M24" s="156"/>
    </row>
    <row r="25" spans="1:13" x14ac:dyDescent="0.2">
      <c r="F25" s="156"/>
      <c r="G25" s="156"/>
      <c r="H25" s="156"/>
      <c r="I25" s="156"/>
      <c r="J25" s="156"/>
      <c r="K25" s="156"/>
      <c r="L25" s="156"/>
      <c r="M25" s="156"/>
    </row>
    <row r="26" spans="1:13" x14ac:dyDescent="0.2">
      <c r="F26" s="156"/>
      <c r="G26" s="156"/>
      <c r="H26" s="156"/>
      <c r="I26" s="156"/>
      <c r="J26" s="156"/>
      <c r="K26" s="156"/>
      <c r="L26" s="156"/>
      <c r="M26" s="156"/>
    </row>
    <row r="27" spans="1:13" x14ac:dyDescent="0.2">
      <c r="F27" s="156"/>
      <c r="G27" s="156"/>
      <c r="H27" s="156"/>
      <c r="I27" s="156"/>
      <c r="J27" s="156"/>
      <c r="K27" s="156"/>
      <c r="L27" s="156"/>
      <c r="M27" s="156"/>
    </row>
    <row r="28" spans="1:13" x14ac:dyDescent="0.2">
      <c r="F28" s="156"/>
      <c r="G28" s="156"/>
      <c r="H28" s="156"/>
      <c r="I28" s="156"/>
      <c r="J28" s="156"/>
      <c r="K28" s="156"/>
      <c r="L28" s="156"/>
      <c r="M28" s="156"/>
    </row>
    <row r="29" spans="1:13" x14ac:dyDescent="0.2">
      <c r="F29" s="156"/>
      <c r="G29" s="156"/>
      <c r="H29" s="156"/>
      <c r="I29" s="156"/>
      <c r="J29" s="156"/>
      <c r="K29" s="156"/>
      <c r="L29" s="156"/>
      <c r="M29" s="156"/>
    </row>
    <row r="30" spans="1:13" x14ac:dyDescent="0.2">
      <c r="F30" s="156"/>
      <c r="G30" s="156"/>
      <c r="H30" s="156"/>
      <c r="I30" s="156"/>
      <c r="J30" s="156"/>
      <c r="K30" s="156"/>
      <c r="L30" s="156"/>
      <c r="M30" s="156"/>
    </row>
    <row r="31" spans="1:13" x14ac:dyDescent="0.2">
      <c r="F31" s="156"/>
      <c r="G31" s="156"/>
      <c r="H31" s="156"/>
      <c r="I31" s="156"/>
      <c r="J31" s="156"/>
      <c r="K31" s="156"/>
      <c r="L31" s="156"/>
      <c r="M31" s="156"/>
    </row>
    <row r="32" spans="1:13" x14ac:dyDescent="0.2">
      <c r="F32" s="156"/>
      <c r="G32" s="156"/>
      <c r="H32" s="156"/>
      <c r="I32" s="156"/>
      <c r="J32" s="156"/>
      <c r="K32" s="156"/>
      <c r="L32" s="156"/>
      <c r="M32" s="156"/>
    </row>
    <row r="33" spans="6:13" x14ac:dyDescent="0.2">
      <c r="F33" s="156"/>
      <c r="G33" s="156"/>
      <c r="H33" s="156"/>
      <c r="I33" s="156"/>
      <c r="J33" s="156"/>
      <c r="K33" s="156"/>
      <c r="L33" s="156"/>
      <c r="M33" s="156"/>
    </row>
    <row r="34" spans="6:13" x14ac:dyDescent="0.2">
      <c r="F34" s="156"/>
      <c r="G34" s="156"/>
      <c r="H34" s="156"/>
      <c r="I34" s="156"/>
      <c r="J34" s="156"/>
      <c r="K34" s="156"/>
      <c r="L34" s="156"/>
      <c r="M34" s="156"/>
    </row>
    <row r="35" spans="6:13" x14ac:dyDescent="0.2">
      <c r="F35" s="156"/>
      <c r="G35" s="156"/>
      <c r="H35" s="156"/>
      <c r="I35" s="156"/>
      <c r="J35" s="156"/>
      <c r="K35" s="156"/>
      <c r="L35" s="156"/>
      <c r="M35" s="156"/>
    </row>
    <row r="36" spans="6:13" x14ac:dyDescent="0.2">
      <c r="F36" s="156"/>
      <c r="G36" s="156"/>
      <c r="H36" s="156"/>
      <c r="I36" s="156"/>
      <c r="J36" s="156"/>
      <c r="K36" s="156"/>
      <c r="L36" s="156"/>
      <c r="M36" s="156"/>
    </row>
    <row r="37" spans="6:13" x14ac:dyDescent="0.2">
      <c r="F37" s="156"/>
      <c r="G37" s="156"/>
      <c r="H37" s="156"/>
      <c r="I37" s="156"/>
      <c r="J37" s="156"/>
      <c r="K37" s="156"/>
      <c r="L37" s="156"/>
      <c r="M37" s="156"/>
    </row>
    <row r="38" spans="6:13" x14ac:dyDescent="0.2">
      <c r="F38" s="156"/>
      <c r="G38" s="156"/>
      <c r="H38" s="156"/>
      <c r="I38" s="156"/>
      <c r="J38" s="156"/>
      <c r="K38" s="156"/>
      <c r="L38" s="156"/>
      <c r="M38" s="156"/>
    </row>
    <row r="39" spans="6:13" x14ac:dyDescent="0.2">
      <c r="F39" s="156"/>
      <c r="G39" s="156"/>
      <c r="H39" s="156"/>
      <c r="I39" s="156"/>
      <c r="J39" s="156"/>
      <c r="K39" s="156"/>
      <c r="L39" s="156"/>
      <c r="M39" s="156"/>
    </row>
    <row r="40" spans="6:13" x14ac:dyDescent="0.2">
      <c r="F40" s="156"/>
      <c r="G40" s="156"/>
      <c r="H40" s="156"/>
      <c r="I40" s="156"/>
      <c r="J40" s="156"/>
      <c r="K40" s="156"/>
      <c r="L40" s="156"/>
      <c r="M40" s="156"/>
    </row>
    <row r="41" spans="6:13" x14ac:dyDescent="0.2">
      <c r="F41" s="156"/>
      <c r="G41" s="156"/>
      <c r="H41" s="156"/>
      <c r="I41" s="156"/>
      <c r="J41" s="156"/>
      <c r="K41" s="156"/>
      <c r="L41" s="156"/>
      <c r="M41" s="156"/>
    </row>
    <row r="42" spans="6:13" x14ac:dyDescent="0.2">
      <c r="F42" s="156"/>
      <c r="G42" s="156"/>
      <c r="H42" s="156"/>
      <c r="I42" s="156"/>
      <c r="J42" s="156"/>
      <c r="K42" s="156"/>
      <c r="L42" s="156"/>
      <c r="M42" s="156"/>
    </row>
    <row r="43" spans="6:13" x14ac:dyDescent="0.2">
      <c r="F43" s="156"/>
      <c r="G43" s="156"/>
      <c r="H43" s="156"/>
      <c r="I43" s="156"/>
      <c r="J43" s="156"/>
      <c r="K43" s="156"/>
      <c r="L43" s="156"/>
      <c r="M43" s="156"/>
    </row>
    <row r="44" spans="6:13" x14ac:dyDescent="0.2">
      <c r="F44" s="156"/>
      <c r="G44" s="156"/>
      <c r="H44" s="156"/>
      <c r="I44" s="156"/>
      <c r="J44" s="156"/>
      <c r="K44" s="156"/>
      <c r="L44" s="156"/>
      <c r="M44" s="156"/>
    </row>
    <row r="45" spans="6:13" x14ac:dyDescent="0.2">
      <c r="F45" s="156"/>
      <c r="G45" s="156"/>
      <c r="H45" s="156"/>
      <c r="I45" s="156"/>
      <c r="J45" s="156"/>
      <c r="K45" s="156"/>
      <c r="L45" s="156"/>
      <c r="M45" s="156"/>
    </row>
    <row r="46" spans="6:13" x14ac:dyDescent="0.2">
      <c r="F46" s="156"/>
      <c r="G46" s="156"/>
      <c r="H46" s="156"/>
      <c r="I46" s="156"/>
      <c r="J46" s="156"/>
      <c r="K46" s="156"/>
      <c r="L46" s="156"/>
      <c r="M46" s="156"/>
    </row>
    <row r="47" spans="6:13" x14ac:dyDescent="0.2">
      <c r="F47" s="156"/>
      <c r="G47" s="156"/>
      <c r="H47" s="156"/>
      <c r="I47" s="156"/>
      <c r="J47" s="156"/>
      <c r="K47" s="156"/>
      <c r="L47" s="156"/>
      <c r="M47" s="156"/>
    </row>
    <row r="48" spans="6:13" x14ac:dyDescent="0.2">
      <c r="F48" s="156"/>
      <c r="G48" s="156"/>
      <c r="H48" s="156"/>
      <c r="I48" s="156"/>
      <c r="J48" s="156"/>
      <c r="K48" s="156"/>
      <c r="L48" s="156"/>
      <c r="M48" s="156"/>
    </row>
    <row r="49" spans="6:13" x14ac:dyDescent="0.2">
      <c r="F49" s="156"/>
      <c r="G49" s="156"/>
      <c r="H49" s="156"/>
      <c r="I49" s="156"/>
      <c r="J49" s="156"/>
      <c r="K49" s="156"/>
      <c r="L49" s="156"/>
      <c r="M49" s="156"/>
    </row>
    <row r="50" spans="6:13" x14ac:dyDescent="0.2">
      <c r="F50" s="156"/>
      <c r="G50" s="156"/>
      <c r="H50" s="156"/>
      <c r="I50" s="156"/>
      <c r="J50" s="156"/>
      <c r="K50" s="156"/>
      <c r="L50" s="156"/>
      <c r="M50" s="156"/>
    </row>
    <row r="51" spans="6:13" x14ac:dyDescent="0.2">
      <c r="F51" s="156"/>
      <c r="G51" s="156"/>
      <c r="H51" s="156"/>
      <c r="I51" s="156"/>
      <c r="J51" s="156"/>
      <c r="K51" s="156"/>
      <c r="L51" s="156"/>
      <c r="M51" s="156"/>
    </row>
    <row r="52" spans="6:13" x14ac:dyDescent="0.2">
      <c r="F52" s="156"/>
      <c r="G52" s="156"/>
      <c r="H52" s="156"/>
      <c r="I52" s="156"/>
      <c r="J52" s="156"/>
      <c r="K52" s="156"/>
      <c r="L52" s="156"/>
      <c r="M52" s="156"/>
    </row>
    <row r="53" spans="6:13" x14ac:dyDescent="0.2">
      <c r="F53" s="156"/>
      <c r="G53" s="156"/>
      <c r="H53" s="156"/>
      <c r="I53" s="156"/>
      <c r="J53" s="156"/>
      <c r="K53" s="156"/>
      <c r="L53" s="156"/>
      <c r="M53" s="156"/>
    </row>
    <row r="54" spans="6:13" x14ac:dyDescent="0.2">
      <c r="F54" s="156"/>
      <c r="G54" s="156"/>
      <c r="H54" s="156"/>
      <c r="I54" s="156"/>
      <c r="J54" s="156"/>
      <c r="K54" s="156"/>
      <c r="L54" s="156"/>
      <c r="M54" s="156"/>
    </row>
    <row r="55" spans="6:13" x14ac:dyDescent="0.2">
      <c r="F55" s="156"/>
      <c r="G55" s="156"/>
      <c r="H55" s="156"/>
      <c r="I55" s="156"/>
      <c r="J55" s="156"/>
      <c r="K55" s="156"/>
      <c r="L55" s="156"/>
      <c r="M55" s="156"/>
    </row>
    <row r="56" spans="6:13" x14ac:dyDescent="0.2">
      <c r="F56" s="156"/>
      <c r="G56" s="156"/>
      <c r="H56" s="156"/>
      <c r="I56" s="156"/>
      <c r="J56" s="156"/>
      <c r="K56" s="156"/>
      <c r="L56" s="156"/>
      <c r="M56" s="156"/>
    </row>
    <row r="57" spans="6:13" x14ac:dyDescent="0.2">
      <c r="F57" s="156"/>
      <c r="G57" s="156"/>
      <c r="H57" s="156"/>
      <c r="I57" s="156"/>
      <c r="J57" s="156"/>
      <c r="K57" s="156"/>
      <c r="L57" s="156"/>
      <c r="M57" s="156"/>
    </row>
    <row r="58" spans="6:13" x14ac:dyDescent="0.2">
      <c r="F58" s="156"/>
      <c r="G58" s="156"/>
      <c r="H58" s="156"/>
      <c r="I58" s="156"/>
      <c r="J58" s="156"/>
      <c r="K58" s="156"/>
      <c r="L58" s="156"/>
      <c r="M58" s="156"/>
    </row>
    <row r="59" spans="6:13" x14ac:dyDescent="0.2">
      <c r="F59" s="156"/>
      <c r="G59" s="156"/>
      <c r="H59" s="156"/>
      <c r="I59" s="156"/>
      <c r="J59" s="156"/>
      <c r="K59" s="156"/>
      <c r="L59" s="156"/>
      <c r="M59" s="156"/>
    </row>
    <row r="60" spans="6:13" x14ac:dyDescent="0.2">
      <c r="F60" s="156"/>
      <c r="G60" s="156"/>
      <c r="H60" s="156"/>
      <c r="I60" s="156"/>
      <c r="J60" s="156"/>
      <c r="K60" s="156"/>
      <c r="L60" s="156"/>
      <c r="M60" s="156"/>
    </row>
    <row r="61" spans="6:13" x14ac:dyDescent="0.2">
      <c r="F61" s="156"/>
      <c r="G61" s="156"/>
      <c r="H61" s="156"/>
      <c r="I61" s="156"/>
      <c r="J61" s="156"/>
      <c r="K61" s="156"/>
      <c r="L61" s="156"/>
      <c r="M61" s="156"/>
    </row>
    <row r="62" spans="6:13" x14ac:dyDescent="0.2">
      <c r="F62" s="156"/>
      <c r="G62" s="156"/>
      <c r="H62" s="156"/>
      <c r="I62" s="156"/>
      <c r="J62" s="156"/>
      <c r="K62" s="156"/>
      <c r="L62" s="156"/>
      <c r="M62" s="156"/>
    </row>
    <row r="63" spans="6:13" x14ac:dyDescent="0.2">
      <c r="F63" s="156"/>
      <c r="G63" s="156"/>
      <c r="H63" s="156"/>
      <c r="I63" s="156"/>
      <c r="J63" s="156"/>
      <c r="K63" s="156"/>
      <c r="L63" s="156"/>
      <c r="M63" s="156"/>
    </row>
  </sheetData>
  <mergeCells count="3">
    <mergeCell ref="A2:F2"/>
    <mergeCell ref="A4:C4"/>
    <mergeCell ref="A5:C5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O162"/>
  <sheetViews>
    <sheetView view="pageBreakPreview" topLeftCell="A77" zoomScaleNormal="100" zoomScaleSheetLayoutView="100" workbookViewId="0">
      <selection activeCell="A4" sqref="A4:C4"/>
    </sheetView>
  </sheetViews>
  <sheetFormatPr defaultColWidth="9.125" defaultRowHeight="15.75" x14ac:dyDescent="0.3"/>
  <cols>
    <col min="1" max="1" width="5" style="248" customWidth="1"/>
    <col min="2" max="2" width="16.75" style="249" customWidth="1"/>
    <col min="3" max="3" width="59.625" style="257" customWidth="1"/>
    <col min="4" max="4" width="10.125" style="251" customWidth="1"/>
    <col min="5" max="5" width="10.375" style="223" customWidth="1"/>
    <col min="6" max="6" width="11.125" style="223" customWidth="1"/>
    <col min="7" max="7" width="11" style="223" customWidth="1"/>
    <col min="8" max="8" width="12.625" style="223" customWidth="1"/>
    <col min="9" max="9" width="10.375" style="223" customWidth="1"/>
    <col min="10" max="10" width="12.875" style="223" customWidth="1"/>
    <col min="11" max="11" width="9.375" style="223" bestFit="1" customWidth="1"/>
    <col min="12" max="12" width="11.125" style="223" customWidth="1"/>
    <col min="13" max="13" width="12.75" style="223" customWidth="1"/>
    <col min="14" max="16" width="9.125" style="223"/>
    <col min="17" max="17" width="11.125" style="223" customWidth="1"/>
    <col min="18" max="27" width="9.125" style="223"/>
    <col min="28" max="28" width="10.75" style="223" customWidth="1"/>
    <col min="29" max="16384" width="9.125" style="223"/>
  </cols>
  <sheetData>
    <row r="1" spans="1:197" ht="35.25" customHeight="1" x14ac:dyDescent="0.3">
      <c r="A1" s="316" t="s">
        <v>240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97" x14ac:dyDescent="0.3">
      <c r="A2" s="317" t="s">
        <v>28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97" x14ac:dyDescent="0.3">
      <c r="A3" s="317"/>
      <c r="B3" s="317"/>
      <c r="C3" s="317"/>
      <c r="D3" s="317"/>
      <c r="E3" s="317"/>
      <c r="F3" s="317"/>
      <c r="G3" s="224"/>
      <c r="H3" s="224"/>
      <c r="I3" s="224"/>
      <c r="J3" s="224"/>
      <c r="K3" s="224"/>
      <c r="L3" s="224"/>
      <c r="M3" s="224"/>
    </row>
    <row r="4" spans="1:197" x14ac:dyDescent="0.3">
      <c r="A4" s="318"/>
      <c r="B4" s="318"/>
      <c r="C4" s="318"/>
      <c r="D4" s="316"/>
      <c r="E4" s="316"/>
      <c r="F4" s="316"/>
      <c r="G4" s="225"/>
      <c r="H4" s="225"/>
      <c r="I4" s="225"/>
      <c r="J4" s="225"/>
      <c r="K4" s="225"/>
      <c r="L4" s="319" t="s">
        <v>41</v>
      </c>
      <c r="M4" s="319"/>
    </row>
    <row r="5" spans="1:197" ht="39.75" customHeight="1" x14ac:dyDescent="0.3">
      <c r="A5" s="306" t="s">
        <v>30</v>
      </c>
      <c r="B5" s="306" t="s">
        <v>42</v>
      </c>
      <c r="C5" s="306" t="s">
        <v>43</v>
      </c>
      <c r="D5" s="306" t="s">
        <v>44</v>
      </c>
      <c r="E5" s="306" t="s">
        <v>19</v>
      </c>
      <c r="F5" s="306"/>
      <c r="G5" s="306" t="s">
        <v>45</v>
      </c>
      <c r="H5" s="306"/>
      <c r="I5" s="306" t="s">
        <v>20</v>
      </c>
      <c r="J5" s="306"/>
      <c r="K5" s="306" t="s">
        <v>46</v>
      </c>
      <c r="L5" s="306"/>
      <c r="M5" s="306" t="s">
        <v>21</v>
      </c>
    </row>
    <row r="6" spans="1:197" ht="42" x14ac:dyDescent="0.3">
      <c r="A6" s="306"/>
      <c r="B6" s="306"/>
      <c r="C6" s="306"/>
      <c r="D6" s="306"/>
      <c r="E6" s="42" t="s">
        <v>22</v>
      </c>
      <c r="F6" s="42" t="s">
        <v>47</v>
      </c>
      <c r="G6" s="42"/>
      <c r="H6" s="42"/>
      <c r="I6" s="42"/>
      <c r="J6" s="42"/>
      <c r="K6" s="42"/>
      <c r="L6" s="42"/>
      <c r="M6" s="306"/>
    </row>
    <row r="7" spans="1:197" ht="18" customHeight="1" x14ac:dyDescent="0.3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/>
      <c r="H7" s="44"/>
      <c r="I7" s="44"/>
      <c r="J7" s="44"/>
      <c r="K7" s="44"/>
      <c r="L7" s="44"/>
      <c r="M7" s="44"/>
    </row>
    <row r="8" spans="1:197" ht="63.75" customHeight="1" x14ac:dyDescent="0.3">
      <c r="A8" s="307">
        <v>1</v>
      </c>
      <c r="B8" s="46" t="s">
        <v>48</v>
      </c>
      <c r="C8" s="47" t="s">
        <v>49</v>
      </c>
      <c r="D8" s="221" t="s">
        <v>50</v>
      </c>
      <c r="E8" s="48"/>
      <c r="F8" s="226">
        <v>6.0000000000000001E-3</v>
      </c>
      <c r="G8" s="49"/>
      <c r="H8" s="49"/>
      <c r="I8" s="49"/>
      <c r="J8" s="49"/>
      <c r="K8" s="49"/>
      <c r="L8" s="227"/>
      <c r="M8" s="49"/>
    </row>
    <row r="9" spans="1:197" s="41" customFormat="1" ht="21" customHeight="1" x14ac:dyDescent="0.2">
      <c r="A9" s="309"/>
      <c r="B9" s="52"/>
      <c r="C9" s="258" t="s">
        <v>51</v>
      </c>
      <c r="D9" s="49" t="s">
        <v>52</v>
      </c>
      <c r="E9" s="49">
        <v>33.96</v>
      </c>
      <c r="F9" s="54">
        <f>E9*F8</f>
        <v>0.20376</v>
      </c>
      <c r="G9" s="49"/>
      <c r="H9" s="49"/>
      <c r="I9" s="54"/>
      <c r="J9" s="54"/>
      <c r="K9" s="221"/>
      <c r="L9" s="54"/>
      <c r="M9" s="54"/>
    </row>
    <row r="10" spans="1:197" s="41" customFormat="1" ht="41.25" customHeight="1" x14ac:dyDescent="0.2">
      <c r="A10" s="307">
        <v>2</v>
      </c>
      <c r="B10" s="46" t="s">
        <v>53</v>
      </c>
      <c r="C10" s="47" t="s">
        <v>54</v>
      </c>
      <c r="D10" s="221" t="s">
        <v>55</v>
      </c>
      <c r="E10" s="48"/>
      <c r="F10" s="228">
        <v>7.2</v>
      </c>
      <c r="G10" s="49"/>
      <c r="H10" s="49"/>
      <c r="I10" s="54"/>
      <c r="J10" s="54"/>
      <c r="K10" s="221"/>
      <c r="L10" s="54"/>
      <c r="M10" s="54"/>
    </row>
    <row r="11" spans="1:197" s="45" customFormat="1" ht="21" x14ac:dyDescent="0.2">
      <c r="A11" s="308"/>
      <c r="B11" s="56"/>
      <c r="C11" s="57" t="s">
        <v>23</v>
      </c>
      <c r="D11" s="49" t="s">
        <v>56</v>
      </c>
      <c r="E11" s="49">
        <f>1247/100</f>
        <v>12.47</v>
      </c>
      <c r="F11" s="54">
        <f>E11*F10</f>
        <v>89.784000000000006</v>
      </c>
      <c r="G11" s="54"/>
      <c r="H11" s="54"/>
      <c r="I11" s="54"/>
      <c r="J11" s="54"/>
      <c r="K11" s="221"/>
      <c r="L11" s="54"/>
      <c r="M11" s="54"/>
    </row>
    <row r="12" spans="1:197" s="51" customFormat="1" ht="21" x14ac:dyDescent="0.35">
      <c r="A12" s="309"/>
      <c r="B12" s="56" t="s">
        <v>57</v>
      </c>
      <c r="C12" s="58" t="s">
        <v>58</v>
      </c>
      <c r="D12" s="49" t="s">
        <v>52</v>
      </c>
      <c r="E12" s="49">
        <f>347/100</f>
        <v>3.47</v>
      </c>
      <c r="F12" s="157">
        <v>0.02</v>
      </c>
      <c r="G12" s="157"/>
      <c r="H12" s="157"/>
      <c r="I12" s="157"/>
      <c r="J12" s="157"/>
      <c r="K12" s="154"/>
      <c r="L12" s="157"/>
      <c r="M12" s="157"/>
    </row>
    <row r="13" spans="1:197" s="51" customFormat="1" ht="42" x14ac:dyDescent="0.35">
      <c r="A13" s="307">
        <v>3</v>
      </c>
      <c r="B13" s="191" t="s">
        <v>205</v>
      </c>
      <c r="C13" s="199" t="s">
        <v>210</v>
      </c>
      <c r="D13" s="191" t="s">
        <v>206</v>
      </c>
      <c r="E13" s="192"/>
      <c r="F13" s="154">
        <v>10.5</v>
      </c>
      <c r="G13" s="157"/>
      <c r="H13" s="157"/>
      <c r="I13" s="157"/>
      <c r="J13" s="157"/>
      <c r="K13" s="157"/>
      <c r="L13" s="157"/>
      <c r="M13" s="157"/>
    </row>
    <row r="14" spans="1:197" s="55" customFormat="1" ht="21" x14ac:dyDescent="0.35">
      <c r="A14" s="308"/>
      <c r="B14" s="193" t="s">
        <v>207</v>
      </c>
      <c r="C14" s="200" t="s">
        <v>208</v>
      </c>
      <c r="D14" s="194" t="s">
        <v>209</v>
      </c>
      <c r="E14" s="195">
        <v>2.472</v>
      </c>
      <c r="F14" s="157">
        <f>E14*F13</f>
        <v>25.956</v>
      </c>
      <c r="G14" s="54"/>
      <c r="H14" s="157"/>
      <c r="I14" s="157"/>
      <c r="J14" s="157"/>
      <c r="K14" s="157"/>
      <c r="L14" s="157"/>
      <c r="M14" s="157"/>
    </row>
    <row r="15" spans="1:197" s="45" customFormat="1" ht="42.75" customHeight="1" x14ac:dyDescent="0.2">
      <c r="A15" s="307">
        <v>4</v>
      </c>
      <c r="B15" s="46" t="s">
        <v>72</v>
      </c>
      <c r="C15" s="59" t="s">
        <v>176</v>
      </c>
      <c r="D15" s="221" t="s">
        <v>73</v>
      </c>
      <c r="E15" s="221"/>
      <c r="F15" s="229">
        <v>1.25</v>
      </c>
      <c r="G15" s="157"/>
      <c r="H15" s="157"/>
      <c r="I15" s="157"/>
      <c r="J15" s="157"/>
      <c r="K15" s="157"/>
      <c r="L15" s="157"/>
      <c r="M15" s="15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</row>
    <row r="16" spans="1:197" s="45" customFormat="1" ht="21" x14ac:dyDescent="0.2">
      <c r="A16" s="308"/>
      <c r="B16" s="56"/>
      <c r="C16" s="60" t="s">
        <v>61</v>
      </c>
      <c r="D16" s="49" t="s">
        <v>56</v>
      </c>
      <c r="E16" s="49">
        <v>1.78</v>
      </c>
      <c r="F16" s="157">
        <f>E16*F15</f>
        <v>2.2250000000000001</v>
      </c>
      <c r="G16" s="54"/>
      <c r="H16" s="157"/>
      <c r="I16" s="157"/>
      <c r="J16" s="157"/>
      <c r="K16" s="157"/>
      <c r="L16" s="157"/>
      <c r="M16" s="15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</row>
    <row r="17" spans="1:197" s="45" customFormat="1" ht="24" x14ac:dyDescent="0.2">
      <c r="A17" s="309"/>
      <c r="B17" s="56" t="s">
        <v>74</v>
      </c>
      <c r="C17" s="60" t="s">
        <v>75</v>
      </c>
      <c r="D17" s="49" t="s">
        <v>76</v>
      </c>
      <c r="E17" s="49">
        <v>1.1000000000000001</v>
      </c>
      <c r="F17" s="157">
        <f>E17*F15</f>
        <v>1.375</v>
      </c>
      <c r="G17" s="157"/>
      <c r="H17" s="157"/>
      <c r="I17" s="157"/>
      <c r="J17" s="157"/>
      <c r="K17" s="157"/>
      <c r="L17" s="157"/>
      <c r="M17" s="15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</row>
    <row r="18" spans="1:197" s="45" customFormat="1" ht="42" x14ac:dyDescent="0.4">
      <c r="A18" s="307">
        <v>5</v>
      </c>
      <c r="B18" s="46" t="s">
        <v>77</v>
      </c>
      <c r="C18" s="101" t="s">
        <v>212</v>
      </c>
      <c r="D18" s="221" t="s">
        <v>78</v>
      </c>
      <c r="E18" s="230"/>
      <c r="F18" s="154">
        <v>3.01</v>
      </c>
      <c r="G18" s="157"/>
      <c r="H18" s="157"/>
      <c r="I18" s="157"/>
      <c r="J18" s="157"/>
      <c r="K18" s="157"/>
      <c r="L18" s="157"/>
      <c r="M18" s="15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</row>
    <row r="19" spans="1:197" s="45" customFormat="1" ht="21" x14ac:dyDescent="0.2">
      <c r="A19" s="308"/>
      <c r="B19" s="56"/>
      <c r="C19" s="60" t="s">
        <v>67</v>
      </c>
      <c r="D19" s="49" t="s">
        <v>56</v>
      </c>
      <c r="E19" s="49">
        <v>5.99</v>
      </c>
      <c r="F19" s="157">
        <f>E19*F18</f>
        <v>18.029899999999998</v>
      </c>
      <c r="G19" s="54"/>
      <c r="H19" s="157"/>
      <c r="I19" s="157"/>
      <c r="J19" s="157"/>
      <c r="K19" s="157"/>
      <c r="L19" s="157"/>
      <c r="M19" s="157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</row>
    <row r="20" spans="1:197" s="45" customFormat="1" ht="21" x14ac:dyDescent="0.2">
      <c r="A20" s="308"/>
      <c r="B20" s="56" t="s">
        <v>79</v>
      </c>
      <c r="C20" s="64" t="s">
        <v>80</v>
      </c>
      <c r="D20" s="65" t="s">
        <v>55</v>
      </c>
      <c r="E20" s="49">
        <v>1.0149999999999999</v>
      </c>
      <c r="F20" s="157">
        <f>E20*F18</f>
        <v>3.0551499999999994</v>
      </c>
      <c r="G20" s="157"/>
      <c r="H20" s="157"/>
      <c r="I20" s="206"/>
      <c r="J20" s="157"/>
      <c r="K20" s="157"/>
      <c r="L20" s="157"/>
      <c r="M20" s="15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</row>
    <row r="21" spans="1:197" s="45" customFormat="1" ht="21" x14ac:dyDescent="0.2">
      <c r="A21" s="308"/>
      <c r="B21" s="79" t="s">
        <v>81</v>
      </c>
      <c r="C21" s="64" t="s">
        <v>82</v>
      </c>
      <c r="D21" s="65" t="s">
        <v>27</v>
      </c>
      <c r="E21" s="117" t="s">
        <v>83</v>
      </c>
      <c r="F21" s="162">
        <v>0.32900000000000001</v>
      </c>
      <c r="G21" s="157"/>
      <c r="H21" s="157"/>
      <c r="I21" s="206"/>
      <c r="J21" s="157"/>
      <c r="K21" s="157"/>
      <c r="L21" s="157"/>
      <c r="M21" s="157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</row>
    <row r="22" spans="1:197" s="76" customFormat="1" ht="21" x14ac:dyDescent="0.2">
      <c r="A22" s="308"/>
      <c r="B22" s="79" t="s">
        <v>84</v>
      </c>
      <c r="C22" s="64" t="s">
        <v>85</v>
      </c>
      <c r="D22" s="65" t="s">
        <v>27</v>
      </c>
      <c r="E22" s="117" t="s">
        <v>83</v>
      </c>
      <c r="F22" s="162">
        <v>0.02</v>
      </c>
      <c r="G22" s="157"/>
      <c r="H22" s="157"/>
      <c r="I22" s="206"/>
      <c r="J22" s="157"/>
      <c r="K22" s="157"/>
      <c r="L22" s="157"/>
      <c r="M22" s="157"/>
      <c r="N22" s="75"/>
    </row>
    <row r="23" spans="1:197" s="76" customFormat="1" ht="21" x14ac:dyDescent="0.2">
      <c r="A23" s="310"/>
      <c r="B23" s="295" t="s">
        <v>86</v>
      </c>
      <c r="C23" s="290" t="s">
        <v>87</v>
      </c>
      <c r="D23" s="291" t="s">
        <v>55</v>
      </c>
      <c r="E23" s="296">
        <v>2.7799999999999998E-2</v>
      </c>
      <c r="F23" s="293">
        <f>E23*F18</f>
        <v>8.3677999999999989E-2</v>
      </c>
      <c r="G23" s="294"/>
      <c r="H23" s="294"/>
      <c r="I23" s="288"/>
      <c r="J23" s="294"/>
      <c r="K23" s="294"/>
      <c r="L23" s="294"/>
      <c r="M23" s="157"/>
      <c r="N23" s="75"/>
    </row>
    <row r="24" spans="1:197" s="76" customFormat="1" ht="21" x14ac:dyDescent="0.2">
      <c r="A24" s="308"/>
      <c r="B24" s="79" t="s">
        <v>88</v>
      </c>
      <c r="C24" s="64" t="s">
        <v>89</v>
      </c>
      <c r="D24" s="65" t="s">
        <v>90</v>
      </c>
      <c r="E24" s="49">
        <v>1.18</v>
      </c>
      <c r="F24" s="162">
        <f>E24*F18</f>
        <v>3.5517999999999996</v>
      </c>
      <c r="G24" s="157"/>
      <c r="H24" s="157"/>
      <c r="I24" s="206"/>
      <c r="J24" s="157"/>
      <c r="K24" s="157"/>
      <c r="L24" s="157"/>
      <c r="M24" s="157"/>
      <c r="N24" s="75"/>
    </row>
    <row r="25" spans="1:197" s="76" customFormat="1" ht="21" x14ac:dyDescent="0.2">
      <c r="A25" s="308"/>
      <c r="B25" s="79" t="s">
        <v>91</v>
      </c>
      <c r="C25" s="64" t="s">
        <v>92</v>
      </c>
      <c r="D25" s="65" t="s">
        <v>27</v>
      </c>
      <c r="E25" s="49">
        <v>1.4E-3</v>
      </c>
      <c r="F25" s="198">
        <f>E25*F18</f>
        <v>4.2139999999999999E-3</v>
      </c>
      <c r="G25" s="157"/>
      <c r="H25" s="157"/>
      <c r="I25" s="206"/>
      <c r="J25" s="157"/>
      <c r="K25" s="157"/>
      <c r="L25" s="157"/>
      <c r="M25" s="157"/>
      <c r="N25" s="75"/>
    </row>
    <row r="26" spans="1:197" s="76" customFormat="1" ht="21" x14ac:dyDescent="0.2">
      <c r="A26" s="308"/>
      <c r="B26" s="79" t="s">
        <v>93</v>
      </c>
      <c r="C26" s="64" t="s">
        <v>94</v>
      </c>
      <c r="D26" s="65" t="s">
        <v>27</v>
      </c>
      <c r="E26" s="49">
        <v>1.1000000000000001E-3</v>
      </c>
      <c r="F26" s="198">
        <f>E26*F18</f>
        <v>3.3110000000000001E-3</v>
      </c>
      <c r="G26" s="157"/>
      <c r="H26" s="157"/>
      <c r="I26" s="206"/>
      <c r="J26" s="157"/>
      <c r="K26" s="157"/>
      <c r="L26" s="157"/>
      <c r="M26" s="157"/>
      <c r="N26" s="75"/>
    </row>
    <row r="27" spans="1:197" s="233" customFormat="1" ht="21" x14ac:dyDescent="0.2">
      <c r="A27" s="308"/>
      <c r="B27" s="79"/>
      <c r="C27" s="64" t="s">
        <v>70</v>
      </c>
      <c r="D27" s="65" t="s">
        <v>25</v>
      </c>
      <c r="E27" s="49">
        <v>1.0900000000000001</v>
      </c>
      <c r="F27" s="162">
        <f>E27*F18</f>
        <v>3.2808999999999999</v>
      </c>
      <c r="G27" s="157"/>
      <c r="H27" s="157"/>
      <c r="I27" s="157"/>
      <c r="J27" s="157"/>
      <c r="K27" s="157"/>
      <c r="L27" s="157"/>
      <c r="M27" s="157"/>
    </row>
    <row r="28" spans="1:197" s="234" customFormat="1" ht="21" x14ac:dyDescent="0.2">
      <c r="A28" s="309"/>
      <c r="B28" s="79"/>
      <c r="C28" s="64" t="s">
        <v>95</v>
      </c>
      <c r="D28" s="65" t="s">
        <v>25</v>
      </c>
      <c r="E28" s="49">
        <v>0.32</v>
      </c>
      <c r="F28" s="162">
        <f>E28*F18</f>
        <v>0.96319999999999995</v>
      </c>
      <c r="G28" s="157"/>
      <c r="H28" s="157"/>
      <c r="I28" s="157"/>
      <c r="J28" s="157"/>
      <c r="K28" s="157"/>
      <c r="L28" s="157"/>
      <c r="M28" s="157"/>
    </row>
    <row r="29" spans="1:197" s="233" customFormat="1" ht="42" x14ac:dyDescent="0.2">
      <c r="A29" s="311">
        <v>6</v>
      </c>
      <c r="B29" s="235" t="s">
        <v>96</v>
      </c>
      <c r="C29" s="236" t="s">
        <v>211</v>
      </c>
      <c r="D29" s="237" t="s">
        <v>26</v>
      </c>
      <c r="E29" s="237"/>
      <c r="F29" s="229">
        <v>1</v>
      </c>
      <c r="G29" s="157"/>
      <c r="H29" s="157"/>
      <c r="I29" s="157"/>
      <c r="J29" s="157"/>
      <c r="K29" s="157"/>
      <c r="L29" s="157"/>
      <c r="M29" s="157"/>
    </row>
    <row r="30" spans="1:197" s="234" customFormat="1" ht="21" x14ac:dyDescent="0.2">
      <c r="A30" s="312"/>
      <c r="B30" s="46"/>
      <c r="C30" s="57" t="s">
        <v>23</v>
      </c>
      <c r="D30" s="49" t="s">
        <v>56</v>
      </c>
      <c r="E30" s="66">
        <v>1.54</v>
      </c>
      <c r="F30" s="238">
        <f>E30*F29</f>
        <v>1.54</v>
      </c>
      <c r="G30" s="54"/>
      <c r="H30" s="157"/>
      <c r="I30" s="157"/>
      <c r="J30" s="157"/>
      <c r="K30" s="157"/>
      <c r="L30" s="157"/>
      <c r="M30" s="157"/>
    </row>
    <row r="31" spans="1:197" s="234" customFormat="1" ht="21" x14ac:dyDescent="0.2">
      <c r="A31" s="312"/>
      <c r="B31" s="239"/>
      <c r="C31" s="240" t="s">
        <v>98</v>
      </c>
      <c r="D31" s="117" t="s">
        <v>90</v>
      </c>
      <c r="E31" s="241" t="s">
        <v>83</v>
      </c>
      <c r="F31" s="238">
        <v>0.96</v>
      </c>
      <c r="G31" s="157"/>
      <c r="H31" s="157"/>
      <c r="I31" s="206"/>
      <c r="J31" s="157"/>
      <c r="K31" s="157"/>
      <c r="L31" s="157"/>
      <c r="M31" s="157"/>
    </row>
    <row r="32" spans="1:197" s="234" customFormat="1" ht="21" x14ac:dyDescent="0.2">
      <c r="A32" s="312"/>
      <c r="B32" s="239"/>
      <c r="C32" s="240" t="s">
        <v>99</v>
      </c>
      <c r="D32" s="117" t="s">
        <v>100</v>
      </c>
      <c r="E32" s="241" t="s">
        <v>83</v>
      </c>
      <c r="F32" s="238">
        <v>3.6</v>
      </c>
      <c r="G32" s="157"/>
      <c r="H32" s="157"/>
      <c r="I32" s="206"/>
      <c r="J32" s="157"/>
      <c r="K32" s="157"/>
      <c r="L32" s="157"/>
      <c r="M32" s="157"/>
    </row>
    <row r="33" spans="1:13" s="242" customFormat="1" ht="42" customHeight="1" x14ac:dyDescent="0.35">
      <c r="A33" s="313"/>
      <c r="B33" s="239"/>
      <c r="C33" s="240" t="s">
        <v>101</v>
      </c>
      <c r="D33" s="117" t="s">
        <v>100</v>
      </c>
      <c r="E33" s="241" t="s">
        <v>83</v>
      </c>
      <c r="F33" s="238">
        <v>6</v>
      </c>
      <c r="G33" s="157"/>
      <c r="H33" s="157"/>
      <c r="I33" s="206"/>
      <c r="J33" s="157"/>
      <c r="K33" s="157"/>
      <c r="L33" s="157"/>
      <c r="M33" s="157"/>
    </row>
    <row r="34" spans="1:13" s="242" customFormat="1" ht="42" customHeight="1" x14ac:dyDescent="0.35">
      <c r="A34" s="311">
        <v>7</v>
      </c>
      <c r="B34" s="46" t="s">
        <v>72</v>
      </c>
      <c r="C34" s="59" t="s">
        <v>117</v>
      </c>
      <c r="D34" s="221" t="s">
        <v>73</v>
      </c>
      <c r="E34" s="221"/>
      <c r="F34" s="229">
        <f>F36+F37+F38+F40</f>
        <v>1.82</v>
      </c>
      <c r="G34" s="157"/>
      <c r="H34" s="157"/>
      <c r="I34" s="157"/>
      <c r="J34" s="157"/>
      <c r="K34" s="157"/>
      <c r="L34" s="157"/>
      <c r="M34" s="157"/>
    </row>
    <row r="35" spans="1:13" s="242" customFormat="1" ht="21" x14ac:dyDescent="0.35">
      <c r="A35" s="312"/>
      <c r="B35" s="56"/>
      <c r="C35" s="60" t="s">
        <v>110</v>
      </c>
      <c r="D35" s="49" t="s">
        <v>56</v>
      </c>
      <c r="E35" s="49">
        <v>1.78</v>
      </c>
      <c r="F35" s="157">
        <f>E35*F34</f>
        <v>3.2396000000000003</v>
      </c>
      <c r="G35" s="54"/>
      <c r="H35" s="157"/>
      <c r="I35" s="157"/>
      <c r="J35" s="157"/>
      <c r="K35" s="157"/>
      <c r="L35" s="157"/>
      <c r="M35" s="157"/>
    </row>
    <row r="36" spans="1:13" s="242" customFormat="1" ht="24" x14ac:dyDescent="0.35">
      <c r="A36" s="312"/>
      <c r="B36" s="56" t="s">
        <v>118</v>
      </c>
      <c r="C36" s="60" t="s">
        <v>119</v>
      </c>
      <c r="D36" s="49" t="s">
        <v>76</v>
      </c>
      <c r="E36" s="117" t="s">
        <v>83</v>
      </c>
      <c r="F36" s="157">
        <v>0.26</v>
      </c>
      <c r="G36" s="157"/>
      <c r="H36" s="157"/>
      <c r="I36" s="206"/>
      <c r="J36" s="157"/>
      <c r="K36" s="157"/>
      <c r="L36" s="157"/>
      <c r="M36" s="157"/>
    </row>
    <row r="37" spans="1:13" s="242" customFormat="1" ht="24" x14ac:dyDescent="0.35">
      <c r="A37" s="312"/>
      <c r="B37" s="56" t="s">
        <v>120</v>
      </c>
      <c r="C37" s="60" t="s">
        <v>121</v>
      </c>
      <c r="D37" s="49" t="s">
        <v>76</v>
      </c>
      <c r="E37" s="117" t="s">
        <v>83</v>
      </c>
      <c r="F37" s="157">
        <v>0.26</v>
      </c>
      <c r="G37" s="157"/>
      <c r="H37" s="157"/>
      <c r="I37" s="206"/>
      <c r="J37" s="157"/>
      <c r="K37" s="157"/>
      <c r="L37" s="157"/>
      <c r="M37" s="157"/>
    </row>
    <row r="38" spans="1:13" s="242" customFormat="1" ht="24" x14ac:dyDescent="0.35">
      <c r="A38" s="312"/>
      <c r="B38" s="97" t="s">
        <v>122</v>
      </c>
      <c r="C38" s="114" t="s">
        <v>123</v>
      </c>
      <c r="D38" s="49" t="s">
        <v>76</v>
      </c>
      <c r="E38" s="117" t="s">
        <v>83</v>
      </c>
      <c r="F38" s="157">
        <v>0.26</v>
      </c>
      <c r="G38" s="157"/>
      <c r="H38" s="157"/>
      <c r="I38" s="206"/>
      <c r="J38" s="157"/>
      <c r="K38" s="157"/>
      <c r="L38" s="157"/>
      <c r="M38" s="157"/>
    </row>
    <row r="39" spans="1:13" s="242" customFormat="1" ht="24" x14ac:dyDescent="0.35">
      <c r="A39" s="312"/>
      <c r="B39" s="97"/>
      <c r="C39" s="114" t="s">
        <v>219</v>
      </c>
      <c r="D39" s="49" t="s">
        <v>76</v>
      </c>
      <c r="E39" s="117" t="s">
        <v>83</v>
      </c>
      <c r="F39" s="206">
        <v>0.52</v>
      </c>
      <c r="G39" s="157"/>
      <c r="H39" s="157"/>
      <c r="I39" s="206"/>
      <c r="J39" s="157"/>
      <c r="K39" s="157"/>
      <c r="L39" s="157"/>
      <c r="M39" s="157"/>
    </row>
    <row r="40" spans="1:13" s="242" customFormat="1" ht="24" x14ac:dyDescent="0.35">
      <c r="A40" s="312"/>
      <c r="B40" s="97"/>
      <c r="C40" s="98" t="s">
        <v>124</v>
      </c>
      <c r="D40" s="49" t="s">
        <v>76</v>
      </c>
      <c r="E40" s="99" t="s">
        <v>83</v>
      </c>
      <c r="F40" s="157">
        <v>1.04</v>
      </c>
      <c r="G40" s="157"/>
      <c r="H40" s="157"/>
      <c r="I40" s="206"/>
      <c r="J40" s="157"/>
      <c r="K40" s="157"/>
      <c r="L40" s="157"/>
      <c r="M40" s="157"/>
    </row>
    <row r="41" spans="1:13" s="242" customFormat="1" ht="42" customHeight="1" x14ac:dyDescent="0.35">
      <c r="A41" s="311">
        <v>8</v>
      </c>
      <c r="B41" s="46" t="s">
        <v>125</v>
      </c>
      <c r="C41" s="101" t="s">
        <v>221</v>
      </c>
      <c r="D41" s="221" t="s">
        <v>78</v>
      </c>
      <c r="E41" s="221"/>
      <c r="F41" s="154">
        <f>1043*0.5*0.3</f>
        <v>156.44999999999999</v>
      </c>
      <c r="G41" s="157"/>
      <c r="H41" s="157"/>
      <c r="I41" s="157"/>
      <c r="J41" s="157"/>
      <c r="K41" s="157"/>
      <c r="L41" s="157"/>
      <c r="M41" s="157"/>
    </row>
    <row r="42" spans="1:13" s="242" customFormat="1" ht="42" customHeight="1" x14ac:dyDescent="0.35">
      <c r="A42" s="313"/>
      <c r="B42" s="46"/>
      <c r="C42" s="115" t="s">
        <v>23</v>
      </c>
      <c r="D42" s="49" t="s">
        <v>56</v>
      </c>
      <c r="E42" s="49">
        <v>2.99</v>
      </c>
      <c r="F42" s="157">
        <f>F41*E42</f>
        <v>467.78550000000001</v>
      </c>
      <c r="G42" s="54"/>
      <c r="H42" s="157"/>
      <c r="I42" s="157"/>
      <c r="J42" s="157"/>
      <c r="K42" s="157"/>
      <c r="L42" s="157"/>
      <c r="M42" s="157"/>
    </row>
    <row r="43" spans="1:13" s="242" customFormat="1" ht="66" customHeight="1" x14ac:dyDescent="0.35">
      <c r="A43" s="314">
        <v>9</v>
      </c>
      <c r="B43" s="46" t="s">
        <v>239</v>
      </c>
      <c r="C43" s="47" t="s">
        <v>235</v>
      </c>
      <c r="D43" s="221" t="s">
        <v>55</v>
      </c>
      <c r="E43" s="48"/>
      <c r="F43" s="154">
        <f>450*0.3*0.5</f>
        <v>67.5</v>
      </c>
      <c r="G43" s="157"/>
      <c r="H43" s="157"/>
      <c r="I43" s="157"/>
      <c r="J43" s="157"/>
      <c r="K43" s="157"/>
      <c r="L43" s="157"/>
      <c r="M43" s="157"/>
    </row>
    <row r="44" spans="1:13" s="242" customFormat="1" ht="21" x14ac:dyDescent="0.35">
      <c r="A44" s="314"/>
      <c r="B44" s="56"/>
      <c r="C44" s="57" t="s">
        <v>23</v>
      </c>
      <c r="D44" s="49" t="s">
        <v>56</v>
      </c>
      <c r="E44" s="49">
        <f>1247/100</f>
        <v>12.47</v>
      </c>
      <c r="F44" s="157">
        <f>E44*F43</f>
        <v>841.72500000000002</v>
      </c>
      <c r="G44" s="54"/>
      <c r="H44" s="157"/>
      <c r="I44" s="157"/>
      <c r="J44" s="157"/>
      <c r="K44" s="157"/>
      <c r="L44" s="157"/>
      <c r="M44" s="157"/>
    </row>
    <row r="45" spans="1:13" s="242" customFormat="1" ht="42" customHeight="1" x14ac:dyDescent="0.35">
      <c r="A45" s="314"/>
      <c r="B45" s="56" t="s">
        <v>57</v>
      </c>
      <c r="C45" s="58" t="s">
        <v>58</v>
      </c>
      <c r="D45" s="49" t="s">
        <v>52</v>
      </c>
      <c r="E45" s="49">
        <f>347/100</f>
        <v>3.47</v>
      </c>
      <c r="F45" s="157">
        <f>E45*F43</f>
        <v>234.22500000000002</v>
      </c>
      <c r="G45" s="157"/>
      <c r="H45" s="157"/>
      <c r="I45" s="157"/>
      <c r="J45" s="157"/>
      <c r="K45" s="232"/>
      <c r="L45" s="157"/>
      <c r="M45" s="157"/>
    </row>
    <row r="46" spans="1:13" s="242" customFormat="1" ht="42" x14ac:dyDescent="0.4">
      <c r="A46" s="314">
        <v>10</v>
      </c>
      <c r="B46" s="56"/>
      <c r="C46" s="59" t="s">
        <v>129</v>
      </c>
      <c r="D46" s="221" t="s">
        <v>73</v>
      </c>
      <c r="E46" s="221"/>
      <c r="F46" s="229">
        <f>F49*0.3*0.1</f>
        <v>44.19</v>
      </c>
      <c r="G46" s="243"/>
      <c r="H46" s="157"/>
      <c r="I46" s="157"/>
      <c r="J46" s="157"/>
      <c r="K46" s="157"/>
      <c r="L46" s="157"/>
      <c r="M46" s="157"/>
    </row>
    <row r="47" spans="1:13" s="242" customFormat="1" ht="21" x14ac:dyDescent="0.35">
      <c r="A47" s="314"/>
      <c r="B47" s="56"/>
      <c r="C47" s="60" t="s">
        <v>61</v>
      </c>
      <c r="D47" s="49" t="s">
        <v>56</v>
      </c>
      <c r="E47" s="49">
        <v>1.78</v>
      </c>
      <c r="F47" s="157">
        <f>1240*0.3*0.1</f>
        <v>37.200000000000003</v>
      </c>
      <c r="G47" s="54"/>
      <c r="H47" s="157"/>
      <c r="I47" s="157"/>
      <c r="J47" s="157"/>
      <c r="K47" s="157"/>
      <c r="L47" s="157"/>
      <c r="M47" s="157"/>
    </row>
    <row r="48" spans="1:13" s="242" customFormat="1" ht="24" x14ac:dyDescent="0.35">
      <c r="A48" s="314"/>
      <c r="B48" s="56"/>
      <c r="C48" s="60" t="s">
        <v>130</v>
      </c>
      <c r="D48" s="49" t="s">
        <v>76</v>
      </c>
      <c r="E48" s="49">
        <v>1.1000000000000001</v>
      </c>
      <c r="F48" s="157">
        <f>E48*F46</f>
        <v>48.609000000000002</v>
      </c>
      <c r="G48" s="157"/>
      <c r="H48" s="157"/>
      <c r="I48" s="157"/>
      <c r="J48" s="157"/>
      <c r="K48" s="157"/>
      <c r="L48" s="157"/>
      <c r="M48" s="157"/>
    </row>
    <row r="49" spans="1:13" s="242" customFormat="1" ht="42" customHeight="1" x14ac:dyDescent="0.35">
      <c r="A49" s="314">
        <v>11</v>
      </c>
      <c r="B49" s="100" t="s">
        <v>131</v>
      </c>
      <c r="C49" s="101" t="s">
        <v>132</v>
      </c>
      <c r="D49" s="102" t="s">
        <v>133</v>
      </c>
      <c r="E49" s="95"/>
      <c r="F49" s="244">
        <v>1473</v>
      </c>
      <c r="G49" s="157"/>
      <c r="H49" s="157"/>
      <c r="I49" s="157"/>
      <c r="J49" s="157"/>
      <c r="K49" s="157"/>
      <c r="L49" s="157"/>
      <c r="M49" s="157"/>
    </row>
    <row r="50" spans="1:13" s="242" customFormat="1" ht="28.5" customHeight="1" x14ac:dyDescent="0.35">
      <c r="A50" s="314"/>
      <c r="B50" s="56"/>
      <c r="C50" s="116" t="s">
        <v>110</v>
      </c>
      <c r="D50" s="49" t="s">
        <v>56</v>
      </c>
      <c r="E50" s="117">
        <v>9.5899999999999999E-2</v>
      </c>
      <c r="F50" s="164">
        <f>F49*E50</f>
        <v>141.26069999999999</v>
      </c>
      <c r="G50" s="54"/>
      <c r="H50" s="157"/>
      <c r="I50" s="157"/>
      <c r="J50" s="157"/>
      <c r="K50" s="157"/>
      <c r="L50" s="157"/>
      <c r="M50" s="157"/>
    </row>
    <row r="51" spans="1:13" s="242" customFormat="1" ht="42" hidden="1" customHeight="1" x14ac:dyDescent="0.35">
      <c r="A51" s="314"/>
      <c r="B51" s="103"/>
      <c r="C51" s="114" t="s">
        <v>179</v>
      </c>
      <c r="D51" s="49" t="s">
        <v>134</v>
      </c>
      <c r="E51" s="117" t="s">
        <v>83</v>
      </c>
      <c r="F51" s="164">
        <v>0</v>
      </c>
      <c r="G51" s="157"/>
      <c r="H51" s="157"/>
      <c r="I51" s="157"/>
      <c r="J51" s="157"/>
      <c r="K51" s="157"/>
      <c r="L51" s="157"/>
      <c r="M51" s="157"/>
    </row>
    <row r="52" spans="1:13" s="242" customFormat="1" ht="42" customHeight="1" x14ac:dyDescent="0.35">
      <c r="A52" s="314"/>
      <c r="B52" s="103"/>
      <c r="C52" s="114" t="s">
        <v>238</v>
      </c>
      <c r="D52" s="49" t="s">
        <v>134</v>
      </c>
      <c r="E52" s="117" t="s">
        <v>83</v>
      </c>
      <c r="F52" s="164">
        <f>F49</f>
        <v>1473</v>
      </c>
      <c r="G52" s="157"/>
      <c r="H52" s="157"/>
      <c r="I52" s="206"/>
      <c r="J52" s="157"/>
      <c r="K52" s="157"/>
      <c r="L52" s="157"/>
      <c r="M52" s="157"/>
    </row>
    <row r="53" spans="1:13" s="242" customFormat="1" ht="28.5" customHeight="1" x14ac:dyDescent="0.35">
      <c r="A53" s="314"/>
      <c r="B53" s="52"/>
      <c r="C53" s="119" t="s">
        <v>71</v>
      </c>
      <c r="D53" s="120" t="s">
        <v>25</v>
      </c>
      <c r="E53" s="121">
        <v>5.9999999999999995E-4</v>
      </c>
      <c r="F53" s="168">
        <f>E53*F49</f>
        <v>0.88379999999999992</v>
      </c>
      <c r="G53" s="157"/>
      <c r="H53" s="157"/>
      <c r="I53" s="157"/>
      <c r="J53" s="157"/>
      <c r="K53" s="157"/>
      <c r="L53" s="157"/>
      <c r="M53" s="157"/>
    </row>
    <row r="54" spans="1:13" s="242" customFormat="1" ht="42" customHeight="1" x14ac:dyDescent="0.35">
      <c r="A54" s="314">
        <v>12</v>
      </c>
      <c r="B54" s="93" t="s">
        <v>136</v>
      </c>
      <c r="C54" s="196" t="s">
        <v>218</v>
      </c>
      <c r="D54" s="222" t="s">
        <v>100</v>
      </c>
      <c r="E54" s="222"/>
      <c r="F54" s="169">
        <f>F49</f>
        <v>1473</v>
      </c>
      <c r="G54" s="157"/>
      <c r="H54" s="157"/>
      <c r="I54" s="157"/>
      <c r="J54" s="157"/>
      <c r="K54" s="157"/>
      <c r="L54" s="157"/>
      <c r="M54" s="157"/>
    </row>
    <row r="55" spans="1:13" s="242" customFormat="1" ht="21" x14ac:dyDescent="0.35">
      <c r="A55" s="314"/>
      <c r="B55" s="97"/>
      <c r="C55" s="98" t="s">
        <v>110</v>
      </c>
      <c r="D55" s="99" t="s">
        <v>56</v>
      </c>
      <c r="E55" s="124">
        <v>5.16E-2</v>
      </c>
      <c r="F55" s="157">
        <f>F54*E55</f>
        <v>76.006799999999998</v>
      </c>
      <c r="G55" s="54"/>
      <c r="H55" s="157"/>
      <c r="I55" s="157"/>
      <c r="J55" s="157"/>
      <c r="K55" s="157"/>
      <c r="L55" s="157"/>
      <c r="M55" s="157"/>
    </row>
    <row r="56" spans="1:13" s="242" customFormat="1" ht="21" x14ac:dyDescent="0.35">
      <c r="A56" s="314"/>
      <c r="B56" s="97"/>
      <c r="C56" s="126" t="s">
        <v>138</v>
      </c>
      <c r="D56" s="99" t="s">
        <v>55</v>
      </c>
      <c r="E56" s="124">
        <v>3.7999999999999999E-2</v>
      </c>
      <c r="F56" s="157">
        <f>F54*E56</f>
        <v>55.973999999999997</v>
      </c>
      <c r="G56" s="157"/>
      <c r="H56" s="157"/>
      <c r="I56" s="157"/>
      <c r="J56" s="157"/>
      <c r="K56" s="157"/>
      <c r="L56" s="157"/>
      <c r="M56" s="157"/>
    </row>
    <row r="57" spans="1:13" s="242" customFormat="1" ht="21" x14ac:dyDescent="0.35">
      <c r="A57" s="314"/>
      <c r="B57" s="97"/>
      <c r="C57" s="126" t="s">
        <v>95</v>
      </c>
      <c r="D57" s="99" t="s">
        <v>25</v>
      </c>
      <c r="E57" s="124">
        <v>1.1000000000000001E-3</v>
      </c>
      <c r="F57" s="165">
        <f>E57*F54</f>
        <v>1.6203000000000001</v>
      </c>
      <c r="G57" s="157"/>
      <c r="H57" s="157"/>
      <c r="I57" s="157"/>
      <c r="J57" s="157"/>
      <c r="K57" s="157"/>
      <c r="L57" s="157"/>
      <c r="M57" s="157"/>
    </row>
    <row r="58" spans="1:13" s="242" customFormat="1" ht="42" customHeight="1" x14ac:dyDescent="0.35">
      <c r="A58" s="314">
        <v>13</v>
      </c>
      <c r="B58" s="100" t="s">
        <v>139</v>
      </c>
      <c r="C58" s="101" t="s">
        <v>140</v>
      </c>
      <c r="D58" s="102" t="s">
        <v>26</v>
      </c>
      <c r="E58" s="102"/>
      <c r="F58" s="167">
        <f>F60+F61+F62</f>
        <v>38</v>
      </c>
      <c r="G58" s="157"/>
      <c r="H58" s="157"/>
      <c r="I58" s="157"/>
      <c r="J58" s="157"/>
      <c r="K58" s="157"/>
      <c r="L58" s="157"/>
      <c r="M58" s="157"/>
    </row>
    <row r="59" spans="1:13" s="242" customFormat="1" ht="21" x14ac:dyDescent="0.4">
      <c r="A59" s="314"/>
      <c r="B59" s="56"/>
      <c r="C59" s="116" t="s">
        <v>105</v>
      </c>
      <c r="D59" s="49" t="s">
        <v>56</v>
      </c>
      <c r="E59" s="127">
        <v>0.38900000000000001</v>
      </c>
      <c r="F59" s="164">
        <f>F58*E59</f>
        <v>14.782</v>
      </c>
      <c r="G59" s="54"/>
      <c r="H59" s="157"/>
      <c r="I59" s="157"/>
      <c r="J59" s="157"/>
      <c r="K59" s="157"/>
      <c r="L59" s="157"/>
      <c r="M59" s="157"/>
    </row>
    <row r="60" spans="1:13" s="242" customFormat="1" ht="21" x14ac:dyDescent="0.4">
      <c r="A60" s="314"/>
      <c r="B60" s="128"/>
      <c r="C60" s="116" t="s">
        <v>231</v>
      </c>
      <c r="D60" s="49" t="s">
        <v>26</v>
      </c>
      <c r="E60" s="127" t="s">
        <v>83</v>
      </c>
      <c r="F60" s="164">
        <v>32</v>
      </c>
      <c r="G60" s="157"/>
      <c r="H60" s="157"/>
      <c r="I60" s="157"/>
      <c r="J60" s="157"/>
      <c r="K60" s="157"/>
      <c r="L60" s="157"/>
      <c r="M60" s="157"/>
    </row>
    <row r="61" spans="1:13" s="242" customFormat="1" ht="21" x14ac:dyDescent="0.4">
      <c r="A61" s="314"/>
      <c r="B61" s="56"/>
      <c r="C61" s="116" t="s">
        <v>227</v>
      </c>
      <c r="D61" s="49" t="s">
        <v>26</v>
      </c>
      <c r="E61" s="127" t="s">
        <v>83</v>
      </c>
      <c r="F61" s="164">
        <v>4</v>
      </c>
      <c r="G61" s="157"/>
      <c r="H61" s="157"/>
      <c r="I61" s="157"/>
      <c r="J61" s="157"/>
      <c r="K61" s="157"/>
      <c r="L61" s="157"/>
      <c r="M61" s="157"/>
    </row>
    <row r="62" spans="1:13" s="242" customFormat="1" ht="21" x14ac:dyDescent="0.4">
      <c r="A62" s="314"/>
      <c r="B62" s="56"/>
      <c r="C62" s="116" t="s">
        <v>224</v>
      </c>
      <c r="D62" s="49" t="s">
        <v>26</v>
      </c>
      <c r="E62" s="127" t="s">
        <v>83</v>
      </c>
      <c r="F62" s="164">
        <v>2</v>
      </c>
      <c r="G62" s="157"/>
      <c r="H62" s="157"/>
      <c r="I62" s="157"/>
      <c r="J62" s="157"/>
      <c r="K62" s="157"/>
      <c r="L62" s="157"/>
      <c r="M62" s="157"/>
    </row>
    <row r="63" spans="1:13" s="242" customFormat="1" ht="21" x14ac:dyDescent="0.4">
      <c r="A63" s="314"/>
      <c r="B63" s="79"/>
      <c r="C63" s="64" t="s">
        <v>24</v>
      </c>
      <c r="D63" s="65" t="s">
        <v>25</v>
      </c>
      <c r="E63" s="127">
        <v>0.151</v>
      </c>
      <c r="F63" s="164">
        <f>E63*F58</f>
        <v>5.7379999999999995</v>
      </c>
      <c r="G63" s="157"/>
      <c r="H63" s="157"/>
      <c r="I63" s="157"/>
      <c r="J63" s="157"/>
      <c r="K63" s="157"/>
      <c r="L63" s="157"/>
      <c r="M63" s="157"/>
    </row>
    <row r="64" spans="1:13" s="242" customFormat="1" ht="21" x14ac:dyDescent="0.4">
      <c r="A64" s="314"/>
      <c r="B64" s="56"/>
      <c r="C64" s="114" t="s">
        <v>71</v>
      </c>
      <c r="D64" s="49" t="s">
        <v>25</v>
      </c>
      <c r="E64" s="127">
        <v>2.4E-2</v>
      </c>
      <c r="F64" s="164">
        <f>E64*F58</f>
        <v>0.91200000000000003</v>
      </c>
      <c r="G64" s="157"/>
      <c r="H64" s="157"/>
      <c r="I64" s="157"/>
      <c r="J64" s="157"/>
      <c r="K64" s="157"/>
      <c r="L64" s="157"/>
      <c r="M64" s="157"/>
    </row>
    <row r="65" spans="1:197" s="96" customFormat="1" ht="24" x14ac:dyDescent="0.2">
      <c r="A65" s="307">
        <v>14</v>
      </c>
      <c r="B65" s="46" t="s">
        <v>128</v>
      </c>
      <c r="C65" s="59" t="s">
        <v>145</v>
      </c>
      <c r="D65" s="221" t="s">
        <v>73</v>
      </c>
      <c r="E65" s="221"/>
      <c r="F65" s="229">
        <f>F49*0.3*0.15</f>
        <v>66.284999999999997</v>
      </c>
      <c r="G65" s="157"/>
      <c r="H65" s="157"/>
      <c r="I65" s="157"/>
      <c r="J65" s="157"/>
      <c r="K65" s="157"/>
      <c r="L65" s="157"/>
      <c r="M65" s="157"/>
    </row>
    <row r="66" spans="1:197" s="96" customFormat="1" ht="21" x14ac:dyDescent="0.2">
      <c r="A66" s="308"/>
      <c r="B66" s="56"/>
      <c r="C66" s="60" t="s">
        <v>61</v>
      </c>
      <c r="D66" s="49" t="s">
        <v>56</v>
      </c>
      <c r="E66" s="49">
        <v>1.78</v>
      </c>
      <c r="F66" s="157">
        <f>E66*F65</f>
        <v>117.98729999999999</v>
      </c>
      <c r="G66" s="54"/>
      <c r="H66" s="157"/>
      <c r="I66" s="157"/>
      <c r="J66" s="157"/>
      <c r="K66" s="157"/>
      <c r="L66" s="157"/>
      <c r="M66" s="157"/>
    </row>
    <row r="67" spans="1:197" s="96" customFormat="1" ht="24" x14ac:dyDescent="0.2">
      <c r="A67" s="309"/>
      <c r="B67" s="56"/>
      <c r="C67" s="60" t="s">
        <v>130</v>
      </c>
      <c r="D67" s="49" t="s">
        <v>76</v>
      </c>
      <c r="E67" s="49">
        <v>1.1000000000000001</v>
      </c>
      <c r="F67" s="157">
        <f>F65*E67</f>
        <v>72.913499999999999</v>
      </c>
      <c r="G67" s="157"/>
      <c r="H67" s="157"/>
      <c r="I67" s="157"/>
      <c r="J67" s="157"/>
      <c r="K67" s="157"/>
      <c r="L67" s="157"/>
      <c r="M67" s="157"/>
    </row>
    <row r="68" spans="1:197" s="96" customFormat="1" ht="24" x14ac:dyDescent="0.2">
      <c r="A68" s="307">
        <v>15</v>
      </c>
      <c r="B68" s="46" t="s">
        <v>146</v>
      </c>
      <c r="C68" s="101" t="s">
        <v>147</v>
      </c>
      <c r="D68" s="221" t="s">
        <v>78</v>
      </c>
      <c r="E68" s="221"/>
      <c r="F68" s="154">
        <f>F41+F43-F46-F65</f>
        <v>113.47499999999999</v>
      </c>
      <c r="G68" s="157"/>
      <c r="H68" s="157"/>
      <c r="I68" s="157"/>
      <c r="J68" s="157"/>
      <c r="K68" s="157"/>
      <c r="L68" s="157"/>
      <c r="M68" s="157"/>
    </row>
    <row r="69" spans="1:197" s="45" customFormat="1" ht="21" x14ac:dyDescent="0.2">
      <c r="A69" s="308"/>
      <c r="B69" s="129"/>
      <c r="C69" s="130" t="s">
        <v>23</v>
      </c>
      <c r="D69" s="120" t="s">
        <v>56</v>
      </c>
      <c r="E69" s="120">
        <v>1.21</v>
      </c>
      <c r="F69" s="166">
        <f>F68*E69</f>
        <v>137.30474999999998</v>
      </c>
      <c r="G69" s="54"/>
      <c r="H69" s="166"/>
      <c r="I69" s="166"/>
      <c r="J69" s="166"/>
      <c r="K69" s="166"/>
      <c r="L69" s="166"/>
      <c r="M69" s="166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</row>
    <row r="70" spans="1:197" s="45" customFormat="1" ht="42" x14ac:dyDescent="0.2">
      <c r="A70" s="315">
        <v>16</v>
      </c>
      <c r="B70" s="235" t="s">
        <v>127</v>
      </c>
      <c r="C70" s="236" t="s">
        <v>159</v>
      </c>
      <c r="D70" s="237" t="s">
        <v>26</v>
      </c>
      <c r="E70" s="237"/>
      <c r="F70" s="245">
        <v>1</v>
      </c>
      <c r="G70" s="157"/>
      <c r="H70" s="157"/>
      <c r="I70" s="232"/>
      <c r="J70" s="157"/>
      <c r="K70" s="157"/>
      <c r="L70" s="157"/>
      <c r="M70" s="157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  <c r="EN70" s="231"/>
      <c r="EO70" s="231"/>
      <c r="EP70" s="231"/>
      <c r="EQ70" s="231"/>
      <c r="ER70" s="231"/>
      <c r="ES70" s="231"/>
      <c r="ET70" s="231"/>
      <c r="EU70" s="231"/>
      <c r="EV70" s="231"/>
      <c r="EW70" s="231"/>
      <c r="EX70" s="231"/>
      <c r="EY70" s="231"/>
      <c r="EZ70" s="231"/>
      <c r="FA70" s="231"/>
      <c r="FB70" s="231"/>
      <c r="FC70" s="231"/>
      <c r="FD70" s="231"/>
      <c r="FE70" s="231"/>
      <c r="FF70" s="231"/>
      <c r="FG70" s="231"/>
      <c r="FH70" s="231"/>
      <c r="FI70" s="231"/>
      <c r="FJ70" s="231"/>
      <c r="FK70" s="231"/>
      <c r="FL70" s="231"/>
      <c r="FM70" s="231"/>
      <c r="FN70" s="231"/>
      <c r="FO70" s="231"/>
      <c r="FP70" s="231"/>
      <c r="FQ70" s="231"/>
      <c r="FR70" s="231"/>
      <c r="FS70" s="231"/>
      <c r="FT70" s="231"/>
      <c r="FU70" s="231"/>
      <c r="FV70" s="231"/>
      <c r="FW70" s="231"/>
      <c r="FX70" s="231"/>
      <c r="FY70" s="231"/>
      <c r="FZ70" s="231"/>
      <c r="GA70" s="231"/>
      <c r="GB70" s="231"/>
      <c r="GC70" s="231"/>
      <c r="GD70" s="231"/>
      <c r="GE70" s="231"/>
      <c r="GF70" s="231"/>
      <c r="GG70" s="231"/>
      <c r="GH70" s="231"/>
      <c r="GI70" s="231"/>
      <c r="GJ70" s="231"/>
      <c r="GK70" s="231"/>
      <c r="GL70" s="231"/>
      <c r="GM70" s="231"/>
      <c r="GN70" s="231"/>
      <c r="GO70" s="231"/>
    </row>
    <row r="71" spans="1:197" s="45" customFormat="1" ht="21" x14ac:dyDescent="0.2">
      <c r="A71" s="315"/>
      <c r="B71" s="46"/>
      <c r="C71" s="57" t="s">
        <v>23</v>
      </c>
      <c r="D71" s="49" t="s">
        <v>25</v>
      </c>
      <c r="E71" s="66"/>
      <c r="F71" s="246">
        <v>1</v>
      </c>
      <c r="G71" s="157"/>
      <c r="H71" s="157"/>
      <c r="I71" s="232"/>
      <c r="J71" s="157"/>
      <c r="K71" s="157"/>
      <c r="L71" s="157"/>
      <c r="M71" s="157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1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1"/>
      <c r="FW71" s="231"/>
      <c r="FX71" s="231"/>
      <c r="FY71" s="231"/>
      <c r="FZ71" s="231"/>
      <c r="GA71" s="231"/>
      <c r="GB71" s="231"/>
      <c r="GC71" s="231"/>
      <c r="GD71" s="231"/>
      <c r="GE71" s="231"/>
      <c r="GF71" s="231"/>
      <c r="GG71" s="231"/>
      <c r="GH71" s="231"/>
      <c r="GI71" s="231"/>
      <c r="GJ71" s="231"/>
      <c r="GK71" s="231"/>
      <c r="GL71" s="231"/>
      <c r="GM71" s="231"/>
      <c r="GN71" s="231"/>
      <c r="GO71" s="231"/>
    </row>
    <row r="72" spans="1:197" s="45" customFormat="1" ht="21" x14ac:dyDescent="0.2">
      <c r="A72" s="315"/>
      <c r="B72" s="46"/>
      <c r="C72" s="57" t="s">
        <v>160</v>
      </c>
      <c r="D72" s="49" t="s">
        <v>107</v>
      </c>
      <c r="E72" s="66" t="s">
        <v>83</v>
      </c>
      <c r="F72" s="246">
        <f>78.5</f>
        <v>78.5</v>
      </c>
      <c r="G72" s="157"/>
      <c r="H72" s="157"/>
      <c r="I72" s="206"/>
      <c r="J72" s="157"/>
      <c r="K72" s="157"/>
      <c r="L72" s="157"/>
      <c r="M72" s="157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31"/>
      <c r="EL72" s="231"/>
      <c r="EM72" s="231"/>
      <c r="EN72" s="231"/>
      <c r="EO72" s="231"/>
      <c r="EP72" s="231"/>
      <c r="EQ72" s="231"/>
      <c r="ER72" s="231"/>
      <c r="ES72" s="231"/>
      <c r="ET72" s="231"/>
      <c r="EU72" s="231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1"/>
      <c r="FJ72" s="231"/>
      <c r="FK72" s="231"/>
      <c r="FL72" s="231"/>
      <c r="FM72" s="231"/>
      <c r="FN72" s="231"/>
      <c r="FO72" s="231"/>
      <c r="FP72" s="231"/>
      <c r="FQ72" s="231"/>
      <c r="FR72" s="231"/>
      <c r="FS72" s="231"/>
      <c r="FT72" s="231"/>
      <c r="FU72" s="231"/>
      <c r="FV72" s="231"/>
      <c r="FW72" s="231"/>
      <c r="FX72" s="231"/>
      <c r="FY72" s="231"/>
      <c r="FZ72" s="231"/>
      <c r="GA72" s="231"/>
      <c r="GB72" s="231"/>
      <c r="GC72" s="231"/>
      <c r="GD72" s="231"/>
      <c r="GE72" s="231"/>
      <c r="GF72" s="231"/>
      <c r="GG72" s="231"/>
      <c r="GH72" s="231"/>
      <c r="GI72" s="231"/>
      <c r="GJ72" s="231"/>
      <c r="GK72" s="231"/>
      <c r="GL72" s="231"/>
      <c r="GM72" s="231"/>
      <c r="GN72" s="231"/>
      <c r="GO72" s="231"/>
    </row>
    <row r="73" spans="1:197" s="45" customFormat="1" ht="21" x14ac:dyDescent="0.2">
      <c r="A73" s="315"/>
      <c r="B73" s="46"/>
      <c r="C73" s="57" t="s">
        <v>161</v>
      </c>
      <c r="D73" s="49" t="s">
        <v>107</v>
      </c>
      <c r="E73" s="66" t="s">
        <v>83</v>
      </c>
      <c r="F73" s="246">
        <f>11.3</f>
        <v>11.3</v>
      </c>
      <c r="G73" s="157"/>
      <c r="H73" s="157"/>
      <c r="I73" s="206"/>
      <c r="J73" s="157"/>
      <c r="K73" s="157"/>
      <c r="L73" s="157"/>
      <c r="M73" s="157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1"/>
      <c r="GO73" s="231"/>
    </row>
    <row r="74" spans="1:197" s="45" customFormat="1" ht="21" x14ac:dyDescent="0.2">
      <c r="A74" s="315"/>
      <c r="B74" s="56"/>
      <c r="C74" s="64" t="s">
        <v>80</v>
      </c>
      <c r="D74" s="65" t="s">
        <v>55</v>
      </c>
      <c r="E74" s="66" t="s">
        <v>83</v>
      </c>
      <c r="F74" s="215">
        <f>0.26</f>
        <v>0.26</v>
      </c>
      <c r="G74" s="157"/>
      <c r="H74" s="157"/>
      <c r="I74" s="206"/>
      <c r="J74" s="157"/>
      <c r="K74" s="157"/>
      <c r="L74" s="157"/>
      <c r="M74" s="157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</row>
    <row r="75" spans="1:197" s="45" customFormat="1" ht="21" x14ac:dyDescent="0.2">
      <c r="A75" s="315"/>
      <c r="B75" s="46"/>
      <c r="C75" s="240" t="s">
        <v>229</v>
      </c>
      <c r="D75" s="117" t="s">
        <v>90</v>
      </c>
      <c r="E75" s="66" t="s">
        <v>83</v>
      </c>
      <c r="F75" s="246">
        <f>1.16</f>
        <v>1.1599999999999999</v>
      </c>
      <c r="G75" s="157"/>
      <c r="H75" s="157"/>
      <c r="I75" s="206"/>
      <c r="J75" s="157"/>
      <c r="K75" s="157"/>
      <c r="L75" s="157"/>
      <c r="M75" s="157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  <c r="EK75" s="231"/>
      <c r="EL75" s="231"/>
      <c r="EM75" s="231"/>
      <c r="EN75" s="231"/>
      <c r="EO75" s="231"/>
      <c r="EP75" s="231"/>
      <c r="EQ75" s="231"/>
      <c r="ER75" s="231"/>
      <c r="ES75" s="231"/>
      <c r="ET75" s="231"/>
      <c r="EU75" s="231"/>
      <c r="EV75" s="231"/>
      <c r="EW75" s="231"/>
      <c r="EX75" s="231"/>
      <c r="EY75" s="231"/>
      <c r="EZ75" s="231"/>
      <c r="FA75" s="231"/>
      <c r="FB75" s="231"/>
      <c r="FC75" s="231"/>
      <c r="FD75" s="231"/>
      <c r="FE75" s="231"/>
      <c r="FF75" s="231"/>
      <c r="FG75" s="231"/>
      <c r="FH75" s="231"/>
      <c r="FI75" s="231"/>
      <c r="FJ75" s="231"/>
      <c r="FK75" s="231"/>
      <c r="FL75" s="231"/>
      <c r="FM75" s="231"/>
      <c r="FN75" s="231"/>
      <c r="FO75" s="231"/>
      <c r="FP75" s="231"/>
      <c r="FQ75" s="231"/>
      <c r="FR75" s="231"/>
      <c r="FS75" s="231"/>
      <c r="FT75" s="231"/>
      <c r="FU75" s="231"/>
      <c r="FV75" s="231"/>
      <c r="FW75" s="231"/>
      <c r="FX75" s="231"/>
      <c r="FY75" s="231"/>
      <c r="FZ75" s="231"/>
      <c r="GA75" s="231"/>
      <c r="GB75" s="231"/>
      <c r="GC75" s="231"/>
      <c r="GD75" s="231"/>
      <c r="GE75" s="231"/>
      <c r="GF75" s="231"/>
      <c r="GG75" s="231"/>
      <c r="GH75" s="231"/>
      <c r="GI75" s="231"/>
      <c r="GJ75" s="231"/>
      <c r="GK75" s="231"/>
      <c r="GL75" s="231"/>
      <c r="GM75" s="231"/>
      <c r="GN75" s="231"/>
      <c r="GO75" s="231"/>
    </row>
    <row r="76" spans="1:197" s="45" customFormat="1" ht="21" x14ac:dyDescent="0.2">
      <c r="A76" s="315"/>
      <c r="B76" s="46"/>
      <c r="C76" s="240" t="s">
        <v>230</v>
      </c>
      <c r="D76" s="117" t="s">
        <v>90</v>
      </c>
      <c r="E76" s="66" t="s">
        <v>83</v>
      </c>
      <c r="F76" s="246">
        <f>2.66</f>
        <v>2.66</v>
      </c>
      <c r="G76" s="157"/>
      <c r="H76" s="157"/>
      <c r="I76" s="206"/>
      <c r="J76" s="157"/>
      <c r="K76" s="157"/>
      <c r="L76" s="157"/>
      <c r="M76" s="157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  <c r="DJ76" s="231"/>
      <c r="DK76" s="231"/>
      <c r="DL76" s="231"/>
      <c r="DM76" s="231"/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  <c r="EK76" s="231"/>
      <c r="EL76" s="231"/>
      <c r="EM76" s="231"/>
      <c r="EN76" s="231"/>
      <c r="EO76" s="231"/>
      <c r="EP76" s="231"/>
      <c r="EQ76" s="231"/>
      <c r="ER76" s="231"/>
      <c r="ES76" s="231"/>
      <c r="ET76" s="231"/>
      <c r="EU76" s="231"/>
      <c r="EV76" s="231"/>
      <c r="EW76" s="231"/>
      <c r="EX76" s="231"/>
      <c r="EY76" s="231"/>
      <c r="EZ76" s="231"/>
      <c r="FA76" s="231"/>
      <c r="FB76" s="231"/>
      <c r="FC76" s="231"/>
      <c r="FD76" s="231"/>
      <c r="FE76" s="231"/>
      <c r="FF76" s="231"/>
      <c r="FG76" s="231"/>
      <c r="FH76" s="231"/>
      <c r="FI76" s="231"/>
      <c r="FJ76" s="231"/>
      <c r="FK76" s="231"/>
      <c r="FL76" s="231"/>
      <c r="FM76" s="231"/>
      <c r="FN76" s="231"/>
      <c r="FO76" s="231"/>
      <c r="FP76" s="231"/>
      <c r="FQ76" s="231"/>
      <c r="FR76" s="231"/>
      <c r="FS76" s="231"/>
      <c r="FT76" s="231"/>
      <c r="FU76" s="231"/>
      <c r="FV76" s="231"/>
      <c r="FW76" s="231"/>
      <c r="FX76" s="231"/>
      <c r="FY76" s="231"/>
      <c r="FZ76" s="231"/>
      <c r="GA76" s="231"/>
      <c r="GB76" s="231"/>
      <c r="GC76" s="231"/>
      <c r="GD76" s="231"/>
      <c r="GE76" s="231"/>
      <c r="GF76" s="231"/>
      <c r="GG76" s="231"/>
      <c r="GH76" s="231"/>
      <c r="GI76" s="231"/>
      <c r="GJ76" s="231"/>
      <c r="GK76" s="231"/>
      <c r="GL76" s="231"/>
      <c r="GM76" s="231"/>
      <c r="GN76" s="231"/>
      <c r="GO76" s="231"/>
    </row>
    <row r="77" spans="1:197" s="45" customFormat="1" ht="21" x14ac:dyDescent="0.2">
      <c r="A77" s="315"/>
      <c r="B77" s="46"/>
      <c r="C77" s="240" t="s">
        <v>226</v>
      </c>
      <c r="D77" s="117" t="s">
        <v>90</v>
      </c>
      <c r="E77" s="66" t="s">
        <v>83</v>
      </c>
      <c r="F77" s="246">
        <f>2.92</f>
        <v>2.92</v>
      </c>
      <c r="G77" s="157"/>
      <c r="H77" s="157"/>
      <c r="I77" s="206"/>
      <c r="J77" s="157"/>
      <c r="K77" s="157"/>
      <c r="L77" s="157"/>
      <c r="M77" s="157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231"/>
      <c r="FI77" s="231"/>
      <c r="FJ77" s="231"/>
      <c r="FK77" s="231"/>
      <c r="FL77" s="231"/>
      <c r="FM77" s="231"/>
      <c r="FN77" s="231"/>
      <c r="FO77" s="231"/>
      <c r="FP77" s="231"/>
      <c r="FQ77" s="231"/>
      <c r="FR77" s="231"/>
      <c r="FS77" s="231"/>
      <c r="FT77" s="231"/>
      <c r="FU77" s="231"/>
      <c r="FV77" s="231"/>
      <c r="FW77" s="231"/>
      <c r="FX77" s="231"/>
      <c r="FY77" s="231"/>
      <c r="FZ77" s="231"/>
      <c r="GA77" s="231"/>
      <c r="GB77" s="231"/>
      <c r="GC77" s="231"/>
      <c r="GD77" s="231"/>
      <c r="GE77" s="231"/>
      <c r="GF77" s="231"/>
      <c r="GG77" s="231"/>
      <c r="GH77" s="231"/>
      <c r="GI77" s="231"/>
      <c r="GJ77" s="231"/>
      <c r="GK77" s="231"/>
      <c r="GL77" s="231"/>
      <c r="GM77" s="231"/>
      <c r="GN77" s="231"/>
      <c r="GO77" s="231"/>
    </row>
    <row r="78" spans="1:197" s="45" customFormat="1" ht="21" x14ac:dyDescent="0.2">
      <c r="A78" s="315"/>
      <c r="B78" s="46"/>
      <c r="C78" s="57" t="s">
        <v>165</v>
      </c>
      <c r="D78" s="117" t="s">
        <v>90</v>
      </c>
      <c r="E78" s="66" t="s">
        <v>83</v>
      </c>
      <c r="F78" s="117">
        <f>0.16</f>
        <v>0.16</v>
      </c>
      <c r="G78" s="157"/>
      <c r="H78" s="157"/>
      <c r="I78" s="206"/>
      <c r="J78" s="197"/>
      <c r="K78" s="157"/>
      <c r="L78" s="157"/>
      <c r="M78" s="157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  <c r="EN78" s="231"/>
      <c r="EO78" s="231"/>
      <c r="EP78" s="231"/>
      <c r="EQ78" s="231"/>
      <c r="ER78" s="231"/>
      <c r="ES78" s="231"/>
      <c r="ET78" s="231"/>
      <c r="EU78" s="231"/>
      <c r="EV78" s="231"/>
      <c r="EW78" s="231"/>
      <c r="EX78" s="231"/>
      <c r="EY78" s="231"/>
      <c r="EZ78" s="231"/>
      <c r="FA78" s="231"/>
      <c r="FB78" s="231"/>
      <c r="FC78" s="231"/>
      <c r="FD78" s="231"/>
      <c r="FE78" s="231"/>
      <c r="FF78" s="231"/>
      <c r="FG78" s="231"/>
      <c r="FH78" s="231"/>
      <c r="FI78" s="231"/>
      <c r="FJ78" s="231"/>
      <c r="FK78" s="231"/>
      <c r="FL78" s="231"/>
      <c r="FM78" s="231"/>
      <c r="FN78" s="231"/>
      <c r="FO78" s="231"/>
      <c r="FP78" s="231"/>
      <c r="FQ78" s="231"/>
      <c r="FR78" s="231"/>
      <c r="FS78" s="231"/>
      <c r="FT78" s="231"/>
      <c r="FU78" s="231"/>
      <c r="FV78" s="231"/>
      <c r="FW78" s="231"/>
      <c r="FX78" s="231"/>
      <c r="FY78" s="231"/>
      <c r="FZ78" s="231"/>
      <c r="GA78" s="231"/>
      <c r="GB78" s="231"/>
      <c r="GC78" s="231"/>
      <c r="GD78" s="231"/>
      <c r="GE78" s="231"/>
      <c r="GF78" s="231"/>
      <c r="GG78" s="231"/>
      <c r="GH78" s="231"/>
      <c r="GI78" s="231"/>
      <c r="GJ78" s="231"/>
      <c r="GK78" s="231"/>
      <c r="GL78" s="231"/>
      <c r="GM78" s="231"/>
      <c r="GN78" s="231"/>
      <c r="GO78" s="231"/>
    </row>
    <row r="79" spans="1:197" s="45" customFormat="1" ht="21" x14ac:dyDescent="0.2">
      <c r="A79" s="315"/>
      <c r="B79" s="239"/>
      <c r="C79" s="240" t="s">
        <v>166</v>
      </c>
      <c r="D79" s="117" t="s">
        <v>107</v>
      </c>
      <c r="E79" s="66" t="s">
        <v>83</v>
      </c>
      <c r="F79" s="117">
        <f>0.15</f>
        <v>0.15</v>
      </c>
      <c r="G79" s="157"/>
      <c r="H79" s="157"/>
      <c r="I79" s="206"/>
      <c r="J79" s="197"/>
      <c r="K79" s="157"/>
      <c r="L79" s="157"/>
      <c r="M79" s="157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  <c r="FF79" s="231"/>
      <c r="FG79" s="231"/>
      <c r="FH79" s="231"/>
      <c r="FI79" s="231"/>
      <c r="FJ79" s="231"/>
      <c r="FK79" s="231"/>
      <c r="FL79" s="231"/>
      <c r="FM79" s="231"/>
      <c r="FN79" s="231"/>
      <c r="FO79" s="231"/>
      <c r="FP79" s="231"/>
      <c r="FQ79" s="231"/>
      <c r="FR79" s="231"/>
      <c r="FS79" s="231"/>
      <c r="FT79" s="231"/>
      <c r="FU79" s="231"/>
      <c r="FV79" s="231"/>
      <c r="FW79" s="231"/>
      <c r="FX79" s="231"/>
      <c r="FY79" s="231"/>
      <c r="FZ79" s="231"/>
      <c r="GA79" s="231"/>
      <c r="GB79" s="231"/>
      <c r="GC79" s="231"/>
      <c r="GD79" s="231"/>
      <c r="GE79" s="231"/>
      <c r="GF79" s="231"/>
      <c r="GG79" s="231"/>
      <c r="GH79" s="231"/>
      <c r="GI79" s="231"/>
      <c r="GJ79" s="231"/>
      <c r="GK79" s="231"/>
      <c r="GL79" s="231"/>
      <c r="GM79" s="231"/>
      <c r="GN79" s="231"/>
      <c r="GO79" s="231"/>
    </row>
    <row r="80" spans="1:197" s="45" customFormat="1" ht="21" x14ac:dyDescent="0.2">
      <c r="A80" s="315"/>
      <c r="B80" s="239"/>
      <c r="C80" s="240" t="s">
        <v>167</v>
      </c>
      <c r="D80" s="117" t="s">
        <v>90</v>
      </c>
      <c r="E80" s="66" t="s">
        <v>83</v>
      </c>
      <c r="F80" s="117">
        <f>7.5</f>
        <v>7.5</v>
      </c>
      <c r="G80" s="157"/>
      <c r="H80" s="157"/>
      <c r="I80" s="206"/>
      <c r="J80" s="197"/>
      <c r="K80" s="157"/>
      <c r="L80" s="157"/>
      <c r="M80" s="157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1"/>
      <c r="DK80" s="231"/>
      <c r="DL80" s="231"/>
      <c r="DM80" s="231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  <c r="EH80" s="231"/>
      <c r="EI80" s="231"/>
      <c r="EJ80" s="231"/>
      <c r="EK80" s="231"/>
      <c r="EL80" s="231"/>
      <c r="EM80" s="231"/>
      <c r="EN80" s="231"/>
      <c r="EO80" s="231"/>
      <c r="EP80" s="231"/>
      <c r="EQ80" s="231"/>
      <c r="ER80" s="231"/>
      <c r="ES80" s="231"/>
      <c r="ET80" s="231"/>
      <c r="EU80" s="231"/>
      <c r="EV80" s="231"/>
      <c r="EW80" s="231"/>
      <c r="EX80" s="231"/>
      <c r="EY80" s="231"/>
      <c r="EZ80" s="231"/>
      <c r="FA80" s="231"/>
      <c r="FB80" s="231"/>
      <c r="FC80" s="231"/>
      <c r="FD80" s="231"/>
      <c r="FE80" s="231"/>
      <c r="FF80" s="231"/>
      <c r="FG80" s="231"/>
      <c r="FH80" s="231"/>
      <c r="FI80" s="231"/>
      <c r="FJ80" s="231"/>
      <c r="FK80" s="231"/>
      <c r="FL80" s="231"/>
      <c r="FM80" s="231"/>
      <c r="FN80" s="231"/>
      <c r="FO80" s="231"/>
      <c r="FP80" s="231"/>
      <c r="FQ80" s="231"/>
      <c r="FR80" s="231"/>
      <c r="FS80" s="231"/>
      <c r="FT80" s="231"/>
      <c r="FU80" s="231"/>
      <c r="FV80" s="231"/>
      <c r="FW80" s="231"/>
      <c r="FX80" s="231"/>
      <c r="FY80" s="231"/>
      <c r="FZ80" s="231"/>
      <c r="GA80" s="231"/>
      <c r="GB80" s="231"/>
      <c r="GC80" s="231"/>
      <c r="GD80" s="231"/>
      <c r="GE80" s="231"/>
      <c r="GF80" s="231"/>
      <c r="GG80" s="231"/>
      <c r="GH80" s="231"/>
      <c r="GI80" s="231"/>
      <c r="GJ80" s="231"/>
      <c r="GK80" s="231"/>
      <c r="GL80" s="231"/>
      <c r="GM80" s="231"/>
      <c r="GN80" s="231"/>
      <c r="GO80" s="231"/>
    </row>
    <row r="81" spans="1:197" s="45" customFormat="1" ht="21" x14ac:dyDescent="0.2">
      <c r="A81" s="315"/>
      <c r="B81" s="239"/>
      <c r="C81" s="240" t="s">
        <v>168</v>
      </c>
      <c r="D81" s="117" t="s">
        <v>26</v>
      </c>
      <c r="E81" s="66" t="s">
        <v>83</v>
      </c>
      <c r="F81" s="117">
        <f>2</f>
        <v>2</v>
      </c>
      <c r="G81" s="157"/>
      <c r="H81" s="157"/>
      <c r="I81" s="206"/>
      <c r="J81" s="157"/>
      <c r="K81" s="157"/>
      <c r="L81" s="157"/>
      <c r="M81" s="157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  <c r="EH81" s="231"/>
      <c r="EI81" s="231"/>
      <c r="EJ81" s="231"/>
      <c r="EK81" s="231"/>
      <c r="EL81" s="231"/>
      <c r="EM81" s="231"/>
      <c r="EN81" s="231"/>
      <c r="EO81" s="231"/>
      <c r="EP81" s="231"/>
      <c r="EQ81" s="231"/>
      <c r="ER81" s="231"/>
      <c r="ES81" s="231"/>
      <c r="ET81" s="231"/>
      <c r="EU81" s="231"/>
      <c r="EV81" s="231"/>
      <c r="EW81" s="231"/>
      <c r="EX81" s="231"/>
      <c r="EY81" s="231"/>
      <c r="EZ81" s="231"/>
      <c r="FA81" s="231"/>
      <c r="FB81" s="231"/>
      <c r="FC81" s="231"/>
      <c r="FD81" s="231"/>
      <c r="FE81" s="231"/>
      <c r="FF81" s="231"/>
      <c r="FG81" s="231"/>
      <c r="FH81" s="231"/>
      <c r="FI81" s="231"/>
      <c r="FJ81" s="231"/>
      <c r="FK81" s="231"/>
      <c r="FL81" s="231"/>
      <c r="FM81" s="231"/>
      <c r="FN81" s="231"/>
      <c r="FO81" s="231"/>
      <c r="FP81" s="231"/>
      <c r="FQ81" s="231"/>
      <c r="FR81" s="231"/>
      <c r="FS81" s="231"/>
      <c r="FT81" s="231"/>
      <c r="FU81" s="231"/>
      <c r="FV81" s="231"/>
      <c r="FW81" s="231"/>
      <c r="FX81" s="231"/>
      <c r="FY81" s="231"/>
      <c r="FZ81" s="231"/>
      <c r="GA81" s="231"/>
      <c r="GB81" s="231"/>
      <c r="GC81" s="231"/>
      <c r="GD81" s="231"/>
      <c r="GE81" s="231"/>
      <c r="GF81" s="231"/>
      <c r="GG81" s="231"/>
      <c r="GH81" s="231"/>
      <c r="GI81" s="231"/>
      <c r="GJ81" s="231"/>
      <c r="GK81" s="231"/>
      <c r="GL81" s="231"/>
      <c r="GM81" s="231"/>
      <c r="GN81" s="231"/>
      <c r="GO81" s="231"/>
    </row>
    <row r="82" spans="1:197" s="242" customFormat="1" ht="21" x14ac:dyDescent="0.35">
      <c r="A82" s="271"/>
      <c r="B82" s="272"/>
      <c r="C82" s="275" t="s">
        <v>21</v>
      </c>
      <c r="D82" s="275"/>
      <c r="E82" s="275"/>
      <c r="F82" s="274"/>
      <c r="G82" s="276"/>
      <c r="H82" s="276"/>
      <c r="I82" s="276"/>
      <c r="J82" s="276"/>
      <c r="K82" s="276"/>
      <c r="L82" s="276"/>
      <c r="M82" s="276"/>
    </row>
    <row r="83" spans="1:197" s="247" customFormat="1" ht="21" x14ac:dyDescent="0.35">
      <c r="A83" s="271"/>
      <c r="B83" s="272"/>
      <c r="C83" s="281" t="s">
        <v>169</v>
      </c>
      <c r="D83" s="277" t="s">
        <v>243</v>
      </c>
      <c r="E83" s="273"/>
      <c r="F83" s="274"/>
      <c r="G83" s="274"/>
      <c r="H83" s="274"/>
      <c r="I83" s="274"/>
      <c r="J83" s="274"/>
      <c r="K83" s="274"/>
      <c r="L83" s="274"/>
      <c r="M83" s="274"/>
    </row>
    <row r="84" spans="1:197" s="247" customFormat="1" ht="21" x14ac:dyDescent="0.35">
      <c r="A84" s="271"/>
      <c r="B84" s="272"/>
      <c r="C84" s="275" t="s">
        <v>21</v>
      </c>
      <c r="D84" s="278"/>
      <c r="E84" s="275"/>
      <c r="F84" s="274"/>
      <c r="G84" s="274"/>
      <c r="H84" s="276"/>
      <c r="I84" s="274"/>
      <c r="J84" s="276"/>
      <c r="K84" s="274"/>
      <c r="L84" s="276"/>
      <c r="M84" s="276"/>
    </row>
    <row r="85" spans="1:197" s="247" customFormat="1" ht="21" x14ac:dyDescent="0.35">
      <c r="A85" s="279"/>
      <c r="B85" s="280"/>
      <c r="C85" s="275" t="s">
        <v>170</v>
      </c>
      <c r="D85" s="277" t="s">
        <v>243</v>
      </c>
      <c r="E85" s="273"/>
      <c r="F85" s="276"/>
      <c r="G85" s="276"/>
      <c r="H85" s="276"/>
      <c r="I85" s="276"/>
      <c r="J85" s="276"/>
      <c r="K85" s="276"/>
      <c r="L85" s="276"/>
      <c r="M85" s="276"/>
    </row>
    <row r="86" spans="1:197" s="233" customFormat="1" ht="21" x14ac:dyDescent="0.2">
      <c r="A86" s="279"/>
      <c r="B86" s="280"/>
      <c r="C86" s="275" t="s">
        <v>21</v>
      </c>
      <c r="D86" s="277"/>
      <c r="E86" s="273"/>
      <c r="F86" s="276"/>
      <c r="G86" s="276"/>
      <c r="H86" s="276"/>
      <c r="I86" s="276"/>
      <c r="J86" s="276"/>
      <c r="K86" s="276"/>
      <c r="L86" s="276"/>
      <c r="M86" s="276"/>
    </row>
    <row r="87" spans="1:197" s="55" customFormat="1" ht="21" x14ac:dyDescent="0.35">
      <c r="A87" s="279"/>
      <c r="B87" s="280"/>
      <c r="C87" s="275" t="s">
        <v>171</v>
      </c>
      <c r="D87" s="277" t="s">
        <v>243</v>
      </c>
      <c r="E87" s="273"/>
      <c r="F87" s="276"/>
      <c r="G87" s="276"/>
      <c r="H87" s="276"/>
      <c r="I87" s="276"/>
      <c r="J87" s="276"/>
      <c r="K87" s="276"/>
      <c r="L87" s="276"/>
      <c r="M87" s="276"/>
    </row>
    <row r="88" spans="1:197" s="233" customFormat="1" ht="21" x14ac:dyDescent="0.2">
      <c r="A88" s="266"/>
      <c r="B88" s="267"/>
      <c r="C88" s="268" t="s">
        <v>172</v>
      </c>
      <c r="D88" s="268"/>
      <c r="E88" s="268"/>
      <c r="F88" s="269"/>
      <c r="G88" s="269"/>
      <c r="H88" s="270"/>
      <c r="I88" s="269"/>
      <c r="J88" s="270"/>
      <c r="K88" s="269"/>
      <c r="L88" s="270"/>
      <c r="M88" s="270"/>
    </row>
    <row r="89" spans="1:197" ht="18" customHeight="1" x14ac:dyDescent="0.3">
      <c r="C89" s="250"/>
      <c r="F89" s="252"/>
      <c r="G89" s="252"/>
      <c r="H89" s="252"/>
      <c r="I89" s="252"/>
      <c r="J89" s="252"/>
      <c r="K89" s="252"/>
      <c r="L89" s="252"/>
      <c r="M89" s="252"/>
    </row>
    <row r="90" spans="1:197" x14ac:dyDescent="0.3">
      <c r="C90" s="253"/>
      <c r="I90" s="252"/>
      <c r="J90" s="252"/>
      <c r="K90" s="252"/>
      <c r="L90" s="252"/>
      <c r="M90" s="252"/>
    </row>
    <row r="91" spans="1:197" ht="17.25" customHeight="1" x14ac:dyDescent="0.3">
      <c r="C91" s="254"/>
      <c r="D91" s="255"/>
      <c r="E91" s="255"/>
      <c r="G91" s="255"/>
      <c r="I91" s="252"/>
      <c r="J91" s="252"/>
      <c r="K91" s="252"/>
      <c r="L91" s="252"/>
      <c r="M91" s="252"/>
    </row>
    <row r="92" spans="1:197" x14ac:dyDescent="0.3">
      <c r="C92" s="254"/>
      <c r="I92" s="252"/>
      <c r="J92" s="252"/>
      <c r="K92" s="252"/>
      <c r="L92" s="252"/>
      <c r="M92" s="252"/>
    </row>
    <row r="93" spans="1:197" ht="18" customHeight="1" x14ac:dyDescent="0.3">
      <c r="C93" s="255"/>
      <c r="D93" s="255"/>
      <c r="E93" s="255"/>
      <c r="F93" s="256"/>
      <c r="G93" s="252"/>
      <c r="H93" s="252"/>
      <c r="I93" s="252"/>
      <c r="J93" s="252"/>
      <c r="K93" s="252"/>
      <c r="L93" s="252"/>
      <c r="M93" s="252"/>
    </row>
    <row r="94" spans="1:197" x14ac:dyDescent="0.3">
      <c r="F94" s="252"/>
      <c r="G94" s="252"/>
      <c r="H94" s="252"/>
      <c r="I94" s="252"/>
      <c r="J94" s="252"/>
      <c r="K94" s="252"/>
      <c r="L94" s="252"/>
      <c r="M94" s="252"/>
    </row>
    <row r="95" spans="1:197" x14ac:dyDescent="0.3">
      <c r="F95" s="252"/>
      <c r="G95" s="252"/>
      <c r="H95" s="252"/>
      <c r="I95" s="252"/>
      <c r="J95" s="252"/>
      <c r="K95" s="252"/>
      <c r="L95" s="252"/>
      <c r="M95" s="252"/>
    </row>
    <row r="96" spans="1:197" x14ac:dyDescent="0.3">
      <c r="F96" s="252"/>
      <c r="G96" s="252"/>
      <c r="H96" s="252"/>
      <c r="I96" s="252"/>
      <c r="J96" s="252"/>
      <c r="K96" s="252"/>
      <c r="L96" s="252"/>
      <c r="M96" s="252"/>
    </row>
    <row r="97" spans="3:13" x14ac:dyDescent="0.3">
      <c r="F97" s="252"/>
      <c r="G97" s="252"/>
      <c r="H97" s="252"/>
      <c r="I97" s="252"/>
      <c r="J97" s="252"/>
      <c r="K97" s="252"/>
      <c r="L97" s="252"/>
      <c r="M97" s="252"/>
    </row>
    <row r="98" spans="3:13" x14ac:dyDescent="0.3">
      <c r="F98" s="252"/>
      <c r="G98" s="252"/>
      <c r="H98" s="252"/>
      <c r="I98" s="252"/>
      <c r="J98" s="252"/>
      <c r="K98" s="252"/>
      <c r="L98" s="252"/>
      <c r="M98" s="252"/>
    </row>
    <row r="99" spans="3:13" x14ac:dyDescent="0.3">
      <c r="F99" s="252"/>
      <c r="G99" s="252"/>
      <c r="H99" s="252"/>
      <c r="I99" s="252"/>
      <c r="J99" s="252"/>
      <c r="K99" s="252"/>
      <c r="L99" s="252"/>
      <c r="M99" s="252"/>
    </row>
    <row r="100" spans="3:13" x14ac:dyDescent="0.3">
      <c r="F100" s="252"/>
      <c r="G100" s="252"/>
      <c r="H100" s="252"/>
      <c r="I100" s="252"/>
      <c r="J100" s="252"/>
      <c r="K100" s="252"/>
      <c r="L100" s="252"/>
      <c r="M100" s="252"/>
    </row>
    <row r="101" spans="3:13" ht="21" x14ac:dyDescent="0.3">
      <c r="C101" s="153"/>
      <c r="F101" s="252"/>
      <c r="G101" s="252"/>
      <c r="H101" s="252"/>
      <c r="I101" s="252"/>
      <c r="J101" s="252"/>
      <c r="K101" s="252"/>
      <c r="L101" s="252"/>
      <c r="M101" s="252"/>
    </row>
    <row r="102" spans="3:13" x14ac:dyDescent="0.3">
      <c r="F102" s="252"/>
      <c r="G102" s="252"/>
      <c r="H102" s="252"/>
      <c r="I102" s="252"/>
      <c r="J102" s="252"/>
      <c r="K102" s="252"/>
      <c r="L102" s="252"/>
      <c r="M102" s="252"/>
    </row>
    <row r="103" spans="3:13" x14ac:dyDescent="0.3">
      <c r="F103" s="252"/>
      <c r="G103" s="252"/>
      <c r="H103" s="252"/>
      <c r="I103" s="252"/>
      <c r="J103" s="252"/>
      <c r="K103" s="252"/>
      <c r="L103" s="252"/>
      <c r="M103" s="252"/>
    </row>
    <row r="104" spans="3:13" x14ac:dyDescent="0.3">
      <c r="F104" s="252"/>
      <c r="G104" s="252"/>
      <c r="H104" s="252"/>
      <c r="I104" s="252"/>
      <c r="J104" s="252"/>
      <c r="K104" s="252"/>
      <c r="L104" s="252"/>
      <c r="M104" s="252"/>
    </row>
    <row r="105" spans="3:13" x14ac:dyDescent="0.3">
      <c r="F105" s="252"/>
      <c r="G105" s="252"/>
      <c r="H105" s="252"/>
      <c r="I105" s="252"/>
      <c r="J105" s="252"/>
      <c r="K105" s="252"/>
      <c r="L105" s="252"/>
      <c r="M105" s="252"/>
    </row>
    <row r="106" spans="3:13" x14ac:dyDescent="0.3">
      <c r="F106" s="252"/>
      <c r="G106" s="252"/>
      <c r="H106" s="252"/>
      <c r="I106" s="252"/>
      <c r="J106" s="252"/>
      <c r="K106" s="252"/>
      <c r="L106" s="252"/>
      <c r="M106" s="252"/>
    </row>
    <row r="107" spans="3:13" x14ac:dyDescent="0.3">
      <c r="F107" s="252"/>
      <c r="G107" s="252"/>
      <c r="H107" s="252"/>
      <c r="I107" s="252"/>
      <c r="J107" s="252"/>
      <c r="K107" s="252"/>
      <c r="L107" s="252"/>
      <c r="M107" s="252"/>
    </row>
    <row r="108" spans="3:13" x14ac:dyDescent="0.3">
      <c r="F108" s="252"/>
      <c r="G108" s="252"/>
      <c r="H108" s="252"/>
      <c r="I108" s="252"/>
      <c r="J108" s="252"/>
      <c r="K108" s="252"/>
      <c r="L108" s="252"/>
      <c r="M108" s="252"/>
    </row>
    <row r="109" spans="3:13" x14ac:dyDescent="0.3">
      <c r="F109" s="252"/>
      <c r="G109" s="252"/>
      <c r="H109" s="252"/>
      <c r="I109" s="252"/>
      <c r="J109" s="252"/>
      <c r="K109" s="252"/>
      <c r="L109" s="252"/>
      <c r="M109" s="252"/>
    </row>
    <row r="110" spans="3:13" x14ac:dyDescent="0.3">
      <c r="F110" s="252"/>
      <c r="G110" s="252"/>
      <c r="H110" s="252"/>
      <c r="I110" s="252"/>
      <c r="J110" s="252"/>
      <c r="K110" s="252"/>
      <c r="L110" s="252"/>
      <c r="M110" s="252"/>
    </row>
    <row r="111" spans="3:13" x14ac:dyDescent="0.3">
      <c r="F111" s="252"/>
      <c r="G111" s="252"/>
      <c r="H111" s="252"/>
      <c r="I111" s="252"/>
      <c r="J111" s="252"/>
      <c r="K111" s="252"/>
      <c r="L111" s="252"/>
      <c r="M111" s="252"/>
    </row>
    <row r="112" spans="3:13" x14ac:dyDescent="0.3">
      <c r="F112" s="252"/>
      <c r="G112" s="252"/>
      <c r="H112" s="252"/>
      <c r="I112" s="252"/>
      <c r="J112" s="252"/>
      <c r="K112" s="252"/>
      <c r="L112" s="252"/>
      <c r="M112" s="252"/>
    </row>
    <row r="113" spans="3:13" x14ac:dyDescent="0.3">
      <c r="F113" s="252"/>
      <c r="G113" s="252"/>
      <c r="H113" s="252"/>
      <c r="I113" s="252"/>
      <c r="J113" s="252"/>
      <c r="K113" s="252"/>
      <c r="L113" s="252"/>
      <c r="M113" s="252"/>
    </row>
    <row r="114" spans="3:13" x14ac:dyDescent="0.3">
      <c r="F114" s="252"/>
      <c r="G114" s="252"/>
      <c r="H114" s="252"/>
      <c r="I114" s="252"/>
      <c r="J114" s="252"/>
      <c r="K114" s="252"/>
      <c r="L114" s="252"/>
      <c r="M114" s="252"/>
    </row>
    <row r="115" spans="3:13" x14ac:dyDescent="0.3">
      <c r="F115" s="252"/>
      <c r="G115" s="252"/>
      <c r="H115" s="252"/>
      <c r="I115" s="252"/>
      <c r="J115" s="252"/>
      <c r="K115" s="252"/>
      <c r="L115" s="252"/>
      <c r="M115" s="252"/>
    </row>
    <row r="116" spans="3:13" ht="21" x14ac:dyDescent="0.3">
      <c r="C116" s="153"/>
      <c r="F116" s="252"/>
      <c r="G116" s="252"/>
      <c r="H116" s="252"/>
      <c r="I116" s="252"/>
      <c r="J116" s="252"/>
      <c r="K116" s="252"/>
      <c r="L116" s="252"/>
      <c r="M116" s="252"/>
    </row>
    <row r="117" spans="3:13" x14ac:dyDescent="0.3">
      <c r="F117" s="252"/>
      <c r="G117" s="252"/>
      <c r="H117" s="252"/>
      <c r="I117" s="252"/>
      <c r="J117" s="252"/>
      <c r="K117" s="252"/>
      <c r="L117" s="252"/>
      <c r="M117" s="252"/>
    </row>
    <row r="118" spans="3:13" x14ac:dyDescent="0.3">
      <c r="F118" s="252"/>
      <c r="G118" s="252"/>
      <c r="H118" s="252"/>
      <c r="I118" s="252"/>
      <c r="J118" s="252"/>
      <c r="K118" s="252"/>
      <c r="L118" s="252"/>
      <c r="M118" s="252"/>
    </row>
    <row r="119" spans="3:13" x14ac:dyDescent="0.3">
      <c r="F119" s="252"/>
      <c r="G119" s="252"/>
      <c r="H119" s="252"/>
      <c r="I119" s="252"/>
      <c r="J119" s="252"/>
      <c r="K119" s="252"/>
      <c r="L119" s="252"/>
      <c r="M119" s="252"/>
    </row>
    <row r="120" spans="3:13" x14ac:dyDescent="0.3">
      <c r="F120" s="252"/>
      <c r="G120" s="252"/>
      <c r="H120" s="252"/>
      <c r="I120" s="252"/>
      <c r="J120" s="252"/>
      <c r="K120" s="252"/>
      <c r="L120" s="252"/>
      <c r="M120" s="252"/>
    </row>
    <row r="121" spans="3:13" x14ac:dyDescent="0.3">
      <c r="F121" s="252"/>
      <c r="G121" s="252"/>
      <c r="H121" s="252"/>
      <c r="I121" s="252"/>
      <c r="J121" s="252"/>
      <c r="K121" s="252"/>
      <c r="L121" s="252"/>
      <c r="M121" s="252"/>
    </row>
    <row r="122" spans="3:13" x14ac:dyDescent="0.3">
      <c r="F122" s="252"/>
      <c r="G122" s="252"/>
      <c r="H122" s="252"/>
      <c r="I122" s="252"/>
      <c r="J122" s="252"/>
      <c r="K122" s="252"/>
      <c r="L122" s="252"/>
      <c r="M122" s="252"/>
    </row>
    <row r="123" spans="3:13" x14ac:dyDescent="0.3">
      <c r="F123" s="252"/>
      <c r="G123" s="252"/>
      <c r="H123" s="252"/>
      <c r="I123" s="252"/>
      <c r="J123" s="252"/>
      <c r="K123" s="252"/>
      <c r="L123" s="252"/>
      <c r="M123" s="252"/>
    </row>
    <row r="124" spans="3:13" x14ac:dyDescent="0.3">
      <c r="F124" s="252"/>
      <c r="G124" s="252"/>
      <c r="H124" s="252"/>
      <c r="I124" s="252"/>
      <c r="J124" s="252"/>
      <c r="K124" s="252"/>
      <c r="L124" s="252"/>
      <c r="M124" s="252"/>
    </row>
    <row r="125" spans="3:13" x14ac:dyDescent="0.3">
      <c r="F125" s="252"/>
      <c r="G125" s="252"/>
      <c r="H125" s="252"/>
      <c r="I125" s="252"/>
      <c r="J125" s="252"/>
      <c r="K125" s="252"/>
      <c r="L125" s="252"/>
      <c r="M125" s="252"/>
    </row>
    <row r="126" spans="3:13" x14ac:dyDescent="0.3">
      <c r="F126" s="252"/>
      <c r="G126" s="252"/>
      <c r="H126" s="252"/>
      <c r="I126" s="252"/>
      <c r="J126" s="252"/>
      <c r="K126" s="252"/>
      <c r="L126" s="252"/>
      <c r="M126" s="252"/>
    </row>
    <row r="127" spans="3:13" x14ac:dyDescent="0.3">
      <c r="F127" s="252"/>
      <c r="G127" s="252"/>
      <c r="H127" s="252"/>
      <c r="I127" s="252"/>
      <c r="J127" s="252"/>
      <c r="K127" s="252"/>
      <c r="L127" s="252"/>
      <c r="M127" s="252"/>
    </row>
    <row r="128" spans="3:13" x14ac:dyDescent="0.3">
      <c r="F128" s="252"/>
      <c r="G128" s="252"/>
      <c r="H128" s="252"/>
      <c r="I128" s="252"/>
      <c r="J128" s="252"/>
      <c r="K128" s="252"/>
      <c r="L128" s="252"/>
      <c r="M128" s="252"/>
    </row>
    <row r="129" spans="6:13" x14ac:dyDescent="0.3">
      <c r="F129" s="252"/>
      <c r="G129" s="252"/>
      <c r="H129" s="252"/>
      <c r="I129" s="252"/>
      <c r="J129" s="252"/>
      <c r="K129" s="252"/>
      <c r="L129" s="252"/>
      <c r="M129" s="252"/>
    </row>
    <row r="130" spans="6:13" x14ac:dyDescent="0.3">
      <c r="F130" s="252"/>
      <c r="G130" s="252"/>
      <c r="H130" s="252"/>
      <c r="I130" s="252"/>
      <c r="J130" s="252"/>
      <c r="K130" s="252"/>
      <c r="L130" s="252"/>
      <c r="M130" s="252"/>
    </row>
    <row r="131" spans="6:13" x14ac:dyDescent="0.3">
      <c r="F131" s="252"/>
      <c r="G131" s="252"/>
      <c r="H131" s="252"/>
      <c r="I131" s="252"/>
      <c r="J131" s="252"/>
      <c r="K131" s="252"/>
      <c r="L131" s="252"/>
      <c r="M131" s="252"/>
    </row>
    <row r="132" spans="6:13" x14ac:dyDescent="0.3">
      <c r="F132" s="252"/>
      <c r="G132" s="252"/>
      <c r="H132" s="252"/>
      <c r="I132" s="252"/>
      <c r="J132" s="252"/>
      <c r="K132" s="252"/>
      <c r="L132" s="252"/>
      <c r="M132" s="252"/>
    </row>
    <row r="133" spans="6:13" x14ac:dyDescent="0.3">
      <c r="F133" s="252"/>
      <c r="G133" s="252"/>
      <c r="H133" s="252"/>
      <c r="I133" s="252"/>
      <c r="J133" s="252"/>
      <c r="K133" s="252"/>
      <c r="L133" s="252"/>
      <c r="M133" s="252"/>
    </row>
    <row r="134" spans="6:13" x14ac:dyDescent="0.3">
      <c r="F134" s="252"/>
      <c r="G134" s="252"/>
      <c r="H134" s="252"/>
      <c r="I134" s="252"/>
      <c r="J134" s="252"/>
      <c r="K134" s="252"/>
      <c r="L134" s="252"/>
      <c r="M134" s="252"/>
    </row>
    <row r="135" spans="6:13" x14ac:dyDescent="0.3">
      <c r="F135" s="252"/>
      <c r="G135" s="252"/>
      <c r="H135" s="252"/>
      <c r="I135" s="252"/>
      <c r="J135" s="252"/>
      <c r="K135" s="252"/>
      <c r="L135" s="252"/>
      <c r="M135" s="252"/>
    </row>
    <row r="136" spans="6:13" x14ac:dyDescent="0.3">
      <c r="F136" s="252"/>
      <c r="G136" s="252"/>
      <c r="H136" s="252"/>
      <c r="I136" s="252"/>
      <c r="J136" s="252"/>
      <c r="K136" s="252"/>
      <c r="L136" s="252"/>
      <c r="M136" s="252"/>
    </row>
    <row r="137" spans="6:13" x14ac:dyDescent="0.3">
      <c r="F137" s="252"/>
      <c r="G137" s="252"/>
      <c r="H137" s="252"/>
      <c r="I137" s="252"/>
      <c r="J137" s="252"/>
      <c r="K137" s="252"/>
      <c r="L137" s="252"/>
      <c r="M137" s="252"/>
    </row>
    <row r="138" spans="6:13" x14ac:dyDescent="0.3">
      <c r="F138" s="252"/>
      <c r="G138" s="252"/>
      <c r="H138" s="252"/>
      <c r="I138" s="252"/>
      <c r="J138" s="252"/>
      <c r="K138" s="252"/>
      <c r="L138" s="252"/>
      <c r="M138" s="252"/>
    </row>
    <row r="139" spans="6:13" x14ac:dyDescent="0.3">
      <c r="F139" s="252"/>
      <c r="G139" s="252"/>
      <c r="H139" s="252"/>
      <c r="I139" s="252"/>
      <c r="J139" s="252"/>
      <c r="K139" s="252"/>
      <c r="L139" s="252"/>
      <c r="M139" s="252"/>
    </row>
    <row r="140" spans="6:13" x14ac:dyDescent="0.3">
      <c r="F140" s="252"/>
      <c r="G140" s="252"/>
      <c r="H140" s="252"/>
      <c r="I140" s="252"/>
      <c r="J140" s="252"/>
      <c r="K140" s="252"/>
      <c r="L140" s="252"/>
      <c r="M140" s="252"/>
    </row>
    <row r="141" spans="6:13" x14ac:dyDescent="0.3">
      <c r="F141" s="252"/>
      <c r="G141" s="252"/>
      <c r="H141" s="252"/>
      <c r="I141" s="252"/>
      <c r="J141" s="252"/>
      <c r="K141" s="252"/>
      <c r="L141" s="252"/>
      <c r="M141" s="252"/>
    </row>
    <row r="142" spans="6:13" x14ac:dyDescent="0.3">
      <c r="F142" s="252"/>
      <c r="G142" s="252"/>
      <c r="H142" s="252"/>
      <c r="I142" s="252"/>
      <c r="J142" s="252"/>
      <c r="K142" s="252"/>
      <c r="L142" s="252"/>
      <c r="M142" s="252"/>
    </row>
    <row r="143" spans="6:13" x14ac:dyDescent="0.3">
      <c r="F143" s="252"/>
      <c r="G143" s="252"/>
      <c r="H143" s="252"/>
      <c r="I143" s="252"/>
      <c r="J143" s="252"/>
      <c r="K143" s="252"/>
      <c r="L143" s="252"/>
      <c r="M143" s="252"/>
    </row>
    <row r="144" spans="6:13" x14ac:dyDescent="0.3">
      <c r="F144" s="252"/>
      <c r="G144" s="252"/>
      <c r="H144" s="252"/>
      <c r="I144" s="252"/>
      <c r="J144" s="252"/>
      <c r="K144" s="252"/>
      <c r="L144" s="252"/>
      <c r="M144" s="252"/>
    </row>
    <row r="145" spans="6:13" x14ac:dyDescent="0.3">
      <c r="F145" s="252"/>
      <c r="G145" s="252"/>
      <c r="H145" s="252"/>
      <c r="I145" s="252"/>
      <c r="J145" s="252"/>
      <c r="K145" s="252"/>
      <c r="L145" s="252"/>
      <c r="M145" s="252"/>
    </row>
    <row r="146" spans="6:13" x14ac:dyDescent="0.3">
      <c r="F146" s="252"/>
      <c r="G146" s="252"/>
      <c r="H146" s="252"/>
      <c r="I146" s="252"/>
      <c r="J146" s="252"/>
      <c r="K146" s="252"/>
      <c r="L146" s="252"/>
      <c r="M146" s="252"/>
    </row>
    <row r="147" spans="6:13" x14ac:dyDescent="0.3">
      <c r="F147" s="252"/>
      <c r="G147" s="252"/>
      <c r="H147" s="252"/>
      <c r="I147" s="252"/>
      <c r="J147" s="252"/>
      <c r="K147" s="252"/>
      <c r="L147" s="252"/>
      <c r="M147" s="252"/>
    </row>
    <row r="148" spans="6:13" x14ac:dyDescent="0.3">
      <c r="F148" s="252"/>
      <c r="G148" s="252"/>
      <c r="H148" s="252"/>
      <c r="I148" s="252"/>
      <c r="J148" s="252"/>
      <c r="K148" s="252"/>
      <c r="L148" s="252"/>
      <c r="M148" s="252"/>
    </row>
    <row r="149" spans="6:13" x14ac:dyDescent="0.3">
      <c r="F149" s="252"/>
      <c r="G149" s="252"/>
      <c r="H149" s="252"/>
      <c r="I149" s="252"/>
      <c r="J149" s="252"/>
      <c r="K149" s="252"/>
      <c r="L149" s="252"/>
      <c r="M149" s="252"/>
    </row>
    <row r="150" spans="6:13" x14ac:dyDescent="0.3">
      <c r="F150" s="252"/>
      <c r="G150" s="252"/>
      <c r="H150" s="252"/>
      <c r="I150" s="252"/>
      <c r="J150" s="252"/>
      <c r="K150" s="252"/>
      <c r="L150" s="252"/>
      <c r="M150" s="252"/>
    </row>
    <row r="151" spans="6:13" x14ac:dyDescent="0.3">
      <c r="F151" s="252"/>
      <c r="G151" s="252"/>
      <c r="H151" s="252"/>
      <c r="I151" s="252"/>
      <c r="J151" s="252"/>
      <c r="K151" s="252"/>
      <c r="L151" s="252"/>
      <c r="M151" s="252"/>
    </row>
    <row r="152" spans="6:13" x14ac:dyDescent="0.3">
      <c r="F152" s="252"/>
      <c r="G152" s="252"/>
      <c r="H152" s="252"/>
      <c r="I152" s="252"/>
      <c r="J152" s="252"/>
      <c r="K152" s="252"/>
      <c r="L152" s="252"/>
      <c r="M152" s="252"/>
    </row>
    <row r="153" spans="6:13" x14ac:dyDescent="0.3">
      <c r="F153" s="252"/>
      <c r="G153" s="252"/>
      <c r="H153" s="252"/>
      <c r="I153" s="252"/>
      <c r="J153" s="252"/>
      <c r="K153" s="252"/>
      <c r="L153" s="252"/>
      <c r="M153" s="252"/>
    </row>
    <row r="154" spans="6:13" x14ac:dyDescent="0.3">
      <c r="F154" s="252"/>
      <c r="G154" s="252"/>
      <c r="H154" s="252"/>
      <c r="I154" s="252"/>
      <c r="J154" s="252"/>
      <c r="K154" s="252"/>
      <c r="L154" s="252"/>
      <c r="M154" s="252"/>
    </row>
    <row r="155" spans="6:13" x14ac:dyDescent="0.3">
      <c r="F155" s="252"/>
      <c r="G155" s="252"/>
      <c r="H155" s="252"/>
      <c r="I155" s="252"/>
      <c r="J155" s="252"/>
      <c r="K155" s="252"/>
      <c r="L155" s="252"/>
      <c r="M155" s="252"/>
    </row>
    <row r="156" spans="6:13" x14ac:dyDescent="0.3">
      <c r="F156" s="252"/>
      <c r="G156" s="252"/>
      <c r="H156" s="252"/>
      <c r="I156" s="252"/>
      <c r="J156" s="252"/>
      <c r="K156" s="252"/>
      <c r="L156" s="252"/>
      <c r="M156" s="252"/>
    </row>
    <row r="157" spans="6:13" x14ac:dyDescent="0.3">
      <c r="F157" s="252"/>
      <c r="G157" s="252"/>
      <c r="H157" s="252"/>
      <c r="I157" s="252"/>
      <c r="J157" s="252"/>
      <c r="K157" s="252"/>
      <c r="L157" s="252"/>
      <c r="M157" s="252"/>
    </row>
    <row r="158" spans="6:13" x14ac:dyDescent="0.3">
      <c r="F158" s="252"/>
      <c r="G158" s="252"/>
      <c r="H158" s="252"/>
      <c r="I158" s="252"/>
      <c r="J158" s="252"/>
      <c r="K158" s="252"/>
      <c r="L158" s="252"/>
      <c r="M158" s="252"/>
    </row>
    <row r="159" spans="6:13" x14ac:dyDescent="0.3">
      <c r="F159" s="252"/>
      <c r="G159" s="252"/>
      <c r="H159" s="252"/>
      <c r="I159" s="252"/>
      <c r="J159" s="252"/>
      <c r="K159" s="252"/>
      <c r="L159" s="252"/>
      <c r="M159" s="252"/>
    </row>
    <row r="160" spans="6:13" x14ac:dyDescent="0.3">
      <c r="F160" s="252"/>
      <c r="G160" s="252"/>
      <c r="H160" s="252"/>
      <c r="I160" s="252"/>
      <c r="J160" s="252"/>
      <c r="K160" s="252"/>
      <c r="L160" s="252"/>
      <c r="M160" s="252"/>
    </row>
    <row r="161" spans="6:13" x14ac:dyDescent="0.3">
      <c r="F161" s="252"/>
      <c r="G161" s="252"/>
      <c r="H161" s="252"/>
      <c r="I161" s="252"/>
      <c r="J161" s="252"/>
      <c r="K161" s="252"/>
      <c r="L161" s="252"/>
      <c r="M161" s="252"/>
    </row>
    <row r="162" spans="6:13" x14ac:dyDescent="0.3">
      <c r="F162" s="252"/>
      <c r="G162" s="252"/>
      <c r="H162" s="252"/>
      <c r="I162" s="252"/>
      <c r="J162" s="252"/>
      <c r="K162" s="252"/>
      <c r="L162" s="252"/>
      <c r="M162" s="252"/>
    </row>
  </sheetData>
  <protectedRanges>
    <protectedRange sqref="E36:E38 E40" name="Range1_1_1_2_1_1"/>
    <protectedRange sqref="E39" name="Range1_1_1_2_1"/>
  </protectedRanges>
  <autoFilter ref="A7:M88"/>
  <mergeCells count="32">
    <mergeCell ref="A58:A64"/>
    <mergeCell ref="A70:A81"/>
    <mergeCell ref="A1:M1"/>
    <mergeCell ref="A2:M2"/>
    <mergeCell ref="A3:C3"/>
    <mergeCell ref="D3:F3"/>
    <mergeCell ref="A4:C4"/>
    <mergeCell ref="D4:F4"/>
    <mergeCell ref="L4:M4"/>
    <mergeCell ref="G5:H5"/>
    <mergeCell ref="I5:J5"/>
    <mergeCell ref="K5:L5"/>
    <mergeCell ref="M5:M6"/>
    <mergeCell ref="A8:A9"/>
    <mergeCell ref="A5:A6"/>
    <mergeCell ref="B5:B6"/>
    <mergeCell ref="C5:C6"/>
    <mergeCell ref="D5:D6"/>
    <mergeCell ref="E5:F5"/>
    <mergeCell ref="A65:A67"/>
    <mergeCell ref="A68:A69"/>
    <mergeCell ref="A10:A12"/>
    <mergeCell ref="A13:A14"/>
    <mergeCell ref="A15:A17"/>
    <mergeCell ref="A18:A28"/>
    <mergeCell ref="A29:A33"/>
    <mergeCell ref="A34:A40"/>
    <mergeCell ref="A41:A42"/>
    <mergeCell ref="A43:A45"/>
    <mergeCell ref="A46:A48"/>
    <mergeCell ref="A49:A53"/>
    <mergeCell ref="A54:A57"/>
  </mergeCells>
  <conditionalFormatting sqref="C53:F53 B52 E34:E64">
    <cfRule type="cellIs" dxfId="8" priority="28" stopIfTrue="1" operator="equal">
      <formula>8223.307275</formula>
    </cfRule>
  </conditionalFormatting>
  <conditionalFormatting sqref="D59:F59">
    <cfRule type="cellIs" dxfId="7" priority="23" operator="equal">
      <formula>0</formula>
    </cfRule>
  </conditionalFormatting>
  <conditionalFormatting sqref="C59">
    <cfRule type="cellIs" dxfId="6" priority="22" stopIfTrue="1" operator="equal">
      <formula>0</formula>
    </cfRule>
  </conditionalFormatting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O135"/>
  <sheetViews>
    <sheetView tabSelected="1" view="pageBreakPreview" topLeftCell="A119" zoomScaleNormal="100" zoomScaleSheetLayoutView="100" workbookViewId="0">
      <selection activeCell="B3" sqref="B3:C4"/>
    </sheetView>
  </sheetViews>
  <sheetFormatPr defaultColWidth="9.125" defaultRowHeight="15.75" x14ac:dyDescent="0.3"/>
  <cols>
    <col min="1" max="1" width="4.875" style="248" customWidth="1"/>
    <col min="2" max="2" width="19.25" style="249" customWidth="1"/>
    <col min="3" max="3" width="59.625" style="257" customWidth="1"/>
    <col min="4" max="4" width="12.875" style="251" bestFit="1" customWidth="1"/>
    <col min="5" max="5" width="10.375" style="223" customWidth="1"/>
    <col min="6" max="6" width="11.125" style="223" customWidth="1"/>
    <col min="7" max="7" width="11.875" style="223" customWidth="1"/>
    <col min="8" max="8" width="12.625" style="223" customWidth="1"/>
    <col min="9" max="9" width="11.125" style="223" customWidth="1"/>
    <col min="10" max="10" width="11.625" style="223" customWidth="1"/>
    <col min="11" max="11" width="11.875" style="223" customWidth="1"/>
    <col min="12" max="12" width="11.125" style="223" customWidth="1"/>
    <col min="13" max="13" width="17.75" style="223" customWidth="1"/>
    <col min="14" max="16" width="9.125" style="223"/>
    <col min="17" max="17" width="11.125" style="223" customWidth="1"/>
    <col min="18" max="27" width="9.125" style="223"/>
    <col min="28" max="28" width="10.75" style="223" customWidth="1"/>
    <col min="29" max="16384" width="9.125" style="223"/>
  </cols>
  <sheetData>
    <row r="1" spans="1:197" ht="39" customHeight="1" x14ac:dyDescent="0.3">
      <c r="A1" s="316" t="s">
        <v>241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97" x14ac:dyDescent="0.3">
      <c r="A2" s="317" t="s">
        <v>28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97" ht="18" customHeight="1" x14ac:dyDescent="0.3">
      <c r="B3" s="259"/>
      <c r="C3" s="249"/>
      <c r="E3" s="249"/>
      <c r="F3" s="249"/>
      <c r="G3" s="224"/>
      <c r="H3" s="224"/>
      <c r="I3" s="224"/>
      <c r="J3" s="224"/>
      <c r="K3" s="224"/>
      <c r="L3" s="224"/>
      <c r="M3" s="224"/>
    </row>
    <row r="4" spans="1:197" ht="18.75" customHeight="1" x14ac:dyDescent="0.3">
      <c r="B4" s="259"/>
      <c r="C4" s="224"/>
      <c r="D4" s="316"/>
      <c r="E4" s="316"/>
      <c r="F4" s="316"/>
      <c r="G4" s="225"/>
      <c r="H4" s="225"/>
      <c r="I4" s="225"/>
      <c r="J4" s="225"/>
      <c r="K4" s="225"/>
      <c r="L4" s="319" t="s">
        <v>39</v>
      </c>
      <c r="M4" s="319"/>
    </row>
    <row r="5" spans="1:197" s="41" customFormat="1" ht="21" customHeight="1" x14ac:dyDescent="0.2">
      <c r="A5" s="306" t="s">
        <v>30</v>
      </c>
      <c r="B5" s="306" t="s">
        <v>42</v>
      </c>
      <c r="C5" s="306" t="s">
        <v>43</v>
      </c>
      <c r="D5" s="306" t="s">
        <v>44</v>
      </c>
      <c r="E5" s="306" t="s">
        <v>19</v>
      </c>
      <c r="F5" s="306"/>
      <c r="G5" s="306" t="s">
        <v>45</v>
      </c>
      <c r="H5" s="306"/>
      <c r="I5" s="306" t="s">
        <v>20</v>
      </c>
      <c r="J5" s="306"/>
      <c r="K5" s="306" t="s">
        <v>46</v>
      </c>
      <c r="L5" s="306"/>
      <c r="M5" s="306" t="s">
        <v>21</v>
      </c>
    </row>
    <row r="6" spans="1:197" s="41" customFormat="1" ht="42" x14ac:dyDescent="0.2">
      <c r="A6" s="306"/>
      <c r="B6" s="306"/>
      <c r="C6" s="306"/>
      <c r="D6" s="306"/>
      <c r="E6" s="42" t="s">
        <v>22</v>
      </c>
      <c r="F6" s="42" t="s">
        <v>47</v>
      </c>
      <c r="G6" s="42"/>
      <c r="H6" s="42"/>
      <c r="I6" s="42"/>
      <c r="J6" s="42"/>
      <c r="K6" s="42"/>
      <c r="L6" s="42"/>
      <c r="M6" s="306"/>
    </row>
    <row r="7" spans="1:197" s="45" customFormat="1" ht="21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/>
      <c r="H7" s="44"/>
      <c r="I7" s="44"/>
      <c r="J7" s="44"/>
      <c r="K7" s="44"/>
      <c r="L7" s="44"/>
      <c r="M7" s="44"/>
    </row>
    <row r="8" spans="1:197" s="45" customFormat="1" ht="21" x14ac:dyDescent="0.2">
      <c r="A8" s="43"/>
      <c r="B8" s="43"/>
      <c r="C8" s="43" t="s">
        <v>204</v>
      </c>
      <c r="D8" s="43"/>
      <c r="E8" s="43"/>
      <c r="F8" s="43"/>
      <c r="G8" s="43"/>
      <c r="H8" s="44"/>
      <c r="I8" s="44"/>
      <c r="J8" s="44"/>
      <c r="K8" s="44"/>
      <c r="L8" s="44"/>
      <c r="M8" s="44"/>
    </row>
    <row r="9" spans="1:197" s="51" customFormat="1" ht="42" x14ac:dyDescent="0.35">
      <c r="A9" s="315">
        <v>1</v>
      </c>
      <c r="B9" s="46" t="s">
        <v>48</v>
      </c>
      <c r="C9" s="47" t="s">
        <v>49</v>
      </c>
      <c r="D9" s="221" t="s">
        <v>50</v>
      </c>
      <c r="E9" s="48"/>
      <c r="F9" s="220">
        <v>1.4999999999999999E-2</v>
      </c>
      <c r="G9" s="157"/>
      <c r="H9" s="157"/>
      <c r="I9" s="157"/>
      <c r="J9" s="157"/>
      <c r="K9" s="157"/>
      <c r="L9" s="157"/>
      <c r="M9" s="157"/>
    </row>
    <row r="10" spans="1:197" s="55" customFormat="1" ht="21" x14ac:dyDescent="0.35">
      <c r="A10" s="307"/>
      <c r="B10" s="52"/>
      <c r="C10" s="53" t="s">
        <v>51</v>
      </c>
      <c r="D10" s="49" t="s">
        <v>52</v>
      </c>
      <c r="E10" s="49">
        <v>33.96</v>
      </c>
      <c r="F10" s="157">
        <f>F9*E10</f>
        <v>0.50939999999999996</v>
      </c>
      <c r="G10" s="157"/>
      <c r="H10" s="157"/>
      <c r="I10" s="157"/>
      <c r="J10" s="157"/>
      <c r="K10" s="154"/>
      <c r="L10" s="157"/>
      <c r="M10" s="157"/>
    </row>
    <row r="11" spans="1:197" s="51" customFormat="1" ht="42" x14ac:dyDescent="0.35">
      <c r="A11" s="315">
        <v>2</v>
      </c>
      <c r="B11" s="46" t="s">
        <v>53</v>
      </c>
      <c r="C11" s="47" t="s">
        <v>54</v>
      </c>
      <c r="D11" s="221" t="s">
        <v>55</v>
      </c>
      <c r="E11" s="48"/>
      <c r="F11" s="154">
        <v>8</v>
      </c>
      <c r="G11" s="157"/>
      <c r="H11" s="157"/>
      <c r="I11" s="157"/>
      <c r="J11" s="157"/>
      <c r="K11" s="157"/>
      <c r="L11" s="157"/>
      <c r="M11" s="157"/>
    </row>
    <row r="12" spans="1:197" s="55" customFormat="1" ht="21" x14ac:dyDescent="0.35">
      <c r="A12" s="315"/>
      <c r="B12" s="56"/>
      <c r="C12" s="57" t="s">
        <v>23</v>
      </c>
      <c r="D12" s="49" t="s">
        <v>56</v>
      </c>
      <c r="E12" s="49">
        <f>1247/100</f>
        <v>12.47</v>
      </c>
      <c r="F12" s="157">
        <f>E12*F11</f>
        <v>99.76</v>
      </c>
      <c r="G12" s="157"/>
      <c r="H12" s="157"/>
      <c r="I12" s="157"/>
      <c r="J12" s="157"/>
      <c r="K12" s="157"/>
      <c r="L12" s="157"/>
      <c r="M12" s="157"/>
    </row>
    <row r="13" spans="1:197" s="55" customFormat="1" ht="21" x14ac:dyDescent="0.35">
      <c r="A13" s="315"/>
      <c r="B13" s="56" t="s">
        <v>57</v>
      </c>
      <c r="C13" s="58" t="s">
        <v>58</v>
      </c>
      <c r="D13" s="49" t="s">
        <v>52</v>
      </c>
      <c r="E13" s="49">
        <f>347/100</f>
        <v>3.47</v>
      </c>
      <c r="F13" s="157">
        <f>E13*F11</f>
        <v>27.76</v>
      </c>
      <c r="G13" s="157"/>
      <c r="H13" s="157"/>
      <c r="I13" s="157"/>
      <c r="J13" s="157"/>
      <c r="K13" s="154"/>
      <c r="L13" s="157"/>
      <c r="M13" s="157"/>
    </row>
    <row r="14" spans="1:197" s="51" customFormat="1" ht="44.25" customHeight="1" x14ac:dyDescent="0.35">
      <c r="A14" s="315">
        <v>3</v>
      </c>
      <c r="B14" s="201" t="s">
        <v>205</v>
      </c>
      <c r="C14" s="199" t="s">
        <v>210</v>
      </c>
      <c r="D14" s="201" t="s">
        <v>206</v>
      </c>
      <c r="E14" s="202"/>
      <c r="F14" s="154">
        <v>12</v>
      </c>
      <c r="G14" s="157"/>
      <c r="H14" s="157"/>
      <c r="I14" s="157"/>
      <c r="J14" s="157"/>
      <c r="K14" s="157"/>
      <c r="L14" s="157"/>
      <c r="M14" s="157"/>
    </row>
    <row r="15" spans="1:197" s="55" customFormat="1" ht="21" x14ac:dyDescent="0.35">
      <c r="A15" s="315"/>
      <c r="B15" s="205" t="s">
        <v>207</v>
      </c>
      <c r="C15" s="200" t="s">
        <v>208</v>
      </c>
      <c r="D15" s="203" t="s">
        <v>209</v>
      </c>
      <c r="E15" s="204">
        <v>2.472</v>
      </c>
      <c r="F15" s="157">
        <f>E15*F14</f>
        <v>29.664000000000001</v>
      </c>
      <c r="G15" s="157"/>
      <c r="H15" s="157"/>
      <c r="I15" s="157"/>
      <c r="J15" s="157"/>
      <c r="K15" s="157"/>
      <c r="L15" s="157"/>
      <c r="M15" s="157"/>
    </row>
    <row r="16" spans="1:197" s="45" customFormat="1" ht="60.75" customHeight="1" x14ac:dyDescent="0.2">
      <c r="A16" s="307">
        <v>4</v>
      </c>
      <c r="B16" s="46" t="s">
        <v>72</v>
      </c>
      <c r="C16" s="59" t="s">
        <v>213</v>
      </c>
      <c r="D16" s="221" t="s">
        <v>73</v>
      </c>
      <c r="E16" s="221"/>
      <c r="F16" s="229">
        <v>0.7</v>
      </c>
      <c r="G16" s="157"/>
      <c r="H16" s="157"/>
      <c r="I16" s="157"/>
      <c r="J16" s="157"/>
      <c r="K16" s="157"/>
      <c r="L16" s="157"/>
      <c r="M16" s="157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</row>
    <row r="17" spans="1:197" s="45" customFormat="1" ht="21" x14ac:dyDescent="0.2">
      <c r="A17" s="308"/>
      <c r="B17" s="56"/>
      <c r="C17" s="60" t="s">
        <v>110</v>
      </c>
      <c r="D17" s="49" t="s">
        <v>56</v>
      </c>
      <c r="E17" s="49">
        <v>1.78</v>
      </c>
      <c r="F17" s="157">
        <f>E17*F16</f>
        <v>1.246</v>
      </c>
      <c r="G17" s="157"/>
      <c r="H17" s="157"/>
      <c r="I17" s="157"/>
      <c r="J17" s="157"/>
      <c r="K17" s="157"/>
      <c r="L17" s="157"/>
      <c r="M17" s="157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</row>
    <row r="18" spans="1:197" s="45" customFormat="1" ht="24" x14ac:dyDescent="0.2">
      <c r="A18" s="309"/>
      <c r="B18" s="56" t="s">
        <v>74</v>
      </c>
      <c r="C18" s="60" t="s">
        <v>75</v>
      </c>
      <c r="D18" s="49" t="s">
        <v>76</v>
      </c>
      <c r="E18" s="49">
        <v>1.1000000000000001</v>
      </c>
      <c r="F18" s="157">
        <f>E18*F16</f>
        <v>0.77</v>
      </c>
      <c r="G18" s="157"/>
      <c r="H18" s="157"/>
      <c r="I18" s="157"/>
      <c r="J18" s="157"/>
      <c r="K18" s="157"/>
      <c r="L18" s="157"/>
      <c r="M18" s="157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</row>
    <row r="19" spans="1:197" s="76" customFormat="1" ht="42" x14ac:dyDescent="0.4">
      <c r="A19" s="307">
        <v>5</v>
      </c>
      <c r="B19" s="46" t="s">
        <v>77</v>
      </c>
      <c r="C19" s="101" t="s">
        <v>212</v>
      </c>
      <c r="D19" s="221" t="s">
        <v>78</v>
      </c>
      <c r="E19" s="230"/>
      <c r="F19" s="154">
        <v>3.01</v>
      </c>
      <c r="G19" s="157"/>
      <c r="H19" s="157"/>
      <c r="I19" s="157"/>
      <c r="J19" s="157"/>
      <c r="K19" s="157"/>
      <c r="L19" s="157"/>
      <c r="M19" s="157"/>
      <c r="N19" s="75"/>
    </row>
    <row r="20" spans="1:197" s="76" customFormat="1" ht="21" x14ac:dyDescent="0.2">
      <c r="A20" s="308"/>
      <c r="B20" s="56"/>
      <c r="C20" s="60" t="s">
        <v>67</v>
      </c>
      <c r="D20" s="49" t="s">
        <v>56</v>
      </c>
      <c r="E20" s="49">
        <v>5.99</v>
      </c>
      <c r="F20" s="157">
        <f>E20*F19</f>
        <v>18.029899999999998</v>
      </c>
      <c r="G20" s="157"/>
      <c r="H20" s="157"/>
      <c r="I20" s="157"/>
      <c r="J20" s="157"/>
      <c r="K20" s="157"/>
      <c r="L20" s="157"/>
      <c r="M20" s="157"/>
      <c r="N20" s="75"/>
    </row>
    <row r="21" spans="1:197" s="76" customFormat="1" ht="21" x14ac:dyDescent="0.2">
      <c r="A21" s="308"/>
      <c r="B21" s="56" t="s">
        <v>79</v>
      </c>
      <c r="C21" s="64" t="s">
        <v>80</v>
      </c>
      <c r="D21" s="65" t="s">
        <v>55</v>
      </c>
      <c r="E21" s="49">
        <v>1.0149999999999999</v>
      </c>
      <c r="F21" s="157">
        <f>E21*F19</f>
        <v>3.0551499999999994</v>
      </c>
      <c r="G21" s="157"/>
      <c r="H21" s="157"/>
      <c r="I21" s="206"/>
      <c r="J21" s="157"/>
      <c r="K21" s="157"/>
      <c r="L21" s="157"/>
      <c r="M21" s="157"/>
      <c r="N21" s="75"/>
    </row>
    <row r="22" spans="1:197" s="76" customFormat="1" ht="21" x14ac:dyDescent="0.2">
      <c r="A22" s="308"/>
      <c r="B22" s="79" t="s">
        <v>81</v>
      </c>
      <c r="C22" s="64" t="s">
        <v>82</v>
      </c>
      <c r="D22" s="65" t="s">
        <v>27</v>
      </c>
      <c r="E22" s="117" t="s">
        <v>83</v>
      </c>
      <c r="F22" s="162">
        <v>0.32900000000000001</v>
      </c>
      <c r="G22" s="157"/>
      <c r="H22" s="206"/>
      <c r="I22" s="206"/>
      <c r="J22" s="157"/>
      <c r="K22" s="157"/>
      <c r="L22" s="157"/>
      <c r="M22" s="157"/>
      <c r="N22" s="75"/>
    </row>
    <row r="23" spans="1:197" s="76" customFormat="1" ht="21" x14ac:dyDescent="0.2">
      <c r="A23" s="310"/>
      <c r="B23" s="289" t="s">
        <v>84</v>
      </c>
      <c r="C23" s="290" t="s">
        <v>85</v>
      </c>
      <c r="D23" s="291" t="s">
        <v>27</v>
      </c>
      <c r="E23" s="292" t="s">
        <v>83</v>
      </c>
      <c r="F23" s="293">
        <v>0.02</v>
      </c>
      <c r="G23" s="294"/>
      <c r="H23" s="288"/>
      <c r="I23" s="288"/>
      <c r="J23" s="294"/>
      <c r="K23" s="294"/>
      <c r="L23" s="294"/>
      <c r="M23" s="157"/>
      <c r="N23" s="75"/>
    </row>
    <row r="24" spans="1:197" s="233" customFormat="1" ht="21" x14ac:dyDescent="0.2">
      <c r="A24" s="308"/>
      <c r="B24" s="82" t="s">
        <v>86</v>
      </c>
      <c r="C24" s="64" t="s">
        <v>87</v>
      </c>
      <c r="D24" s="65" t="s">
        <v>55</v>
      </c>
      <c r="E24" s="49">
        <v>2.7799999999999998E-2</v>
      </c>
      <c r="F24" s="162">
        <f>E24*F19</f>
        <v>8.3677999999999989E-2</v>
      </c>
      <c r="G24" s="157"/>
      <c r="H24" s="157"/>
      <c r="I24" s="206"/>
      <c r="J24" s="157"/>
      <c r="K24" s="157"/>
      <c r="L24" s="157"/>
      <c r="M24" s="157"/>
    </row>
    <row r="25" spans="1:197" s="234" customFormat="1" ht="21" x14ac:dyDescent="0.2">
      <c r="A25" s="308"/>
      <c r="B25" s="79" t="s">
        <v>88</v>
      </c>
      <c r="C25" s="64" t="s">
        <v>89</v>
      </c>
      <c r="D25" s="65" t="s">
        <v>90</v>
      </c>
      <c r="E25" s="49">
        <v>1.18</v>
      </c>
      <c r="F25" s="162">
        <f>E25*F19</f>
        <v>3.5517999999999996</v>
      </c>
      <c r="G25" s="157"/>
      <c r="H25" s="157"/>
      <c r="I25" s="206"/>
      <c r="J25" s="157"/>
      <c r="K25" s="157"/>
      <c r="L25" s="157"/>
      <c r="M25" s="157"/>
    </row>
    <row r="26" spans="1:197" s="233" customFormat="1" ht="21" x14ac:dyDescent="0.2">
      <c r="A26" s="308"/>
      <c r="B26" s="79" t="s">
        <v>91</v>
      </c>
      <c r="C26" s="64" t="s">
        <v>92</v>
      </c>
      <c r="D26" s="65" t="s">
        <v>27</v>
      </c>
      <c r="E26" s="49">
        <v>1.4E-3</v>
      </c>
      <c r="F26" s="198">
        <f>E26*F19</f>
        <v>4.2139999999999999E-3</v>
      </c>
      <c r="G26" s="157"/>
      <c r="H26" s="157"/>
      <c r="I26" s="206"/>
      <c r="J26" s="157"/>
      <c r="K26" s="157"/>
      <c r="L26" s="157"/>
      <c r="M26" s="157"/>
    </row>
    <row r="27" spans="1:197" s="234" customFormat="1" ht="21" x14ac:dyDescent="0.2">
      <c r="A27" s="308"/>
      <c r="B27" s="79" t="s">
        <v>93</v>
      </c>
      <c r="C27" s="64" t="s">
        <v>94</v>
      </c>
      <c r="D27" s="65" t="s">
        <v>27</v>
      </c>
      <c r="E27" s="49">
        <v>1.1000000000000001E-3</v>
      </c>
      <c r="F27" s="198">
        <f>E27*F19</f>
        <v>3.3110000000000001E-3</v>
      </c>
      <c r="G27" s="157"/>
      <c r="H27" s="157"/>
      <c r="I27" s="206"/>
      <c r="J27" s="157"/>
      <c r="K27" s="157"/>
      <c r="L27" s="157"/>
      <c r="M27" s="157"/>
    </row>
    <row r="28" spans="1:197" s="234" customFormat="1" ht="21" x14ac:dyDescent="0.2">
      <c r="A28" s="308"/>
      <c r="B28" s="79"/>
      <c r="C28" s="64" t="s">
        <v>70</v>
      </c>
      <c r="D28" s="65" t="s">
        <v>25</v>
      </c>
      <c r="E28" s="49">
        <v>1.0900000000000001</v>
      </c>
      <c r="F28" s="162">
        <f>E28*F19</f>
        <v>3.2808999999999999</v>
      </c>
      <c r="G28" s="157"/>
      <c r="H28" s="157"/>
      <c r="I28" s="157"/>
      <c r="J28" s="157"/>
      <c r="K28" s="157"/>
      <c r="L28" s="157"/>
      <c r="M28" s="157"/>
    </row>
    <row r="29" spans="1:197" s="234" customFormat="1" ht="21" x14ac:dyDescent="0.2">
      <c r="A29" s="309"/>
      <c r="B29" s="79"/>
      <c r="C29" s="64" t="s">
        <v>95</v>
      </c>
      <c r="D29" s="65" t="s">
        <v>25</v>
      </c>
      <c r="E29" s="49">
        <v>0.32</v>
      </c>
      <c r="F29" s="162">
        <f>E29*F19</f>
        <v>0.96319999999999995</v>
      </c>
      <c r="G29" s="157"/>
      <c r="H29" s="157"/>
      <c r="I29" s="157"/>
      <c r="J29" s="157"/>
      <c r="K29" s="157"/>
      <c r="L29" s="157"/>
      <c r="M29" s="157"/>
    </row>
    <row r="30" spans="1:197" s="242" customFormat="1" ht="42" x14ac:dyDescent="0.35">
      <c r="A30" s="311">
        <v>6</v>
      </c>
      <c r="B30" s="235" t="s">
        <v>96</v>
      </c>
      <c r="C30" s="236" t="s">
        <v>211</v>
      </c>
      <c r="D30" s="237" t="s">
        <v>26</v>
      </c>
      <c r="E30" s="237"/>
      <c r="F30" s="229">
        <v>1</v>
      </c>
      <c r="G30" s="157"/>
      <c r="H30" s="157"/>
      <c r="I30" s="157"/>
      <c r="J30" s="157"/>
      <c r="K30" s="157"/>
      <c r="L30" s="157"/>
      <c r="M30" s="157"/>
    </row>
    <row r="31" spans="1:197" s="242" customFormat="1" ht="21" x14ac:dyDescent="0.35">
      <c r="A31" s="312"/>
      <c r="B31" s="46"/>
      <c r="C31" s="57" t="s">
        <v>23</v>
      </c>
      <c r="D31" s="49" t="s">
        <v>56</v>
      </c>
      <c r="E31" s="66">
        <v>1.54</v>
      </c>
      <c r="F31" s="260">
        <f>E31*F30</f>
        <v>1.54</v>
      </c>
      <c r="G31" s="157"/>
      <c r="H31" s="157"/>
      <c r="I31" s="157"/>
      <c r="J31" s="157"/>
      <c r="K31" s="157"/>
      <c r="L31" s="157"/>
      <c r="M31" s="157"/>
    </row>
    <row r="32" spans="1:197" s="247" customFormat="1" ht="21" x14ac:dyDescent="0.35">
      <c r="A32" s="312"/>
      <c r="B32" s="239"/>
      <c r="C32" s="240" t="s">
        <v>98</v>
      </c>
      <c r="D32" s="117" t="s">
        <v>90</v>
      </c>
      <c r="E32" s="241" t="s">
        <v>83</v>
      </c>
      <c r="F32" s="260">
        <v>1.44</v>
      </c>
      <c r="G32" s="157"/>
      <c r="H32" s="157"/>
      <c r="I32" s="206"/>
      <c r="J32" s="157"/>
      <c r="K32" s="157"/>
      <c r="L32" s="157"/>
      <c r="M32" s="157"/>
    </row>
    <row r="33" spans="1:14" s="247" customFormat="1" ht="21" x14ac:dyDescent="0.35">
      <c r="A33" s="312"/>
      <c r="B33" s="239"/>
      <c r="C33" s="240" t="s">
        <v>99</v>
      </c>
      <c r="D33" s="117" t="s">
        <v>100</v>
      </c>
      <c r="E33" s="241" t="s">
        <v>83</v>
      </c>
      <c r="F33" s="260">
        <v>4.8</v>
      </c>
      <c r="G33" s="157"/>
      <c r="H33" s="157"/>
      <c r="I33" s="206"/>
      <c r="J33" s="157"/>
      <c r="K33" s="157"/>
      <c r="L33" s="157"/>
      <c r="M33" s="157"/>
    </row>
    <row r="34" spans="1:14" s="247" customFormat="1" ht="21" x14ac:dyDescent="0.35">
      <c r="A34" s="313"/>
      <c r="B34" s="239"/>
      <c r="C34" s="240" t="s">
        <v>222</v>
      </c>
      <c r="D34" s="117" t="s">
        <v>100</v>
      </c>
      <c r="E34" s="241" t="s">
        <v>83</v>
      </c>
      <c r="F34" s="260">
        <v>5.2</v>
      </c>
      <c r="G34" s="157"/>
      <c r="H34" s="157"/>
      <c r="I34" s="206"/>
      <c r="J34" s="157"/>
      <c r="K34" s="157"/>
      <c r="L34" s="157"/>
      <c r="M34" s="157"/>
    </row>
    <row r="35" spans="1:14" s="247" customFormat="1" ht="42" x14ac:dyDescent="0.35">
      <c r="A35" s="311">
        <v>7</v>
      </c>
      <c r="B35" s="46" t="s">
        <v>72</v>
      </c>
      <c r="C35" s="59" t="s">
        <v>117</v>
      </c>
      <c r="D35" s="221" t="s">
        <v>73</v>
      </c>
      <c r="E35" s="221"/>
      <c r="F35" s="229">
        <f>F37+F38+F39+F41</f>
        <v>1.82</v>
      </c>
      <c r="G35" s="157"/>
      <c r="H35" s="157"/>
      <c r="I35" s="157"/>
      <c r="J35" s="157"/>
      <c r="K35" s="157"/>
      <c r="L35" s="157"/>
      <c r="M35" s="157"/>
    </row>
    <row r="36" spans="1:14" s="247" customFormat="1" ht="21" x14ac:dyDescent="0.35">
      <c r="A36" s="312"/>
      <c r="B36" s="56"/>
      <c r="C36" s="60" t="s">
        <v>110</v>
      </c>
      <c r="D36" s="49" t="s">
        <v>56</v>
      </c>
      <c r="E36" s="49">
        <v>1.78</v>
      </c>
      <c r="F36" s="157">
        <f>E36*F35</f>
        <v>3.2396000000000003</v>
      </c>
      <c r="G36" s="157"/>
      <c r="H36" s="157"/>
      <c r="I36" s="157"/>
      <c r="J36" s="157"/>
      <c r="K36" s="157"/>
      <c r="L36" s="157"/>
      <c r="M36" s="157"/>
    </row>
    <row r="37" spans="1:14" s="247" customFormat="1" ht="24" x14ac:dyDescent="0.35">
      <c r="A37" s="312"/>
      <c r="B37" s="56" t="s">
        <v>118</v>
      </c>
      <c r="C37" s="60" t="s">
        <v>119</v>
      </c>
      <c r="D37" s="49" t="s">
        <v>76</v>
      </c>
      <c r="E37" s="117" t="s">
        <v>83</v>
      </c>
      <c r="F37" s="206">
        <v>0.26</v>
      </c>
      <c r="G37" s="157"/>
      <c r="H37" s="157"/>
      <c r="I37" s="206"/>
      <c r="J37" s="157"/>
      <c r="K37" s="157"/>
      <c r="L37" s="157"/>
      <c r="M37" s="157"/>
    </row>
    <row r="38" spans="1:14" s="247" customFormat="1" ht="24" x14ac:dyDescent="0.35">
      <c r="A38" s="312"/>
      <c r="B38" s="56" t="s">
        <v>120</v>
      </c>
      <c r="C38" s="60" t="s">
        <v>121</v>
      </c>
      <c r="D38" s="49" t="s">
        <v>76</v>
      </c>
      <c r="E38" s="117" t="s">
        <v>83</v>
      </c>
      <c r="F38" s="206">
        <v>0.26</v>
      </c>
      <c r="G38" s="157"/>
      <c r="H38" s="157"/>
      <c r="I38" s="206"/>
      <c r="J38" s="157"/>
      <c r="K38" s="157"/>
      <c r="L38" s="157"/>
      <c r="M38" s="157"/>
    </row>
    <row r="39" spans="1:14" s="247" customFormat="1" ht="24" x14ac:dyDescent="0.35">
      <c r="A39" s="312"/>
      <c r="B39" s="97" t="s">
        <v>122</v>
      </c>
      <c r="C39" s="114" t="s">
        <v>123</v>
      </c>
      <c r="D39" s="49" t="s">
        <v>76</v>
      </c>
      <c r="E39" s="117" t="s">
        <v>83</v>
      </c>
      <c r="F39" s="206">
        <v>0.26</v>
      </c>
      <c r="G39" s="157"/>
      <c r="H39" s="157"/>
      <c r="I39" s="206"/>
      <c r="J39" s="157"/>
      <c r="K39" s="157"/>
      <c r="L39" s="157"/>
      <c r="M39" s="157"/>
    </row>
    <row r="40" spans="1:14" s="247" customFormat="1" ht="24" x14ac:dyDescent="0.35">
      <c r="A40" s="312"/>
      <c r="B40" s="97"/>
      <c r="C40" s="114" t="s">
        <v>219</v>
      </c>
      <c r="D40" s="49" t="s">
        <v>76</v>
      </c>
      <c r="E40" s="117" t="s">
        <v>83</v>
      </c>
      <c r="F40" s="206">
        <v>0.52</v>
      </c>
      <c r="G40" s="157"/>
      <c r="H40" s="157"/>
      <c r="I40" s="206"/>
      <c r="J40" s="157"/>
      <c r="K40" s="157"/>
      <c r="L40" s="157"/>
      <c r="M40" s="157"/>
    </row>
    <row r="41" spans="1:14" s="247" customFormat="1" ht="24" x14ac:dyDescent="0.35">
      <c r="A41" s="313"/>
      <c r="B41" s="97"/>
      <c r="C41" s="98" t="s">
        <v>124</v>
      </c>
      <c r="D41" s="49" t="s">
        <v>76</v>
      </c>
      <c r="E41" s="99" t="s">
        <v>83</v>
      </c>
      <c r="F41" s="206">
        <v>1.04</v>
      </c>
      <c r="G41" s="157"/>
      <c r="H41" s="157"/>
      <c r="I41" s="206"/>
      <c r="J41" s="157"/>
      <c r="K41" s="157"/>
      <c r="L41" s="157"/>
      <c r="M41" s="157"/>
    </row>
    <row r="42" spans="1:14" s="76" customFormat="1" ht="24" x14ac:dyDescent="0.4">
      <c r="A42" s="315">
        <v>8</v>
      </c>
      <c r="B42" s="46" t="s">
        <v>77</v>
      </c>
      <c r="C42" s="101" t="s">
        <v>177</v>
      </c>
      <c r="D42" s="221" t="s">
        <v>78</v>
      </c>
      <c r="E42" s="230"/>
      <c r="F42" s="154">
        <v>4.0999999999999996</v>
      </c>
      <c r="G42" s="157"/>
      <c r="H42" s="157"/>
      <c r="I42" s="157"/>
      <c r="J42" s="157"/>
      <c r="K42" s="157"/>
      <c r="L42" s="157"/>
      <c r="M42" s="157"/>
      <c r="N42" s="75"/>
    </row>
    <row r="43" spans="1:14" s="76" customFormat="1" ht="21" x14ac:dyDescent="0.2">
      <c r="A43" s="315"/>
      <c r="B43" s="56"/>
      <c r="C43" s="60" t="s">
        <v>67</v>
      </c>
      <c r="D43" s="49" t="s">
        <v>56</v>
      </c>
      <c r="E43" s="49">
        <v>5.99</v>
      </c>
      <c r="F43" s="157">
        <f>E43*F42</f>
        <v>24.558999999999997</v>
      </c>
      <c r="G43" s="157"/>
      <c r="H43" s="157"/>
      <c r="I43" s="157"/>
      <c r="J43" s="157"/>
      <c r="K43" s="157"/>
      <c r="L43" s="157"/>
      <c r="M43" s="157"/>
      <c r="N43" s="75"/>
    </row>
    <row r="44" spans="1:14" s="76" customFormat="1" ht="21" x14ac:dyDescent="0.2">
      <c r="A44" s="315"/>
      <c r="B44" s="56" t="s">
        <v>79</v>
      </c>
      <c r="C44" s="64" t="s">
        <v>80</v>
      </c>
      <c r="D44" s="65" t="s">
        <v>55</v>
      </c>
      <c r="E44" s="49">
        <v>1.0149999999999999</v>
      </c>
      <c r="F44" s="157">
        <f>E44*F42</f>
        <v>4.1614999999999993</v>
      </c>
      <c r="G44" s="157"/>
      <c r="H44" s="157"/>
      <c r="I44" s="206"/>
      <c r="J44" s="157"/>
      <c r="K44" s="157"/>
      <c r="L44" s="157"/>
      <c r="M44" s="157"/>
      <c r="N44" s="75"/>
    </row>
    <row r="45" spans="1:14" s="76" customFormat="1" ht="21" x14ac:dyDescent="0.2">
      <c r="A45" s="315"/>
      <c r="B45" s="79" t="s">
        <v>81</v>
      </c>
      <c r="C45" s="64" t="s">
        <v>82</v>
      </c>
      <c r="D45" s="65" t="s">
        <v>27</v>
      </c>
      <c r="E45" s="117" t="s">
        <v>83</v>
      </c>
      <c r="F45" s="162">
        <v>0.62</v>
      </c>
      <c r="G45" s="157"/>
      <c r="H45" s="157"/>
      <c r="I45" s="206"/>
      <c r="J45" s="157"/>
      <c r="K45" s="157"/>
      <c r="L45" s="157"/>
      <c r="M45" s="157"/>
      <c r="N45" s="75"/>
    </row>
    <row r="46" spans="1:14" s="76" customFormat="1" ht="21" x14ac:dyDescent="0.2">
      <c r="A46" s="315"/>
      <c r="B46" s="79" t="s">
        <v>84</v>
      </c>
      <c r="C46" s="64" t="s">
        <v>85</v>
      </c>
      <c r="D46" s="65" t="s">
        <v>27</v>
      </c>
      <c r="E46" s="117" t="s">
        <v>83</v>
      </c>
      <c r="F46" s="162">
        <v>0.05</v>
      </c>
      <c r="G46" s="157"/>
      <c r="H46" s="157"/>
      <c r="I46" s="206"/>
      <c r="J46" s="157"/>
      <c r="K46" s="157"/>
      <c r="L46" s="157"/>
      <c r="M46" s="157"/>
      <c r="N46" s="75"/>
    </row>
    <row r="47" spans="1:14" s="233" customFormat="1" ht="21" x14ac:dyDescent="0.2">
      <c r="A47" s="315"/>
      <c r="B47" s="82" t="s">
        <v>86</v>
      </c>
      <c r="C47" s="64" t="s">
        <v>87</v>
      </c>
      <c r="D47" s="65" t="s">
        <v>55</v>
      </c>
      <c r="E47" s="49">
        <v>2.7799999999999998E-2</v>
      </c>
      <c r="F47" s="162">
        <f>E47*F42</f>
        <v>0.11397999999999998</v>
      </c>
      <c r="G47" s="157"/>
      <c r="H47" s="157"/>
      <c r="I47" s="206"/>
      <c r="J47" s="157"/>
      <c r="K47" s="157"/>
      <c r="L47" s="157"/>
      <c r="M47" s="157"/>
    </row>
    <row r="48" spans="1:14" s="234" customFormat="1" ht="21" x14ac:dyDescent="0.2">
      <c r="A48" s="315"/>
      <c r="B48" s="79" t="s">
        <v>88</v>
      </c>
      <c r="C48" s="64" t="s">
        <v>89</v>
      </c>
      <c r="D48" s="65" t="s">
        <v>90</v>
      </c>
      <c r="E48" s="49">
        <v>1.18</v>
      </c>
      <c r="F48" s="162">
        <f>E48*F42</f>
        <v>4.8379999999999992</v>
      </c>
      <c r="G48" s="157"/>
      <c r="H48" s="157"/>
      <c r="I48" s="206"/>
      <c r="J48" s="157"/>
      <c r="K48" s="157"/>
      <c r="L48" s="157"/>
      <c r="M48" s="157"/>
    </row>
    <row r="49" spans="1:14" s="233" customFormat="1" ht="21" x14ac:dyDescent="0.2">
      <c r="A49" s="315"/>
      <c r="B49" s="79" t="s">
        <v>91</v>
      </c>
      <c r="C49" s="64" t="s">
        <v>92</v>
      </c>
      <c r="D49" s="65" t="s">
        <v>27</v>
      </c>
      <c r="E49" s="49">
        <v>1.4E-3</v>
      </c>
      <c r="F49" s="162">
        <f>E49*F42</f>
        <v>5.7399999999999994E-3</v>
      </c>
      <c r="G49" s="157"/>
      <c r="H49" s="157"/>
      <c r="I49" s="206"/>
      <c r="J49" s="157"/>
      <c r="K49" s="157"/>
      <c r="L49" s="157"/>
      <c r="M49" s="157"/>
    </row>
    <row r="50" spans="1:14" s="234" customFormat="1" ht="21" x14ac:dyDescent="0.2">
      <c r="A50" s="315"/>
      <c r="B50" s="79" t="s">
        <v>93</v>
      </c>
      <c r="C50" s="64" t="s">
        <v>94</v>
      </c>
      <c r="D50" s="65" t="s">
        <v>27</v>
      </c>
      <c r="E50" s="49">
        <v>1.1000000000000001E-3</v>
      </c>
      <c r="F50" s="162">
        <f>E50*F42</f>
        <v>4.5100000000000001E-3</v>
      </c>
      <c r="G50" s="157"/>
      <c r="H50" s="157"/>
      <c r="I50" s="206"/>
      <c r="J50" s="157"/>
      <c r="K50" s="157"/>
      <c r="L50" s="157"/>
      <c r="M50" s="157"/>
    </row>
    <row r="51" spans="1:14" s="234" customFormat="1" ht="21" x14ac:dyDescent="0.2">
      <c r="A51" s="315"/>
      <c r="B51" s="79"/>
      <c r="C51" s="64" t="s">
        <v>70</v>
      </c>
      <c r="D51" s="65" t="s">
        <v>25</v>
      </c>
      <c r="E51" s="49">
        <v>1.0900000000000001</v>
      </c>
      <c r="F51" s="162">
        <f>E51*F42</f>
        <v>4.4690000000000003</v>
      </c>
      <c r="G51" s="157"/>
      <c r="H51" s="157"/>
      <c r="I51" s="157"/>
      <c r="J51" s="157"/>
      <c r="K51" s="157"/>
      <c r="L51" s="157"/>
      <c r="M51" s="157"/>
    </row>
    <row r="52" spans="1:14" s="234" customFormat="1" ht="21" x14ac:dyDescent="0.2">
      <c r="A52" s="315"/>
      <c r="B52" s="79"/>
      <c r="C52" s="64" t="s">
        <v>95</v>
      </c>
      <c r="D52" s="65" t="s">
        <v>25</v>
      </c>
      <c r="E52" s="49">
        <v>0.32</v>
      </c>
      <c r="F52" s="162">
        <f>E52*F42</f>
        <v>1.3119999999999998</v>
      </c>
      <c r="G52" s="157"/>
      <c r="H52" s="157"/>
      <c r="I52" s="157"/>
      <c r="J52" s="157"/>
      <c r="K52" s="157"/>
      <c r="L52" s="157"/>
      <c r="M52" s="157"/>
    </row>
    <row r="53" spans="1:14" s="96" customFormat="1" ht="42" x14ac:dyDescent="0.2">
      <c r="A53" s="320">
        <v>9</v>
      </c>
      <c r="B53" s="93" t="s">
        <v>102</v>
      </c>
      <c r="C53" s="101" t="s">
        <v>214</v>
      </c>
      <c r="D53" s="222" t="s">
        <v>55</v>
      </c>
      <c r="E53" s="261"/>
      <c r="F53" s="154">
        <v>0.85</v>
      </c>
      <c r="G53" s="157"/>
      <c r="H53" s="157"/>
      <c r="I53" s="157"/>
      <c r="J53" s="157"/>
      <c r="K53" s="157"/>
      <c r="L53" s="157"/>
      <c r="M53" s="157"/>
    </row>
    <row r="54" spans="1:14" s="96" customFormat="1" ht="21" x14ac:dyDescent="0.2">
      <c r="A54" s="320"/>
      <c r="B54" s="97"/>
      <c r="C54" s="98" t="s">
        <v>67</v>
      </c>
      <c r="D54" s="99" t="s">
        <v>56</v>
      </c>
      <c r="E54" s="99">
        <v>6.42</v>
      </c>
      <c r="F54" s="164">
        <f>F53*E54</f>
        <v>5.4569999999999999</v>
      </c>
      <c r="G54" s="157"/>
      <c r="H54" s="157"/>
      <c r="I54" s="157"/>
      <c r="J54" s="157"/>
      <c r="K54" s="157"/>
      <c r="L54" s="157"/>
      <c r="M54" s="157"/>
    </row>
    <row r="55" spans="1:14" s="96" customFormat="1" ht="21" x14ac:dyDescent="0.2">
      <c r="A55" s="320"/>
      <c r="B55" s="56" t="s">
        <v>79</v>
      </c>
      <c r="C55" s="64" t="s">
        <v>80</v>
      </c>
      <c r="D55" s="99" t="s">
        <v>55</v>
      </c>
      <c r="E55" s="99">
        <v>0.98699999999999999</v>
      </c>
      <c r="F55" s="164">
        <f>F53*E55</f>
        <v>0.83894999999999997</v>
      </c>
      <c r="G55" s="157"/>
      <c r="H55" s="157"/>
      <c r="I55" s="206"/>
      <c r="J55" s="157"/>
      <c r="K55" s="157"/>
      <c r="L55" s="157"/>
      <c r="M55" s="157"/>
    </row>
    <row r="56" spans="1:14" s="76" customFormat="1" ht="21" x14ac:dyDescent="0.2">
      <c r="A56" s="320"/>
      <c r="B56" s="79" t="s">
        <v>84</v>
      </c>
      <c r="C56" s="64" t="s">
        <v>82</v>
      </c>
      <c r="D56" s="65" t="s">
        <v>27</v>
      </c>
      <c r="E56" s="117" t="s">
        <v>83</v>
      </c>
      <c r="F56" s="162">
        <v>0.1</v>
      </c>
      <c r="G56" s="157"/>
      <c r="H56" s="157"/>
      <c r="I56" s="206"/>
      <c r="J56" s="157"/>
      <c r="K56" s="157"/>
      <c r="L56" s="157"/>
      <c r="M56" s="157"/>
      <c r="N56" s="75"/>
    </row>
    <row r="57" spans="1:14" s="76" customFormat="1" ht="21" x14ac:dyDescent="0.2">
      <c r="A57" s="320"/>
      <c r="B57" s="79" t="s">
        <v>84</v>
      </c>
      <c r="C57" s="64" t="s">
        <v>85</v>
      </c>
      <c r="D57" s="65" t="s">
        <v>27</v>
      </c>
      <c r="E57" s="117" t="s">
        <v>83</v>
      </c>
      <c r="F57" s="162">
        <v>0.02</v>
      </c>
      <c r="G57" s="157"/>
      <c r="H57" s="157"/>
      <c r="I57" s="206"/>
      <c r="J57" s="157"/>
      <c r="K57" s="157"/>
      <c r="L57" s="157"/>
      <c r="M57" s="157"/>
      <c r="N57" s="75"/>
    </row>
    <row r="58" spans="1:14" s="96" customFormat="1" ht="21" x14ac:dyDescent="0.2">
      <c r="A58" s="320"/>
      <c r="B58" s="56" t="s">
        <v>103</v>
      </c>
      <c r="C58" s="98" t="s">
        <v>220</v>
      </c>
      <c r="D58" s="99" t="s">
        <v>26</v>
      </c>
      <c r="E58" s="99" t="s">
        <v>83</v>
      </c>
      <c r="F58" s="164">
        <v>1</v>
      </c>
      <c r="G58" s="157"/>
      <c r="H58" s="157"/>
      <c r="I58" s="206"/>
      <c r="J58" s="157"/>
      <c r="K58" s="157"/>
      <c r="L58" s="157"/>
      <c r="M58" s="157"/>
    </row>
    <row r="59" spans="1:14" s="96" customFormat="1" ht="21" x14ac:dyDescent="0.2">
      <c r="A59" s="320"/>
      <c r="B59" s="79" t="s">
        <v>88</v>
      </c>
      <c r="C59" s="98" t="s">
        <v>89</v>
      </c>
      <c r="D59" s="99" t="s">
        <v>90</v>
      </c>
      <c r="E59" s="99" t="s">
        <v>83</v>
      </c>
      <c r="F59" s="165">
        <v>6</v>
      </c>
      <c r="G59" s="157"/>
      <c r="H59" s="157"/>
      <c r="I59" s="206"/>
      <c r="J59" s="157"/>
      <c r="K59" s="157"/>
      <c r="L59" s="157"/>
      <c r="M59" s="157"/>
    </row>
    <row r="60" spans="1:14" s="96" customFormat="1" ht="21" x14ac:dyDescent="0.2">
      <c r="A60" s="320"/>
      <c r="B60" s="97"/>
      <c r="C60" s="98" t="s">
        <v>64</v>
      </c>
      <c r="D60" s="99" t="s">
        <v>25</v>
      </c>
      <c r="E60" s="99">
        <v>0.38500000000000001</v>
      </c>
      <c r="F60" s="157">
        <f>F53*E60</f>
        <v>0.32724999999999999</v>
      </c>
      <c r="G60" s="157"/>
      <c r="H60" s="157"/>
      <c r="I60" s="157"/>
      <c r="J60" s="157"/>
      <c r="K60" s="157"/>
      <c r="L60" s="157"/>
      <c r="M60" s="157"/>
    </row>
    <row r="61" spans="1:14" s="96" customFormat="1" ht="21" x14ac:dyDescent="0.2">
      <c r="A61" s="321"/>
      <c r="B61" s="107"/>
      <c r="C61" s="108" t="s">
        <v>104</v>
      </c>
      <c r="D61" s="109" t="s">
        <v>25</v>
      </c>
      <c r="E61" s="109">
        <v>3.08</v>
      </c>
      <c r="F61" s="166">
        <f>E61*F53</f>
        <v>2.6179999999999999</v>
      </c>
      <c r="G61" s="157"/>
      <c r="H61" s="157"/>
      <c r="I61" s="157"/>
      <c r="J61" s="157"/>
      <c r="K61" s="157"/>
      <c r="L61" s="157"/>
      <c r="M61" s="157"/>
    </row>
    <row r="62" spans="1:14" s="96" customFormat="1" ht="21" x14ac:dyDescent="0.2">
      <c r="A62" s="321">
        <v>10</v>
      </c>
      <c r="B62" s="46" t="s">
        <v>108</v>
      </c>
      <c r="C62" s="101" t="s">
        <v>215</v>
      </c>
      <c r="D62" s="262" t="s">
        <v>90</v>
      </c>
      <c r="E62" s="222"/>
      <c r="F62" s="154">
        <v>6</v>
      </c>
      <c r="G62" s="157"/>
      <c r="H62" s="157"/>
      <c r="I62" s="157"/>
      <c r="J62" s="157"/>
      <c r="K62" s="157"/>
      <c r="L62" s="157"/>
      <c r="M62" s="157"/>
    </row>
    <row r="63" spans="1:14" s="96" customFormat="1" ht="21" x14ac:dyDescent="0.4">
      <c r="A63" s="322"/>
      <c r="B63" s="56"/>
      <c r="C63" s="111" t="s">
        <v>110</v>
      </c>
      <c r="D63" s="49" t="s">
        <v>56</v>
      </c>
      <c r="E63" s="112">
        <v>0.26400000000000001</v>
      </c>
      <c r="F63" s="263">
        <f>E63*F62</f>
        <v>1.5840000000000001</v>
      </c>
      <c r="G63" s="157"/>
      <c r="H63" s="157"/>
      <c r="I63" s="157"/>
      <c r="J63" s="157"/>
      <c r="K63" s="157"/>
      <c r="L63" s="157"/>
      <c r="M63" s="157"/>
    </row>
    <row r="64" spans="1:14" s="96" customFormat="1" ht="21" x14ac:dyDescent="0.4">
      <c r="A64" s="322"/>
      <c r="B64" s="264" t="s">
        <v>111</v>
      </c>
      <c r="C64" s="111" t="s">
        <v>112</v>
      </c>
      <c r="D64" s="65" t="s">
        <v>27</v>
      </c>
      <c r="E64" s="112">
        <v>2.3999999999999998E-3</v>
      </c>
      <c r="F64" s="263">
        <f>E64*F62</f>
        <v>1.44E-2</v>
      </c>
      <c r="G64" s="157"/>
      <c r="H64" s="157"/>
      <c r="I64" s="206"/>
      <c r="J64" s="157"/>
      <c r="K64" s="157"/>
      <c r="L64" s="157"/>
      <c r="M64" s="157"/>
    </row>
    <row r="65" spans="1:197" s="96" customFormat="1" ht="21" x14ac:dyDescent="0.4">
      <c r="A65" s="322"/>
      <c r="B65" s="79"/>
      <c r="C65" s="111" t="s">
        <v>24</v>
      </c>
      <c r="D65" s="65" t="s">
        <v>25</v>
      </c>
      <c r="E65" s="112">
        <v>5.4000000000000003E-3</v>
      </c>
      <c r="F65" s="263">
        <f>E65*F62</f>
        <v>3.2399999999999998E-2</v>
      </c>
      <c r="G65" s="157"/>
      <c r="H65" s="157"/>
      <c r="I65" s="206"/>
      <c r="J65" s="157"/>
      <c r="K65" s="157"/>
      <c r="L65" s="157"/>
      <c r="M65" s="157"/>
    </row>
    <row r="66" spans="1:197" s="96" customFormat="1" ht="21" x14ac:dyDescent="0.4">
      <c r="A66" s="322"/>
      <c r="B66" s="79" t="s">
        <v>113</v>
      </c>
      <c r="C66" s="111" t="s">
        <v>114</v>
      </c>
      <c r="D66" s="65" t="s">
        <v>90</v>
      </c>
      <c r="E66" s="112">
        <v>1.1100000000000001</v>
      </c>
      <c r="F66" s="263">
        <f>E66*F62</f>
        <v>6.66</v>
      </c>
      <c r="G66" s="157"/>
      <c r="H66" s="157"/>
      <c r="I66" s="206"/>
      <c r="J66" s="157"/>
      <c r="K66" s="157"/>
      <c r="L66" s="157"/>
      <c r="M66" s="157"/>
    </row>
    <row r="67" spans="1:197" s="96" customFormat="1" ht="21" x14ac:dyDescent="0.2">
      <c r="A67" s="322"/>
      <c r="B67" s="79" t="s">
        <v>115</v>
      </c>
      <c r="C67" s="111" t="s">
        <v>116</v>
      </c>
      <c r="D67" s="65" t="s">
        <v>90</v>
      </c>
      <c r="E67" s="112">
        <v>1.1100000000000001</v>
      </c>
      <c r="F67" s="216">
        <f>E67*F62</f>
        <v>6.66</v>
      </c>
      <c r="G67" s="157"/>
      <c r="H67" s="157"/>
      <c r="I67" s="206"/>
      <c r="J67" s="157"/>
      <c r="K67" s="157"/>
      <c r="L67" s="157"/>
      <c r="M67" s="157"/>
    </row>
    <row r="68" spans="1:197" s="61" customFormat="1" ht="42" x14ac:dyDescent="0.35">
      <c r="A68" s="315">
        <v>11</v>
      </c>
      <c r="B68" s="46" t="s">
        <v>125</v>
      </c>
      <c r="C68" s="101" t="s">
        <v>178</v>
      </c>
      <c r="D68" s="221" t="s">
        <v>78</v>
      </c>
      <c r="E68" s="221"/>
      <c r="F68" s="154">
        <f>1100*0.5*0.3</f>
        <v>165</v>
      </c>
      <c r="G68" s="157"/>
      <c r="H68" s="157"/>
      <c r="I68" s="157"/>
      <c r="J68" s="157"/>
      <c r="K68" s="157"/>
      <c r="L68" s="157"/>
      <c r="M68" s="157"/>
    </row>
    <row r="69" spans="1:197" s="63" customFormat="1" ht="21" x14ac:dyDescent="0.35">
      <c r="A69" s="315"/>
      <c r="B69" s="46"/>
      <c r="C69" s="115" t="s">
        <v>23</v>
      </c>
      <c r="D69" s="49" t="s">
        <v>56</v>
      </c>
      <c r="E69" s="49">
        <v>2.99</v>
      </c>
      <c r="F69" s="157">
        <f>F68*E69</f>
        <v>493.35</v>
      </c>
      <c r="G69" s="157"/>
      <c r="H69" s="157"/>
      <c r="I69" s="157"/>
      <c r="J69" s="157"/>
      <c r="K69" s="157"/>
      <c r="L69" s="157"/>
      <c r="M69" s="157"/>
    </row>
    <row r="70" spans="1:197" s="51" customFormat="1" ht="63" x14ac:dyDescent="0.35">
      <c r="A70" s="315">
        <v>12</v>
      </c>
      <c r="B70" s="46" t="s">
        <v>239</v>
      </c>
      <c r="C70" s="47" t="s">
        <v>216</v>
      </c>
      <c r="D70" s="221" t="s">
        <v>55</v>
      </c>
      <c r="E70" s="48"/>
      <c r="F70" s="154">
        <f>(F76-1100)*0.3*0.5</f>
        <v>24.75</v>
      </c>
      <c r="G70" s="157"/>
      <c r="H70" s="157"/>
      <c r="I70" s="157"/>
      <c r="J70" s="157"/>
      <c r="K70" s="157"/>
      <c r="L70" s="157"/>
      <c r="M70" s="157"/>
    </row>
    <row r="71" spans="1:197" s="55" customFormat="1" ht="21" x14ac:dyDescent="0.35">
      <c r="A71" s="315"/>
      <c r="B71" s="56"/>
      <c r="C71" s="57" t="s">
        <v>23</v>
      </c>
      <c r="D71" s="49" t="s">
        <v>56</v>
      </c>
      <c r="E71" s="49">
        <f>1247/100</f>
        <v>12.47</v>
      </c>
      <c r="F71" s="157">
        <f>E71*F70</f>
        <v>308.63249999999999</v>
      </c>
      <c r="G71" s="157"/>
      <c r="H71" s="157"/>
      <c r="I71" s="157"/>
      <c r="J71" s="157"/>
      <c r="K71" s="157"/>
      <c r="L71" s="157"/>
      <c r="M71" s="157"/>
    </row>
    <row r="72" spans="1:197" s="55" customFormat="1" ht="21" x14ac:dyDescent="0.35">
      <c r="A72" s="315"/>
      <c r="B72" s="56" t="s">
        <v>57</v>
      </c>
      <c r="C72" s="58" t="s">
        <v>58</v>
      </c>
      <c r="D72" s="49" t="s">
        <v>52</v>
      </c>
      <c r="E72" s="49">
        <f>347/100</f>
        <v>3.47</v>
      </c>
      <c r="F72" s="157">
        <f>E72*F70</f>
        <v>85.882500000000007</v>
      </c>
      <c r="G72" s="157"/>
      <c r="H72" s="157"/>
      <c r="I72" s="157"/>
      <c r="J72" s="157"/>
      <c r="K72" s="154"/>
      <c r="L72" s="157"/>
      <c r="M72" s="157"/>
    </row>
    <row r="73" spans="1:197" s="55" customFormat="1" ht="42" x14ac:dyDescent="0.4">
      <c r="A73" s="307">
        <v>13</v>
      </c>
      <c r="B73" s="56"/>
      <c r="C73" s="59" t="s">
        <v>129</v>
      </c>
      <c r="D73" s="221" t="s">
        <v>73</v>
      </c>
      <c r="E73" s="221"/>
      <c r="F73" s="229">
        <f>F76*0.3*0.1</f>
        <v>37.950000000000003</v>
      </c>
      <c r="G73" s="243"/>
      <c r="H73" s="157"/>
      <c r="I73" s="157"/>
      <c r="J73" s="157"/>
      <c r="K73" s="157"/>
      <c r="L73" s="157"/>
      <c r="M73" s="157"/>
    </row>
    <row r="74" spans="1:197" s="45" customFormat="1" ht="21" x14ac:dyDescent="0.2">
      <c r="A74" s="308"/>
      <c r="B74" s="56"/>
      <c r="C74" s="60" t="s">
        <v>61</v>
      </c>
      <c r="D74" s="49" t="s">
        <v>56</v>
      </c>
      <c r="E74" s="49">
        <v>1.78</v>
      </c>
      <c r="F74" s="157">
        <f>F76*0.3*0.1</f>
        <v>37.950000000000003</v>
      </c>
      <c r="G74" s="157"/>
      <c r="H74" s="157"/>
      <c r="I74" s="157"/>
      <c r="J74" s="157"/>
      <c r="K74" s="157"/>
      <c r="L74" s="157"/>
      <c r="M74" s="157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</row>
    <row r="75" spans="1:197" s="45" customFormat="1" ht="24" x14ac:dyDescent="0.2">
      <c r="A75" s="309"/>
      <c r="B75" s="56"/>
      <c r="C75" s="60" t="s">
        <v>130</v>
      </c>
      <c r="D75" s="49" t="s">
        <v>76</v>
      </c>
      <c r="E75" s="49">
        <v>1.1000000000000001</v>
      </c>
      <c r="F75" s="157">
        <f>E75*F73</f>
        <v>41.745000000000005</v>
      </c>
      <c r="G75" s="157"/>
      <c r="H75" s="157"/>
      <c r="I75" s="157"/>
      <c r="J75" s="157"/>
      <c r="K75" s="157"/>
      <c r="L75" s="157"/>
      <c r="M75" s="157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</row>
    <row r="76" spans="1:197" s="96" customFormat="1" ht="42" x14ac:dyDescent="0.2">
      <c r="A76" s="321">
        <v>14</v>
      </c>
      <c r="B76" s="100" t="s">
        <v>131</v>
      </c>
      <c r="C76" s="101" t="s">
        <v>132</v>
      </c>
      <c r="D76" s="102" t="s">
        <v>133</v>
      </c>
      <c r="E76" s="95"/>
      <c r="F76" s="167">
        <v>1265</v>
      </c>
      <c r="G76" s="157"/>
      <c r="H76" s="157"/>
      <c r="I76" s="157"/>
      <c r="J76" s="157"/>
      <c r="K76" s="157"/>
      <c r="L76" s="157"/>
      <c r="M76" s="157"/>
    </row>
    <row r="77" spans="1:197" s="118" customFormat="1" ht="21" x14ac:dyDescent="0.2">
      <c r="A77" s="322"/>
      <c r="B77" s="56"/>
      <c r="C77" s="116" t="s">
        <v>110</v>
      </c>
      <c r="D77" s="49" t="s">
        <v>56</v>
      </c>
      <c r="E77" s="117">
        <v>9.5899999999999999E-2</v>
      </c>
      <c r="F77" s="164">
        <f>F76*E77</f>
        <v>121.3135</v>
      </c>
      <c r="G77" s="157"/>
      <c r="H77" s="157"/>
      <c r="I77" s="157"/>
      <c r="J77" s="157"/>
      <c r="K77" s="157"/>
      <c r="L77" s="157"/>
      <c r="M77" s="157"/>
    </row>
    <row r="78" spans="1:197" s="118" customFormat="1" ht="42" hidden="1" x14ac:dyDescent="0.2">
      <c r="A78" s="322"/>
      <c r="B78" s="103"/>
      <c r="C78" s="114" t="s">
        <v>179</v>
      </c>
      <c r="D78" s="49" t="s">
        <v>134</v>
      </c>
      <c r="E78" s="117" t="s">
        <v>83</v>
      </c>
      <c r="F78" s="164">
        <v>0</v>
      </c>
      <c r="G78" s="157"/>
      <c r="H78" s="157"/>
      <c r="I78" s="157"/>
      <c r="J78" s="157"/>
      <c r="K78" s="157"/>
      <c r="L78" s="157"/>
      <c r="M78" s="157"/>
    </row>
    <row r="79" spans="1:197" s="118" customFormat="1" ht="42" x14ac:dyDescent="0.2">
      <c r="A79" s="322"/>
      <c r="B79" s="103"/>
      <c r="C79" s="114" t="s">
        <v>237</v>
      </c>
      <c r="D79" s="49" t="s">
        <v>134</v>
      </c>
      <c r="E79" s="117" t="s">
        <v>83</v>
      </c>
      <c r="F79" s="164">
        <f>F76</f>
        <v>1265</v>
      </c>
      <c r="G79" s="157"/>
      <c r="H79" s="157"/>
      <c r="I79" s="157"/>
      <c r="J79" s="157"/>
      <c r="K79" s="157"/>
      <c r="L79" s="157"/>
      <c r="M79" s="157"/>
    </row>
    <row r="80" spans="1:197" s="118" customFormat="1" ht="21" x14ac:dyDescent="0.2">
      <c r="A80" s="322"/>
      <c r="B80" s="52"/>
      <c r="C80" s="119" t="s">
        <v>71</v>
      </c>
      <c r="D80" s="120" t="s">
        <v>25</v>
      </c>
      <c r="E80" s="121">
        <v>5.9999999999999995E-4</v>
      </c>
      <c r="F80" s="168">
        <f>E80*F76</f>
        <v>0.7589999999999999</v>
      </c>
      <c r="G80" s="157"/>
      <c r="H80" s="157"/>
      <c r="I80" s="157"/>
      <c r="J80" s="157"/>
      <c r="K80" s="157"/>
      <c r="L80" s="157"/>
      <c r="M80" s="157"/>
    </row>
    <row r="81" spans="1:197" s="123" customFormat="1" ht="42" x14ac:dyDescent="0.35">
      <c r="A81" s="323">
        <v>15</v>
      </c>
      <c r="B81" s="93" t="s">
        <v>136</v>
      </c>
      <c r="C81" s="196" t="s">
        <v>217</v>
      </c>
      <c r="D81" s="222" t="s">
        <v>100</v>
      </c>
      <c r="E81" s="222"/>
      <c r="F81" s="169">
        <f>F79</f>
        <v>1265</v>
      </c>
      <c r="G81" s="157"/>
      <c r="H81" s="157"/>
      <c r="I81" s="157"/>
      <c r="J81" s="157"/>
      <c r="K81" s="157"/>
      <c r="L81" s="157"/>
      <c r="M81" s="157"/>
    </row>
    <row r="82" spans="1:197" s="125" customFormat="1" ht="21" x14ac:dyDescent="0.35">
      <c r="A82" s="323"/>
      <c r="B82" s="97"/>
      <c r="C82" s="98" t="s">
        <v>110</v>
      </c>
      <c r="D82" s="99" t="s">
        <v>56</v>
      </c>
      <c r="E82" s="124">
        <v>5.16E-2</v>
      </c>
      <c r="F82" s="157">
        <f>F81*E82</f>
        <v>65.274000000000001</v>
      </c>
      <c r="G82" s="157"/>
      <c r="H82" s="157"/>
      <c r="I82" s="157"/>
      <c r="J82" s="157"/>
      <c r="K82" s="157"/>
      <c r="L82" s="157"/>
      <c r="M82" s="157"/>
    </row>
    <row r="83" spans="1:197" s="125" customFormat="1" ht="21" x14ac:dyDescent="0.35">
      <c r="A83" s="323"/>
      <c r="B83" s="97"/>
      <c r="C83" s="126" t="s">
        <v>138</v>
      </c>
      <c r="D83" s="99" t="s">
        <v>55</v>
      </c>
      <c r="E83" s="124">
        <v>3.7999999999999999E-2</v>
      </c>
      <c r="F83" s="157">
        <f>F81*E83</f>
        <v>48.07</v>
      </c>
      <c r="G83" s="157"/>
      <c r="H83" s="157"/>
      <c r="I83" s="157"/>
      <c r="J83" s="157"/>
      <c r="K83" s="157"/>
      <c r="L83" s="157"/>
      <c r="M83" s="157"/>
    </row>
    <row r="84" spans="1:197" s="125" customFormat="1" ht="21" x14ac:dyDescent="0.35">
      <c r="A84" s="323"/>
      <c r="B84" s="97"/>
      <c r="C84" s="126" t="s">
        <v>95</v>
      </c>
      <c r="D84" s="99" t="s">
        <v>25</v>
      </c>
      <c r="E84" s="124">
        <v>1.1000000000000001E-3</v>
      </c>
      <c r="F84" s="165">
        <f>E84*F81</f>
        <v>1.3915000000000002</v>
      </c>
      <c r="G84" s="157"/>
      <c r="H84" s="157"/>
      <c r="I84" s="157"/>
      <c r="J84" s="157"/>
      <c r="K84" s="157"/>
      <c r="L84" s="157"/>
      <c r="M84" s="157"/>
    </row>
    <row r="85" spans="1:197" s="96" customFormat="1" ht="21" x14ac:dyDescent="0.2">
      <c r="A85" s="307">
        <v>16</v>
      </c>
      <c r="B85" s="100" t="s">
        <v>139</v>
      </c>
      <c r="C85" s="101" t="s">
        <v>140</v>
      </c>
      <c r="D85" s="102" t="s">
        <v>26</v>
      </c>
      <c r="E85" s="102"/>
      <c r="F85" s="167">
        <f>F87+F88+F89</f>
        <v>39</v>
      </c>
      <c r="G85" s="157"/>
      <c r="H85" s="157"/>
      <c r="I85" s="157"/>
      <c r="J85" s="157"/>
      <c r="K85" s="157"/>
      <c r="L85" s="157"/>
      <c r="M85" s="157"/>
    </row>
    <row r="86" spans="1:197" s="96" customFormat="1" ht="21" x14ac:dyDescent="0.4">
      <c r="A86" s="308"/>
      <c r="B86" s="56"/>
      <c r="C86" s="116" t="s">
        <v>105</v>
      </c>
      <c r="D86" s="49" t="s">
        <v>56</v>
      </c>
      <c r="E86" s="127">
        <v>0.38900000000000001</v>
      </c>
      <c r="F86" s="164">
        <f>F85*E86</f>
        <v>15.171000000000001</v>
      </c>
      <c r="G86" s="157"/>
      <c r="H86" s="157"/>
      <c r="I86" s="157"/>
      <c r="J86" s="157"/>
      <c r="K86" s="157"/>
      <c r="L86" s="157"/>
      <c r="M86" s="157"/>
    </row>
    <row r="87" spans="1:197" s="96" customFormat="1" ht="21" x14ac:dyDescent="0.4">
      <c r="A87" s="308"/>
      <c r="B87" s="128"/>
      <c r="C87" s="116" t="s">
        <v>231</v>
      </c>
      <c r="D87" s="49" t="s">
        <v>26</v>
      </c>
      <c r="E87" s="127" t="s">
        <v>83</v>
      </c>
      <c r="F87" s="164">
        <v>30</v>
      </c>
      <c r="G87" s="157"/>
      <c r="H87" s="157"/>
      <c r="I87" s="206"/>
      <c r="J87" s="157"/>
      <c r="K87" s="157"/>
      <c r="L87" s="157"/>
      <c r="M87" s="157"/>
    </row>
    <row r="88" spans="1:197" s="96" customFormat="1" ht="21" x14ac:dyDescent="0.4">
      <c r="A88" s="308"/>
      <c r="B88" s="56"/>
      <c r="C88" s="116" t="s">
        <v>223</v>
      </c>
      <c r="D88" s="49" t="s">
        <v>26</v>
      </c>
      <c r="E88" s="127" t="s">
        <v>83</v>
      </c>
      <c r="F88" s="164">
        <v>4</v>
      </c>
      <c r="G88" s="157"/>
      <c r="H88" s="157"/>
      <c r="I88" s="206"/>
      <c r="J88" s="157"/>
      <c r="K88" s="157"/>
      <c r="L88" s="157"/>
      <c r="M88" s="157"/>
    </row>
    <row r="89" spans="1:197" s="96" customFormat="1" ht="21" x14ac:dyDescent="0.4">
      <c r="A89" s="308"/>
      <c r="B89" s="56"/>
      <c r="C89" s="116" t="s">
        <v>224</v>
      </c>
      <c r="D89" s="49" t="s">
        <v>26</v>
      </c>
      <c r="E89" s="127" t="s">
        <v>83</v>
      </c>
      <c r="F89" s="164">
        <v>5</v>
      </c>
      <c r="G89" s="157"/>
      <c r="H89" s="157"/>
      <c r="I89" s="206"/>
      <c r="J89" s="157"/>
      <c r="K89" s="157"/>
      <c r="L89" s="157"/>
      <c r="M89" s="157"/>
    </row>
    <row r="90" spans="1:197" s="96" customFormat="1" ht="21" x14ac:dyDescent="0.4">
      <c r="A90" s="308"/>
      <c r="B90" s="79"/>
      <c r="C90" s="64" t="s">
        <v>24</v>
      </c>
      <c r="D90" s="65" t="s">
        <v>25</v>
      </c>
      <c r="E90" s="127">
        <v>0.151</v>
      </c>
      <c r="F90" s="164">
        <f>E90*F85</f>
        <v>5.8890000000000002</v>
      </c>
      <c r="G90" s="157"/>
      <c r="H90" s="157"/>
      <c r="I90" s="157"/>
      <c r="J90" s="157"/>
      <c r="K90" s="154"/>
      <c r="L90" s="157"/>
      <c r="M90" s="157"/>
    </row>
    <row r="91" spans="1:197" s="96" customFormat="1" ht="21" x14ac:dyDescent="0.4">
      <c r="A91" s="309"/>
      <c r="B91" s="56"/>
      <c r="C91" s="114" t="s">
        <v>71</v>
      </c>
      <c r="D91" s="49" t="s">
        <v>25</v>
      </c>
      <c r="E91" s="127">
        <v>2.4E-2</v>
      </c>
      <c r="F91" s="164">
        <f>E91*F85</f>
        <v>0.93600000000000005</v>
      </c>
      <c r="G91" s="157"/>
      <c r="H91" s="157"/>
      <c r="I91" s="157"/>
      <c r="J91" s="157"/>
      <c r="K91" s="157"/>
      <c r="L91" s="157"/>
      <c r="M91" s="157"/>
    </row>
    <row r="92" spans="1:197" s="45" customFormat="1" ht="24" x14ac:dyDescent="0.2">
      <c r="A92" s="315">
        <v>17</v>
      </c>
      <c r="B92" s="46" t="s">
        <v>128</v>
      </c>
      <c r="C92" s="59" t="s">
        <v>145</v>
      </c>
      <c r="D92" s="221" t="s">
        <v>73</v>
      </c>
      <c r="E92" s="221"/>
      <c r="F92" s="229">
        <f>F76*0.3*0.15</f>
        <v>56.924999999999997</v>
      </c>
      <c r="G92" s="157"/>
      <c r="H92" s="157"/>
      <c r="I92" s="157"/>
      <c r="J92" s="157"/>
      <c r="K92" s="157"/>
      <c r="L92" s="157"/>
      <c r="M92" s="157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</row>
    <row r="93" spans="1:197" s="45" customFormat="1" ht="21" x14ac:dyDescent="0.2">
      <c r="A93" s="315"/>
      <c r="B93" s="56"/>
      <c r="C93" s="60" t="s">
        <v>61</v>
      </c>
      <c r="D93" s="49" t="s">
        <v>56</v>
      </c>
      <c r="E93" s="49">
        <v>1.78</v>
      </c>
      <c r="F93" s="157">
        <f>E93*F92</f>
        <v>101.3265</v>
      </c>
      <c r="G93" s="157"/>
      <c r="H93" s="157"/>
      <c r="I93" s="157"/>
      <c r="J93" s="157"/>
      <c r="K93" s="157"/>
      <c r="L93" s="157"/>
      <c r="M93" s="157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</row>
    <row r="94" spans="1:197" s="45" customFormat="1" ht="24" x14ac:dyDescent="0.2">
      <c r="A94" s="315"/>
      <c r="B94" s="56"/>
      <c r="C94" s="60" t="s">
        <v>130</v>
      </c>
      <c r="D94" s="49" t="s">
        <v>76</v>
      </c>
      <c r="E94" s="49">
        <v>1.1000000000000001</v>
      </c>
      <c r="F94" s="157">
        <f>E94*F92</f>
        <v>62.6175</v>
      </c>
      <c r="G94" s="157"/>
      <c r="H94" s="157"/>
      <c r="I94" s="206"/>
      <c r="J94" s="157"/>
      <c r="K94" s="157"/>
      <c r="L94" s="157"/>
      <c r="M94" s="157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</row>
    <row r="95" spans="1:197" s="61" customFormat="1" ht="24" x14ac:dyDescent="0.35">
      <c r="A95" s="315">
        <v>18</v>
      </c>
      <c r="B95" s="46" t="s">
        <v>146</v>
      </c>
      <c r="C95" s="101" t="s">
        <v>147</v>
      </c>
      <c r="D95" s="221" t="s">
        <v>78</v>
      </c>
      <c r="E95" s="221"/>
      <c r="F95" s="154">
        <f>(F68+F70-F73-F92)</f>
        <v>94.875000000000014</v>
      </c>
      <c r="G95" s="157"/>
      <c r="H95" s="157"/>
      <c r="I95" s="157"/>
      <c r="J95" s="157"/>
      <c r="K95" s="157"/>
      <c r="L95" s="157"/>
      <c r="M95" s="157"/>
    </row>
    <row r="96" spans="1:197" s="63" customFormat="1" ht="21" x14ac:dyDescent="0.35">
      <c r="A96" s="307"/>
      <c r="B96" s="129"/>
      <c r="C96" s="130" t="s">
        <v>23</v>
      </c>
      <c r="D96" s="120" t="s">
        <v>56</v>
      </c>
      <c r="E96" s="120">
        <v>1.21</v>
      </c>
      <c r="F96" s="166">
        <f>F68+F70-F73-F92</f>
        <v>94.875000000000014</v>
      </c>
      <c r="G96" s="157"/>
      <c r="H96" s="157"/>
      <c r="I96" s="157"/>
      <c r="J96" s="157"/>
      <c r="K96" s="157"/>
      <c r="L96" s="157"/>
      <c r="M96" s="157"/>
    </row>
    <row r="97" spans="1:30" s="51" customFormat="1" ht="42" x14ac:dyDescent="0.2">
      <c r="A97" s="315">
        <v>19</v>
      </c>
      <c r="B97" s="46" t="s">
        <v>148</v>
      </c>
      <c r="C97" s="101" t="s">
        <v>149</v>
      </c>
      <c r="D97" s="221" t="s">
        <v>27</v>
      </c>
      <c r="E97" s="48"/>
      <c r="F97" s="207">
        <f>(F99+F100+F101)/1000</f>
        <v>7.7599999999999995E-3</v>
      </c>
      <c r="G97" s="157"/>
      <c r="H97" s="157"/>
      <c r="I97" s="157"/>
      <c r="J97" s="157"/>
      <c r="K97" s="157"/>
      <c r="L97" s="157"/>
      <c r="M97" s="157"/>
      <c r="N97" s="265"/>
      <c r="O97" s="132"/>
      <c r="P97" s="132"/>
      <c r="Q97" s="132"/>
      <c r="R97" s="132"/>
      <c r="AD97" s="51">
        <f>525.6+75.68</f>
        <v>601.28</v>
      </c>
    </row>
    <row r="98" spans="1:30" s="96" customFormat="1" ht="21" x14ac:dyDescent="0.2">
      <c r="A98" s="315"/>
      <c r="B98" s="56"/>
      <c r="C98" s="57" t="s">
        <v>67</v>
      </c>
      <c r="D98" s="49" t="s">
        <v>56</v>
      </c>
      <c r="E98" s="54">
        <v>62</v>
      </c>
      <c r="F98" s="54">
        <f>E98*F97</f>
        <v>0.48111999999999999</v>
      </c>
      <c r="G98" s="157"/>
      <c r="H98" s="157"/>
      <c r="I98" s="157"/>
      <c r="J98" s="157"/>
      <c r="K98" s="157"/>
      <c r="L98" s="157"/>
      <c r="M98" s="157"/>
    </row>
    <row r="99" spans="1:30" s="96" customFormat="1" ht="21" x14ac:dyDescent="0.2">
      <c r="A99" s="315"/>
      <c r="B99" s="103"/>
      <c r="C99" s="106" t="s">
        <v>150</v>
      </c>
      <c r="D99" s="104" t="s">
        <v>107</v>
      </c>
      <c r="E99" s="54" t="s">
        <v>83</v>
      </c>
      <c r="F99" s="208">
        <v>3.77</v>
      </c>
      <c r="G99" s="157"/>
      <c r="H99" s="157"/>
      <c r="I99" s="206"/>
      <c r="J99" s="157"/>
      <c r="K99" s="157"/>
      <c r="L99" s="157"/>
      <c r="M99" s="157"/>
    </row>
    <row r="100" spans="1:30" s="96" customFormat="1" ht="21" x14ac:dyDescent="0.2">
      <c r="A100" s="315"/>
      <c r="B100" s="103"/>
      <c r="C100" s="106" t="s">
        <v>151</v>
      </c>
      <c r="D100" s="104" t="s">
        <v>107</v>
      </c>
      <c r="E100" s="54" t="s">
        <v>83</v>
      </c>
      <c r="F100" s="208">
        <v>0.22</v>
      </c>
      <c r="G100" s="157"/>
      <c r="H100" s="157"/>
      <c r="I100" s="206"/>
      <c r="J100" s="157"/>
      <c r="K100" s="157"/>
      <c r="L100" s="157"/>
      <c r="M100" s="157"/>
    </row>
    <row r="101" spans="1:30" s="96" customFormat="1" ht="21" x14ac:dyDescent="0.2">
      <c r="A101" s="315"/>
      <c r="B101" s="103"/>
      <c r="C101" s="106" t="s">
        <v>228</v>
      </c>
      <c r="D101" s="104" t="s">
        <v>107</v>
      </c>
      <c r="E101" s="54" t="s">
        <v>83</v>
      </c>
      <c r="F101" s="208">
        <v>3.77</v>
      </c>
      <c r="G101" s="157"/>
      <c r="H101" s="157"/>
      <c r="I101" s="206"/>
      <c r="J101" s="157"/>
      <c r="K101" s="157"/>
      <c r="L101" s="157"/>
      <c r="M101" s="157"/>
    </row>
    <row r="102" spans="1:30" s="96" customFormat="1" ht="21" x14ac:dyDescent="0.2">
      <c r="A102" s="315"/>
      <c r="B102" s="56"/>
      <c r="C102" s="57" t="s">
        <v>152</v>
      </c>
      <c r="D102" s="49" t="s">
        <v>107</v>
      </c>
      <c r="E102" s="54">
        <v>11</v>
      </c>
      <c r="F102" s="209">
        <f>E102*F97</f>
        <v>8.5359999999999991E-2</v>
      </c>
      <c r="G102" s="157"/>
      <c r="H102" s="157"/>
      <c r="I102" s="206"/>
      <c r="J102" s="157"/>
      <c r="K102" s="157"/>
      <c r="L102" s="157"/>
      <c r="M102" s="157"/>
    </row>
    <row r="103" spans="1:30" s="96" customFormat="1" ht="21" x14ac:dyDescent="0.2">
      <c r="A103" s="315"/>
      <c r="B103" s="56"/>
      <c r="C103" s="57" t="s">
        <v>153</v>
      </c>
      <c r="D103" s="49" t="s">
        <v>25</v>
      </c>
      <c r="E103" s="54">
        <v>23.3</v>
      </c>
      <c r="F103" s="210">
        <f>E103*F97</f>
        <v>0.180808</v>
      </c>
      <c r="G103" s="157"/>
      <c r="H103" s="157"/>
      <c r="I103" s="206"/>
      <c r="J103" s="157"/>
      <c r="K103" s="157"/>
      <c r="L103" s="157"/>
      <c r="M103" s="157"/>
    </row>
    <row r="104" spans="1:30" s="96" customFormat="1" ht="21" x14ac:dyDescent="0.2">
      <c r="A104" s="315"/>
      <c r="B104" s="103"/>
      <c r="C104" s="106" t="s">
        <v>95</v>
      </c>
      <c r="D104" s="49" t="s">
        <v>25</v>
      </c>
      <c r="E104" s="54">
        <v>2.78</v>
      </c>
      <c r="F104" s="211">
        <f>E104*F97</f>
        <v>2.1572799999999996E-2</v>
      </c>
      <c r="G104" s="157"/>
      <c r="H104" s="157"/>
      <c r="I104" s="206"/>
      <c r="J104" s="157"/>
      <c r="K104" s="157"/>
      <c r="L104" s="157"/>
      <c r="M104" s="157"/>
    </row>
    <row r="105" spans="1:30" s="96" customFormat="1" ht="21" x14ac:dyDescent="0.2">
      <c r="A105" s="315">
        <v>20</v>
      </c>
      <c r="B105" s="100" t="s">
        <v>139</v>
      </c>
      <c r="C105" s="101" t="s">
        <v>154</v>
      </c>
      <c r="D105" s="102" t="s">
        <v>26</v>
      </c>
      <c r="E105" s="102"/>
      <c r="F105" s="212">
        <f>F107+F108+F109+F110</f>
        <v>49</v>
      </c>
      <c r="G105" s="157"/>
      <c r="H105" s="157"/>
      <c r="I105" s="206"/>
      <c r="J105" s="157"/>
      <c r="K105" s="157"/>
      <c r="L105" s="157"/>
      <c r="M105" s="157"/>
    </row>
    <row r="106" spans="1:30" s="96" customFormat="1" ht="21" x14ac:dyDescent="0.4">
      <c r="A106" s="315"/>
      <c r="B106" s="56"/>
      <c r="C106" s="116" t="s">
        <v>105</v>
      </c>
      <c r="D106" s="49" t="s">
        <v>56</v>
      </c>
      <c r="E106" s="127">
        <v>0.38900000000000001</v>
      </c>
      <c r="F106" s="213">
        <f>F105*E106</f>
        <v>19.061</v>
      </c>
      <c r="G106" s="157"/>
      <c r="H106" s="157"/>
      <c r="I106" s="206"/>
      <c r="J106" s="157"/>
      <c r="K106" s="157"/>
      <c r="L106" s="157"/>
      <c r="M106" s="157"/>
    </row>
    <row r="107" spans="1:30" s="96" customFormat="1" ht="21" x14ac:dyDescent="0.4">
      <c r="A107" s="315"/>
      <c r="B107" s="128"/>
      <c r="C107" s="116" t="s">
        <v>225</v>
      </c>
      <c r="D107" s="49" t="s">
        <v>26</v>
      </c>
      <c r="E107" s="127" t="s">
        <v>83</v>
      </c>
      <c r="F107" s="213">
        <v>1</v>
      </c>
      <c r="G107" s="157"/>
      <c r="H107" s="157"/>
      <c r="I107" s="206"/>
      <c r="J107" s="157"/>
      <c r="K107" s="157"/>
      <c r="L107" s="157"/>
      <c r="M107" s="157"/>
    </row>
    <row r="108" spans="1:30" s="96" customFormat="1" ht="21" x14ac:dyDescent="0.4">
      <c r="A108" s="315"/>
      <c r="B108" s="56"/>
      <c r="C108" s="116" t="s">
        <v>156</v>
      </c>
      <c r="D108" s="49" t="s">
        <v>26</v>
      </c>
      <c r="E108" s="127" t="s">
        <v>83</v>
      </c>
      <c r="F108" s="213">
        <v>16</v>
      </c>
      <c r="G108" s="157"/>
      <c r="H108" s="157"/>
      <c r="I108" s="206"/>
      <c r="J108" s="157"/>
      <c r="K108" s="157"/>
      <c r="L108" s="157"/>
      <c r="M108" s="157"/>
    </row>
    <row r="109" spans="1:30" s="96" customFormat="1" ht="21" x14ac:dyDescent="0.4">
      <c r="A109" s="315"/>
      <c r="B109" s="56"/>
      <c r="C109" s="116" t="s">
        <v>157</v>
      </c>
      <c r="D109" s="49" t="s">
        <v>26</v>
      </c>
      <c r="E109" s="127" t="s">
        <v>83</v>
      </c>
      <c r="F109" s="213">
        <v>16</v>
      </c>
      <c r="G109" s="157"/>
      <c r="H109" s="157"/>
      <c r="I109" s="206"/>
      <c r="J109" s="157"/>
      <c r="K109" s="157"/>
      <c r="L109" s="157"/>
      <c r="M109" s="157"/>
    </row>
    <row r="110" spans="1:30" s="96" customFormat="1" ht="21" x14ac:dyDescent="0.4">
      <c r="A110" s="315"/>
      <c r="B110" s="56"/>
      <c r="C110" s="116" t="s">
        <v>158</v>
      </c>
      <c r="D110" s="49" t="s">
        <v>26</v>
      </c>
      <c r="E110" s="127" t="s">
        <v>83</v>
      </c>
      <c r="F110" s="213">
        <v>16</v>
      </c>
      <c r="G110" s="157"/>
      <c r="H110" s="157"/>
      <c r="I110" s="206"/>
      <c r="J110" s="157"/>
      <c r="K110" s="157"/>
      <c r="L110" s="157"/>
      <c r="M110" s="157"/>
    </row>
    <row r="111" spans="1:30" s="96" customFormat="1" ht="21" x14ac:dyDescent="0.4">
      <c r="A111" s="315"/>
      <c r="B111" s="79"/>
      <c r="C111" s="64" t="s">
        <v>24</v>
      </c>
      <c r="D111" s="65" t="s">
        <v>25</v>
      </c>
      <c r="E111" s="127">
        <v>0.151</v>
      </c>
      <c r="F111" s="214">
        <f>E111*F105</f>
        <v>7.399</v>
      </c>
      <c r="G111" s="157"/>
      <c r="H111" s="157"/>
      <c r="I111" s="206"/>
      <c r="J111" s="157"/>
      <c r="K111" s="157"/>
      <c r="L111" s="157"/>
      <c r="M111" s="157"/>
    </row>
    <row r="112" spans="1:30" s="96" customFormat="1" ht="21" x14ac:dyDescent="0.4">
      <c r="A112" s="315"/>
      <c r="B112" s="56"/>
      <c r="C112" s="114" t="s">
        <v>71</v>
      </c>
      <c r="D112" s="49" t="s">
        <v>25</v>
      </c>
      <c r="E112" s="127">
        <v>2.4E-2</v>
      </c>
      <c r="F112" s="214">
        <f>E112*F105</f>
        <v>1.1759999999999999</v>
      </c>
      <c r="G112" s="157"/>
      <c r="H112" s="157"/>
      <c r="I112" s="206"/>
      <c r="J112" s="157"/>
      <c r="K112" s="157"/>
      <c r="L112" s="157"/>
      <c r="M112" s="157"/>
    </row>
    <row r="113" spans="1:13" s="96" customFormat="1" ht="42" x14ac:dyDescent="0.2">
      <c r="A113" s="314">
        <v>21</v>
      </c>
      <c r="B113" s="235" t="s">
        <v>127</v>
      </c>
      <c r="C113" s="236" t="s">
        <v>236</v>
      </c>
      <c r="D113" s="237" t="s">
        <v>26</v>
      </c>
      <c r="E113" s="237"/>
      <c r="F113" s="245">
        <v>3</v>
      </c>
      <c r="G113" s="157"/>
      <c r="H113" s="157"/>
      <c r="I113" s="206"/>
      <c r="J113" s="157"/>
      <c r="K113" s="157"/>
      <c r="L113" s="157"/>
      <c r="M113" s="157"/>
    </row>
    <row r="114" spans="1:13" s="96" customFormat="1" ht="21" x14ac:dyDescent="0.2">
      <c r="A114" s="314"/>
      <c r="B114" s="46"/>
      <c r="C114" s="57" t="s">
        <v>23</v>
      </c>
      <c r="D114" s="49" t="s">
        <v>25</v>
      </c>
      <c r="E114" s="66"/>
      <c r="F114" s="246">
        <v>3</v>
      </c>
      <c r="G114" s="157"/>
      <c r="H114" s="157"/>
      <c r="I114" s="206"/>
      <c r="J114" s="157"/>
      <c r="K114" s="157"/>
      <c r="L114" s="157"/>
      <c r="M114" s="157"/>
    </row>
    <row r="115" spans="1:13" s="96" customFormat="1" ht="21" x14ac:dyDescent="0.2">
      <c r="A115" s="314"/>
      <c r="B115" s="46"/>
      <c r="C115" s="57" t="s">
        <v>160</v>
      </c>
      <c r="D115" s="49" t="s">
        <v>107</v>
      </c>
      <c r="E115" s="66" t="s">
        <v>83</v>
      </c>
      <c r="F115" s="246">
        <f>78.5*3</f>
        <v>235.5</v>
      </c>
      <c r="G115" s="157"/>
      <c r="H115" s="157"/>
      <c r="I115" s="206"/>
      <c r="J115" s="157"/>
      <c r="K115" s="157"/>
      <c r="L115" s="157"/>
      <c r="M115" s="157"/>
    </row>
    <row r="116" spans="1:13" s="96" customFormat="1" ht="21" x14ac:dyDescent="0.2">
      <c r="A116" s="314"/>
      <c r="B116" s="46"/>
      <c r="C116" s="57" t="s">
        <v>161</v>
      </c>
      <c r="D116" s="49" t="s">
        <v>107</v>
      </c>
      <c r="E116" s="66" t="s">
        <v>83</v>
      </c>
      <c r="F116" s="246">
        <f>11.3*3</f>
        <v>33.900000000000006</v>
      </c>
      <c r="G116" s="157"/>
      <c r="H116" s="157"/>
      <c r="I116" s="206"/>
      <c r="J116" s="157"/>
      <c r="K116" s="157"/>
      <c r="L116" s="157"/>
      <c r="M116" s="157"/>
    </row>
    <row r="117" spans="1:13" s="96" customFormat="1" ht="21" x14ac:dyDescent="0.2">
      <c r="A117" s="314"/>
      <c r="B117" s="56"/>
      <c r="C117" s="64" t="s">
        <v>80</v>
      </c>
      <c r="D117" s="65" t="s">
        <v>55</v>
      </c>
      <c r="E117" s="66" t="s">
        <v>83</v>
      </c>
      <c r="F117" s="215">
        <f>0.26*3</f>
        <v>0.78</v>
      </c>
      <c r="G117" s="157"/>
      <c r="H117" s="157"/>
      <c r="I117" s="206"/>
      <c r="J117" s="157"/>
      <c r="K117" s="157"/>
      <c r="L117" s="157"/>
      <c r="M117" s="157"/>
    </row>
    <row r="118" spans="1:13" s="96" customFormat="1" ht="21" x14ac:dyDescent="0.2">
      <c r="A118" s="314"/>
      <c r="B118" s="46"/>
      <c r="C118" s="240" t="s">
        <v>229</v>
      </c>
      <c r="D118" s="117" t="s">
        <v>90</v>
      </c>
      <c r="E118" s="66" t="s">
        <v>83</v>
      </c>
      <c r="F118" s="246">
        <f>1.16*3</f>
        <v>3.4799999999999995</v>
      </c>
      <c r="G118" s="157"/>
      <c r="H118" s="157"/>
      <c r="I118" s="206"/>
      <c r="J118" s="157"/>
      <c r="K118" s="157"/>
      <c r="L118" s="157"/>
      <c r="M118" s="157"/>
    </row>
    <row r="119" spans="1:13" s="96" customFormat="1" ht="21" x14ac:dyDescent="0.2">
      <c r="A119" s="314"/>
      <c r="B119" s="46"/>
      <c r="C119" s="240" t="s">
        <v>234</v>
      </c>
      <c r="D119" s="117" t="s">
        <v>90</v>
      </c>
      <c r="E119" s="66" t="s">
        <v>83</v>
      </c>
      <c r="F119" s="246">
        <f>2.66*3</f>
        <v>7.98</v>
      </c>
      <c r="G119" s="157"/>
      <c r="H119" s="157"/>
      <c r="I119" s="206"/>
      <c r="J119" s="157"/>
      <c r="K119" s="157"/>
      <c r="L119" s="157"/>
      <c r="M119" s="157"/>
    </row>
    <row r="120" spans="1:13" s="96" customFormat="1" ht="21" x14ac:dyDescent="0.2">
      <c r="A120" s="314"/>
      <c r="B120" s="46"/>
      <c r="C120" s="240" t="s">
        <v>226</v>
      </c>
      <c r="D120" s="117" t="s">
        <v>90</v>
      </c>
      <c r="E120" s="66" t="s">
        <v>83</v>
      </c>
      <c r="F120" s="246">
        <f>2.92*3</f>
        <v>8.76</v>
      </c>
      <c r="G120" s="157"/>
      <c r="H120" s="157"/>
      <c r="I120" s="206"/>
      <c r="J120" s="157"/>
      <c r="K120" s="157"/>
      <c r="L120" s="157"/>
      <c r="M120" s="157"/>
    </row>
    <row r="121" spans="1:13" s="96" customFormat="1" ht="21" x14ac:dyDescent="0.2">
      <c r="A121" s="314"/>
      <c r="B121" s="46"/>
      <c r="C121" s="57" t="s">
        <v>165</v>
      </c>
      <c r="D121" s="117" t="s">
        <v>90</v>
      </c>
      <c r="E121" s="66" t="s">
        <v>83</v>
      </c>
      <c r="F121" s="117">
        <f>0.16*3</f>
        <v>0.48</v>
      </c>
      <c r="G121" s="157"/>
      <c r="H121" s="157"/>
      <c r="I121" s="206"/>
      <c r="J121" s="157"/>
      <c r="K121" s="157"/>
      <c r="L121" s="157"/>
      <c r="M121" s="157"/>
    </row>
    <row r="122" spans="1:13" s="242" customFormat="1" ht="21" x14ac:dyDescent="0.35">
      <c r="A122" s="314"/>
      <c r="B122" s="239"/>
      <c r="C122" s="240" t="s">
        <v>166</v>
      </c>
      <c r="D122" s="117" t="s">
        <v>107</v>
      </c>
      <c r="E122" s="66" t="s">
        <v>83</v>
      </c>
      <c r="F122" s="117">
        <f>0.15*3</f>
        <v>0.44999999999999996</v>
      </c>
      <c r="G122" s="157"/>
      <c r="H122" s="157"/>
      <c r="I122" s="206"/>
      <c r="J122" s="157"/>
      <c r="K122" s="157"/>
      <c r="L122" s="157"/>
      <c r="M122" s="157"/>
    </row>
    <row r="123" spans="1:13" s="242" customFormat="1" ht="21" x14ac:dyDescent="0.35">
      <c r="A123" s="314"/>
      <c r="B123" s="239"/>
      <c r="C123" s="240" t="s">
        <v>167</v>
      </c>
      <c r="D123" s="117" t="s">
        <v>90</v>
      </c>
      <c r="E123" s="66" t="s">
        <v>83</v>
      </c>
      <c r="F123" s="117">
        <f>7.5*3</f>
        <v>22.5</v>
      </c>
      <c r="G123" s="157"/>
      <c r="H123" s="157"/>
      <c r="I123" s="206"/>
      <c r="J123" s="157"/>
      <c r="K123" s="157"/>
      <c r="L123" s="157"/>
      <c r="M123" s="157"/>
    </row>
    <row r="124" spans="1:13" s="242" customFormat="1" ht="21" x14ac:dyDescent="0.35">
      <c r="A124" s="314"/>
      <c r="B124" s="239"/>
      <c r="C124" s="240" t="s">
        <v>168</v>
      </c>
      <c r="D124" s="117" t="s">
        <v>26</v>
      </c>
      <c r="E124" s="66" t="s">
        <v>83</v>
      </c>
      <c r="F124" s="117">
        <f>2*3</f>
        <v>6</v>
      </c>
      <c r="G124" s="157"/>
      <c r="H124" s="157"/>
      <c r="I124" s="206"/>
      <c r="J124" s="157"/>
      <c r="K124" s="157"/>
      <c r="L124" s="157"/>
      <c r="M124" s="157"/>
    </row>
    <row r="125" spans="1:13" s="233" customFormat="1" ht="21" x14ac:dyDescent="0.2">
      <c r="A125" s="266"/>
      <c r="B125" s="267"/>
      <c r="C125" s="268" t="s">
        <v>21</v>
      </c>
      <c r="D125" s="268"/>
      <c r="E125" s="268"/>
      <c r="F125" s="269"/>
      <c r="G125" s="270"/>
      <c r="H125" s="270"/>
      <c r="I125" s="270"/>
      <c r="J125" s="270"/>
      <c r="K125" s="270"/>
      <c r="L125" s="270"/>
      <c r="M125" s="270"/>
    </row>
    <row r="126" spans="1:13" s="55" customFormat="1" ht="21" x14ac:dyDescent="0.35">
      <c r="A126" s="271"/>
      <c r="B126" s="272"/>
      <c r="C126" s="281" t="s">
        <v>169</v>
      </c>
      <c r="D126" s="277" t="s">
        <v>243</v>
      </c>
      <c r="E126" s="273"/>
      <c r="F126" s="274"/>
      <c r="G126" s="274"/>
      <c r="H126" s="274"/>
      <c r="I126" s="274"/>
      <c r="J126" s="274"/>
      <c r="K126" s="274"/>
      <c r="L126" s="274"/>
      <c r="M126" s="274"/>
    </row>
    <row r="127" spans="1:13" s="233" customFormat="1" ht="21" x14ac:dyDescent="0.2">
      <c r="A127" s="271"/>
      <c r="B127" s="272"/>
      <c r="C127" s="275" t="s">
        <v>21</v>
      </c>
      <c r="D127" s="278"/>
      <c r="E127" s="275"/>
      <c r="F127" s="274"/>
      <c r="G127" s="274"/>
      <c r="H127" s="276"/>
      <c r="I127" s="274"/>
      <c r="J127" s="276"/>
      <c r="K127" s="274"/>
      <c r="L127" s="276"/>
      <c r="M127" s="276"/>
    </row>
    <row r="128" spans="1:13" s="234" customFormat="1" ht="21" x14ac:dyDescent="0.2">
      <c r="A128" s="279"/>
      <c r="B128" s="280"/>
      <c r="C128" s="275" t="s">
        <v>170</v>
      </c>
      <c r="D128" s="277" t="s">
        <v>243</v>
      </c>
      <c r="E128" s="273"/>
      <c r="F128" s="276"/>
      <c r="G128" s="276"/>
      <c r="H128" s="276"/>
      <c r="I128" s="276"/>
      <c r="J128" s="276"/>
      <c r="K128" s="276"/>
      <c r="L128" s="276"/>
      <c r="M128" s="276"/>
    </row>
    <row r="129" spans="1:13" s="234" customFormat="1" ht="21" x14ac:dyDescent="0.2">
      <c r="A129" s="279"/>
      <c r="B129" s="280"/>
      <c r="C129" s="275" t="s">
        <v>21</v>
      </c>
      <c r="D129" s="277"/>
      <c r="E129" s="273"/>
      <c r="F129" s="276"/>
      <c r="G129" s="276"/>
      <c r="H129" s="276"/>
      <c r="I129" s="276"/>
      <c r="J129" s="276"/>
      <c r="K129" s="276"/>
      <c r="L129" s="276"/>
      <c r="M129" s="276"/>
    </row>
    <row r="130" spans="1:13" s="234" customFormat="1" ht="21" x14ac:dyDescent="0.2">
      <c r="A130" s="279"/>
      <c r="B130" s="280"/>
      <c r="C130" s="275" t="s">
        <v>171</v>
      </c>
      <c r="D130" s="277" t="s">
        <v>243</v>
      </c>
      <c r="E130" s="273"/>
      <c r="F130" s="276"/>
      <c r="G130" s="276"/>
      <c r="H130" s="276"/>
      <c r="I130" s="276"/>
      <c r="J130" s="276"/>
      <c r="K130" s="276"/>
      <c r="L130" s="276"/>
      <c r="M130" s="276"/>
    </row>
    <row r="131" spans="1:13" s="233" customFormat="1" ht="21" x14ac:dyDescent="0.2">
      <c r="A131" s="266"/>
      <c r="B131" s="267"/>
      <c r="C131" s="268" t="s">
        <v>172</v>
      </c>
      <c r="D131" s="268"/>
      <c r="E131" s="268"/>
      <c r="F131" s="269"/>
      <c r="G131" s="269"/>
      <c r="H131" s="270"/>
      <c r="I131" s="269"/>
      <c r="J131" s="270"/>
      <c r="K131" s="269"/>
      <c r="L131" s="270"/>
      <c r="M131" s="270"/>
    </row>
    <row r="132" spans="1:13" x14ac:dyDescent="0.3">
      <c r="C132" s="250"/>
    </row>
    <row r="133" spans="1:13" ht="17.25" customHeight="1" x14ac:dyDescent="0.3">
      <c r="C133" s="253"/>
    </row>
    <row r="134" spans="1:13" ht="18" customHeight="1" x14ac:dyDescent="0.3">
      <c r="C134" s="254"/>
      <c r="D134" s="255"/>
      <c r="E134" s="255"/>
      <c r="G134" s="255"/>
    </row>
    <row r="135" spans="1:13" x14ac:dyDescent="0.3">
      <c r="C135" s="254"/>
    </row>
  </sheetData>
  <protectedRanges>
    <protectedRange sqref="E37:E41 E53:E67" name="Range1_1_1_2_1"/>
    <protectedRange sqref="AB97" name="Range1_1_1_2"/>
  </protectedRanges>
  <autoFilter ref="A7:M7"/>
  <mergeCells count="34">
    <mergeCell ref="A1:M1"/>
    <mergeCell ref="A113:A124"/>
    <mergeCell ref="A73:A75"/>
    <mergeCell ref="A76:A80"/>
    <mergeCell ref="A81:A84"/>
    <mergeCell ref="A85:A91"/>
    <mergeCell ref="A92:A94"/>
    <mergeCell ref="A95:A96"/>
    <mergeCell ref="A97:A104"/>
    <mergeCell ref="A105:A112"/>
    <mergeCell ref="A16:A18"/>
    <mergeCell ref="A19:A29"/>
    <mergeCell ref="A30:A34"/>
    <mergeCell ref="A68:A69"/>
    <mergeCell ref="A70:A72"/>
    <mergeCell ref="A42:A52"/>
    <mergeCell ref="A53:A61"/>
    <mergeCell ref="A9:A10"/>
    <mergeCell ref="A11:A13"/>
    <mergeCell ref="A14:A15"/>
    <mergeCell ref="A62:A67"/>
    <mergeCell ref="A35:A41"/>
    <mergeCell ref="A2:M2"/>
    <mergeCell ref="D4:F4"/>
    <mergeCell ref="L4:M4"/>
    <mergeCell ref="K5:L5"/>
    <mergeCell ref="M5:M6"/>
    <mergeCell ref="A5:A6"/>
    <mergeCell ref="B5:B6"/>
    <mergeCell ref="C5:C6"/>
    <mergeCell ref="D5:D6"/>
    <mergeCell ref="E5:F5"/>
    <mergeCell ref="G5:H5"/>
    <mergeCell ref="I5:J5"/>
  </mergeCells>
  <conditionalFormatting sqref="C80:F80 B79 E74:E77 E35:E72">
    <cfRule type="cellIs" dxfId="5" priority="9" stopIfTrue="1" operator="equal">
      <formula>8223.307275</formula>
    </cfRule>
  </conditionalFormatting>
  <conditionalFormatting sqref="D86:F86">
    <cfRule type="cellIs" dxfId="4" priority="4" operator="equal">
      <formula>0</formula>
    </cfRule>
  </conditionalFormatting>
  <conditionalFormatting sqref="C86">
    <cfRule type="cellIs" dxfId="3" priority="3" stopIfTrue="1" operator="equal">
      <formula>0</formula>
    </cfRule>
  </conditionalFormatting>
  <printOptions horizontalCentered="1"/>
  <pageMargins left="0.31496062992125984" right="0.11811023622047245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86"/>
  <sheetViews>
    <sheetView view="pageBreakPreview" topLeftCell="A40" zoomScale="115" zoomScaleNormal="100" zoomScaleSheetLayoutView="115" workbookViewId="0">
      <selection activeCell="G31" sqref="G31"/>
    </sheetView>
  </sheetViews>
  <sheetFormatPr defaultColWidth="9.125" defaultRowHeight="15.75" x14ac:dyDescent="0.3"/>
  <cols>
    <col min="1" max="1" width="3.875" style="40" customWidth="1"/>
    <col min="2" max="2" width="16.75" style="148" customWidth="1"/>
    <col min="3" max="3" width="59.625" style="23" customWidth="1"/>
    <col min="4" max="4" width="9.25" style="22" bestFit="1" customWidth="1"/>
    <col min="5" max="5" width="10.375" style="15" customWidth="1"/>
    <col min="6" max="6" width="11.125" style="15" customWidth="1"/>
    <col min="7" max="7" width="12.25" style="15" customWidth="1"/>
    <col min="8" max="8" width="12.625" style="15" customWidth="1"/>
    <col min="9" max="9" width="9" style="15" customWidth="1"/>
    <col min="10" max="10" width="11.625" style="15" customWidth="1"/>
    <col min="11" max="11" width="12.25" style="15" customWidth="1"/>
    <col min="12" max="12" width="11.125" style="15" customWidth="1"/>
    <col min="13" max="13" width="14.75" style="15" customWidth="1"/>
    <col min="14" max="16" width="9.125" style="15"/>
    <col min="17" max="17" width="11.125" style="15" customWidth="1"/>
    <col min="18" max="27" width="9.125" style="15"/>
    <col min="28" max="28" width="10.75" style="15" customWidth="1"/>
    <col min="29" max="16384" width="9.125" style="15"/>
  </cols>
  <sheetData>
    <row r="1" spans="1:13" ht="30.75" customHeight="1" x14ac:dyDescent="0.3">
      <c r="A1" s="338" t="s">
        <v>174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x14ac:dyDescent="0.3">
      <c r="A2" s="339" t="s">
        <v>28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ht="18" customHeight="1" x14ac:dyDescent="0.3">
      <c r="A3" s="339" t="s">
        <v>173</v>
      </c>
      <c r="B3" s="339"/>
      <c r="C3" s="339"/>
      <c r="D3" s="339"/>
      <c r="E3" s="339"/>
      <c r="F3" s="339"/>
      <c r="G3" s="149"/>
      <c r="H3" s="149"/>
      <c r="I3" s="149"/>
      <c r="J3" s="149"/>
      <c r="K3" s="149"/>
      <c r="L3" s="149"/>
      <c r="M3" s="149"/>
    </row>
    <row r="4" spans="1:13" ht="18.75" customHeight="1" x14ac:dyDescent="0.3">
      <c r="A4" s="340" t="s">
        <v>18</v>
      </c>
      <c r="B4" s="340"/>
      <c r="C4" s="340"/>
      <c r="D4" s="340"/>
      <c r="E4" s="340"/>
      <c r="F4" s="340"/>
      <c r="G4" s="21"/>
      <c r="H4" s="21"/>
      <c r="I4" s="21"/>
      <c r="J4" s="21"/>
      <c r="K4" s="21"/>
      <c r="L4" s="341" t="s">
        <v>175</v>
      </c>
      <c r="M4" s="341"/>
    </row>
    <row r="5" spans="1:13" s="41" customFormat="1" ht="21" customHeight="1" x14ac:dyDescent="0.2">
      <c r="A5" s="336" t="s">
        <v>30</v>
      </c>
      <c r="B5" s="336" t="s">
        <v>42</v>
      </c>
      <c r="C5" s="336" t="s">
        <v>43</v>
      </c>
      <c r="D5" s="336" t="s">
        <v>44</v>
      </c>
      <c r="E5" s="334" t="s">
        <v>19</v>
      </c>
      <c r="F5" s="335"/>
      <c r="G5" s="334" t="s">
        <v>20</v>
      </c>
      <c r="H5" s="335"/>
      <c r="I5" s="334" t="s">
        <v>45</v>
      </c>
      <c r="J5" s="335"/>
      <c r="K5" s="334" t="s">
        <v>46</v>
      </c>
      <c r="L5" s="335"/>
      <c r="M5" s="336" t="s">
        <v>21</v>
      </c>
    </row>
    <row r="6" spans="1:13" s="41" customFormat="1" ht="42" x14ac:dyDescent="0.2">
      <c r="A6" s="337"/>
      <c r="B6" s="337"/>
      <c r="C6" s="337"/>
      <c r="D6" s="337"/>
      <c r="E6" s="42" t="s">
        <v>22</v>
      </c>
      <c r="F6" s="42" t="s">
        <v>47</v>
      </c>
      <c r="G6" s="42"/>
      <c r="H6" s="42"/>
      <c r="I6" s="42"/>
      <c r="J6" s="42"/>
      <c r="K6" s="42"/>
      <c r="L6" s="42"/>
      <c r="M6" s="337"/>
    </row>
    <row r="7" spans="1:13" s="45" customFormat="1" ht="21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/>
      <c r="H7" s="44"/>
      <c r="I7" s="44"/>
      <c r="J7" s="44"/>
      <c r="K7" s="44"/>
      <c r="L7" s="44"/>
      <c r="M7" s="44"/>
    </row>
    <row r="8" spans="1:13" s="51" customFormat="1" ht="42" x14ac:dyDescent="0.35">
      <c r="A8" s="307">
        <v>1</v>
      </c>
      <c r="B8" s="46" t="s">
        <v>48</v>
      </c>
      <c r="C8" s="47" t="s">
        <v>49</v>
      </c>
      <c r="D8" s="146" t="s">
        <v>50</v>
      </c>
      <c r="E8" s="48"/>
      <c r="F8" s="154">
        <v>0.03</v>
      </c>
      <c r="G8" s="157"/>
      <c r="H8" s="157">
        <f>G8*F8</f>
        <v>0</v>
      </c>
      <c r="I8" s="157"/>
      <c r="J8" s="157">
        <f>I8*F8</f>
        <v>0</v>
      </c>
      <c r="K8" s="157"/>
      <c r="L8" s="158">
        <f>K8*F8</f>
        <v>0</v>
      </c>
      <c r="M8" s="158">
        <f>L8+J8+H8</f>
        <v>0</v>
      </c>
    </row>
    <row r="9" spans="1:13" s="55" customFormat="1" ht="21" x14ac:dyDescent="0.35">
      <c r="A9" s="309"/>
      <c r="B9" s="52"/>
      <c r="C9" s="53" t="s">
        <v>51</v>
      </c>
      <c r="D9" s="49" t="s">
        <v>52</v>
      </c>
      <c r="E9" s="49">
        <v>33.96</v>
      </c>
      <c r="F9" s="157">
        <f>E9*F8</f>
        <v>1.0187999999999999</v>
      </c>
      <c r="G9" s="157"/>
      <c r="H9" s="157">
        <f t="shared" ref="H9:H72" si="0">G9*F9</f>
        <v>0</v>
      </c>
      <c r="I9" s="157"/>
      <c r="J9" s="157">
        <f t="shared" ref="J9:J72" si="1">I9*F9</f>
        <v>0</v>
      </c>
      <c r="K9" s="157">
        <v>100</v>
      </c>
      <c r="L9" s="158">
        <f t="shared" ref="L9:L72" si="2">K9*F9</f>
        <v>101.88</v>
      </c>
      <c r="M9" s="158">
        <f t="shared" ref="M9:M72" si="3">L9+J9+H9</f>
        <v>101.88</v>
      </c>
    </row>
    <row r="10" spans="1:13" s="51" customFormat="1" ht="42" x14ac:dyDescent="0.35">
      <c r="A10" s="307">
        <v>2</v>
      </c>
      <c r="B10" s="46" t="s">
        <v>53</v>
      </c>
      <c r="C10" s="47" t="s">
        <v>54</v>
      </c>
      <c r="D10" s="146" t="s">
        <v>55</v>
      </c>
      <c r="E10" s="48"/>
      <c r="F10" s="154">
        <v>4.04</v>
      </c>
      <c r="G10" s="154"/>
      <c r="H10" s="157">
        <f t="shared" si="0"/>
        <v>0</v>
      </c>
      <c r="I10" s="157"/>
      <c r="J10" s="157">
        <f t="shared" si="1"/>
        <v>0</v>
      </c>
      <c r="K10" s="157"/>
      <c r="L10" s="158">
        <f t="shared" si="2"/>
        <v>0</v>
      </c>
      <c r="M10" s="158">
        <f t="shared" si="3"/>
        <v>0</v>
      </c>
    </row>
    <row r="11" spans="1:13" s="55" customFormat="1" ht="21" x14ac:dyDescent="0.35">
      <c r="A11" s="308"/>
      <c r="B11" s="56"/>
      <c r="C11" s="57" t="s">
        <v>23</v>
      </c>
      <c r="D11" s="49" t="s">
        <v>56</v>
      </c>
      <c r="E11" s="50">
        <f>1247/100</f>
        <v>12.47</v>
      </c>
      <c r="F11" s="157">
        <f>E11*F10</f>
        <v>50.378800000000005</v>
      </c>
      <c r="G11" s="157"/>
      <c r="H11" s="157">
        <f t="shared" si="0"/>
        <v>0</v>
      </c>
      <c r="I11" s="157">
        <v>3</v>
      </c>
      <c r="J11" s="157">
        <f t="shared" si="1"/>
        <v>151.13640000000001</v>
      </c>
      <c r="K11" s="157"/>
      <c r="L11" s="158">
        <f t="shared" si="2"/>
        <v>0</v>
      </c>
      <c r="M11" s="158">
        <f t="shared" si="3"/>
        <v>151.13640000000001</v>
      </c>
    </row>
    <row r="12" spans="1:13" s="55" customFormat="1" ht="21" x14ac:dyDescent="0.35">
      <c r="A12" s="309"/>
      <c r="B12" s="56" t="s">
        <v>57</v>
      </c>
      <c r="C12" s="58" t="s">
        <v>58</v>
      </c>
      <c r="D12" s="49" t="s">
        <v>52</v>
      </c>
      <c r="E12" s="50">
        <f>347/100</f>
        <v>3.47</v>
      </c>
      <c r="F12" s="157">
        <f>E12*F10</f>
        <v>14.018800000000001</v>
      </c>
      <c r="G12" s="157"/>
      <c r="H12" s="157">
        <f t="shared" si="0"/>
        <v>0</v>
      </c>
      <c r="I12" s="157"/>
      <c r="J12" s="157">
        <f t="shared" si="1"/>
        <v>0</v>
      </c>
      <c r="K12" s="157">
        <v>15</v>
      </c>
      <c r="L12" s="158">
        <f t="shared" si="2"/>
        <v>210.28200000000001</v>
      </c>
      <c r="M12" s="158">
        <f t="shared" si="3"/>
        <v>210.28200000000001</v>
      </c>
    </row>
    <row r="13" spans="1:13" s="51" customFormat="1" ht="42" x14ac:dyDescent="0.35">
      <c r="A13" s="307">
        <v>3</v>
      </c>
      <c r="B13" s="46" t="s">
        <v>59</v>
      </c>
      <c r="C13" s="59" t="s">
        <v>60</v>
      </c>
      <c r="D13" s="146" t="s">
        <v>55</v>
      </c>
      <c r="E13" s="48"/>
      <c r="F13" s="154">
        <v>6</v>
      </c>
      <c r="G13" s="157"/>
      <c r="H13" s="157">
        <f t="shared" si="0"/>
        <v>0</v>
      </c>
      <c r="I13" s="157"/>
      <c r="J13" s="157">
        <f t="shared" si="1"/>
        <v>0</v>
      </c>
      <c r="K13" s="157"/>
      <c r="L13" s="158">
        <f t="shared" si="2"/>
        <v>0</v>
      </c>
      <c r="M13" s="158">
        <f t="shared" si="3"/>
        <v>0</v>
      </c>
    </row>
    <row r="14" spans="1:13" s="55" customFormat="1" ht="21" x14ac:dyDescent="0.35">
      <c r="A14" s="308"/>
      <c r="B14" s="56"/>
      <c r="C14" s="57" t="s">
        <v>61</v>
      </c>
      <c r="D14" s="49" t="s">
        <v>56</v>
      </c>
      <c r="E14" s="49">
        <v>6.08E-2</v>
      </c>
      <c r="F14" s="157">
        <f>E14*F13</f>
        <v>0.36480000000000001</v>
      </c>
      <c r="G14" s="157"/>
      <c r="H14" s="157">
        <f t="shared" si="0"/>
        <v>0</v>
      </c>
      <c r="I14" s="157">
        <v>3</v>
      </c>
      <c r="J14" s="157">
        <f t="shared" si="1"/>
        <v>1.0944</v>
      </c>
      <c r="K14" s="157"/>
      <c r="L14" s="158">
        <f t="shared" si="2"/>
        <v>0</v>
      </c>
      <c r="M14" s="158">
        <f t="shared" si="3"/>
        <v>1.0944</v>
      </c>
    </row>
    <row r="15" spans="1:13" s="55" customFormat="1" ht="21" x14ac:dyDescent="0.35">
      <c r="A15" s="308"/>
      <c r="B15" s="56" t="s">
        <v>62</v>
      </c>
      <c r="C15" s="60" t="s">
        <v>63</v>
      </c>
      <c r="D15" s="49" t="s">
        <v>52</v>
      </c>
      <c r="E15" s="49">
        <v>0.14299999999999999</v>
      </c>
      <c r="F15" s="157">
        <f>E15*F13</f>
        <v>0.85799999999999987</v>
      </c>
      <c r="G15" s="157"/>
      <c r="H15" s="157">
        <f t="shared" si="0"/>
        <v>0</v>
      </c>
      <c r="I15" s="157"/>
      <c r="J15" s="157">
        <f t="shared" si="1"/>
        <v>0</v>
      </c>
      <c r="K15" s="157">
        <v>100</v>
      </c>
      <c r="L15" s="158">
        <f t="shared" si="2"/>
        <v>85.799999999999983</v>
      </c>
      <c r="M15" s="158">
        <f t="shared" si="3"/>
        <v>85.799999999999983</v>
      </c>
    </row>
    <row r="16" spans="1:13" s="55" customFormat="1" ht="21" x14ac:dyDescent="0.35">
      <c r="A16" s="309"/>
      <c r="B16" s="56"/>
      <c r="C16" s="57" t="s">
        <v>64</v>
      </c>
      <c r="D16" s="49" t="s">
        <v>25</v>
      </c>
      <c r="E16" s="49">
        <v>6.8900000000000003E-3</v>
      </c>
      <c r="F16" s="157">
        <f>E16*F13</f>
        <v>4.1340000000000002E-2</v>
      </c>
      <c r="G16" s="157"/>
      <c r="H16" s="157">
        <f t="shared" si="0"/>
        <v>0</v>
      </c>
      <c r="I16" s="157"/>
      <c r="J16" s="157">
        <f t="shared" si="1"/>
        <v>0</v>
      </c>
      <c r="K16" s="157">
        <v>10</v>
      </c>
      <c r="L16" s="158">
        <f t="shared" si="2"/>
        <v>0.41339999999999999</v>
      </c>
      <c r="M16" s="158">
        <f t="shared" si="3"/>
        <v>0.41339999999999999</v>
      </c>
    </row>
    <row r="17" spans="1:197" s="45" customFormat="1" ht="42" x14ac:dyDescent="0.2">
      <c r="A17" s="307">
        <v>4</v>
      </c>
      <c r="B17" s="46" t="s">
        <v>65</v>
      </c>
      <c r="C17" s="59" t="s">
        <v>180</v>
      </c>
      <c r="D17" s="146" t="s">
        <v>66</v>
      </c>
      <c r="E17" s="146"/>
      <c r="F17" s="154">
        <v>1.1599999999999999</v>
      </c>
      <c r="G17" s="154"/>
      <c r="H17" s="157">
        <f t="shared" si="0"/>
        <v>0</v>
      </c>
      <c r="I17" s="157"/>
      <c r="J17" s="157">
        <f t="shared" si="1"/>
        <v>0</v>
      </c>
      <c r="K17" s="157"/>
      <c r="L17" s="158">
        <f t="shared" si="2"/>
        <v>0</v>
      </c>
      <c r="M17" s="158">
        <f t="shared" si="3"/>
        <v>0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</row>
    <row r="18" spans="1:197" s="45" customFormat="1" ht="21" x14ac:dyDescent="0.4">
      <c r="A18" s="308"/>
      <c r="B18" s="46"/>
      <c r="C18" s="60" t="s">
        <v>67</v>
      </c>
      <c r="D18" s="49" t="s">
        <v>56</v>
      </c>
      <c r="E18" s="62">
        <v>1.37</v>
      </c>
      <c r="F18" s="159">
        <f>E18*F17</f>
        <v>1.5891999999999999</v>
      </c>
      <c r="G18" s="157"/>
      <c r="H18" s="157">
        <f t="shared" si="0"/>
        <v>0</v>
      </c>
      <c r="I18" s="157">
        <v>3</v>
      </c>
      <c r="J18" s="157">
        <f t="shared" si="1"/>
        <v>4.7675999999999998</v>
      </c>
      <c r="K18" s="157"/>
      <c r="L18" s="158">
        <f t="shared" si="2"/>
        <v>0</v>
      </c>
      <c r="M18" s="158">
        <f t="shared" si="3"/>
        <v>4.7675999999999998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</row>
    <row r="19" spans="1:197" s="45" customFormat="1" ht="21" x14ac:dyDescent="0.4">
      <c r="A19" s="308"/>
      <c r="B19" s="56" t="s">
        <v>68</v>
      </c>
      <c r="C19" s="64" t="s">
        <v>69</v>
      </c>
      <c r="D19" s="65" t="s">
        <v>55</v>
      </c>
      <c r="E19" s="62">
        <v>1.02</v>
      </c>
      <c r="F19" s="159">
        <f>E19*F17</f>
        <v>1.1832</v>
      </c>
      <c r="G19" s="157">
        <v>180</v>
      </c>
      <c r="H19" s="157">
        <f t="shared" si="0"/>
        <v>212.976</v>
      </c>
      <c r="I19" s="157"/>
      <c r="J19" s="157">
        <f t="shared" si="1"/>
        <v>0</v>
      </c>
      <c r="K19" s="157"/>
      <c r="L19" s="158">
        <f t="shared" si="2"/>
        <v>0</v>
      </c>
      <c r="M19" s="158">
        <f t="shared" si="3"/>
        <v>212.976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</row>
    <row r="20" spans="1:197" s="45" customFormat="1" ht="21" x14ac:dyDescent="0.4">
      <c r="A20" s="308"/>
      <c r="B20" s="68"/>
      <c r="C20" s="64" t="s">
        <v>70</v>
      </c>
      <c r="D20" s="65" t="s">
        <v>25</v>
      </c>
      <c r="E20" s="62">
        <v>0.28299999999999997</v>
      </c>
      <c r="F20" s="159">
        <f>E20*F17</f>
        <v>0.32827999999999996</v>
      </c>
      <c r="G20" s="162"/>
      <c r="H20" s="157">
        <f t="shared" si="0"/>
        <v>0</v>
      </c>
      <c r="I20" s="157"/>
      <c r="J20" s="157">
        <f t="shared" si="1"/>
        <v>0</v>
      </c>
      <c r="K20" s="157">
        <v>10</v>
      </c>
      <c r="L20" s="158">
        <f t="shared" si="2"/>
        <v>3.2827999999999995</v>
      </c>
      <c r="M20" s="158">
        <f t="shared" si="3"/>
        <v>3.2827999999999995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</row>
    <row r="21" spans="1:197" s="45" customFormat="1" ht="21" x14ac:dyDescent="0.4">
      <c r="A21" s="309"/>
      <c r="B21" s="68"/>
      <c r="C21" s="64" t="s">
        <v>71</v>
      </c>
      <c r="D21" s="65" t="s">
        <v>25</v>
      </c>
      <c r="E21" s="62">
        <v>0.62</v>
      </c>
      <c r="F21" s="159">
        <f>E21*F17</f>
        <v>0.71919999999999995</v>
      </c>
      <c r="G21" s="162">
        <v>10</v>
      </c>
      <c r="H21" s="157">
        <f t="shared" si="0"/>
        <v>7.1919999999999993</v>
      </c>
      <c r="I21" s="157"/>
      <c r="J21" s="157">
        <f t="shared" si="1"/>
        <v>0</v>
      </c>
      <c r="K21" s="157"/>
      <c r="L21" s="158">
        <f t="shared" si="2"/>
        <v>0</v>
      </c>
      <c r="M21" s="158">
        <f t="shared" si="3"/>
        <v>7.1919999999999993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</row>
    <row r="22" spans="1:197" s="45" customFormat="1" ht="63" x14ac:dyDescent="0.4">
      <c r="A22" s="307">
        <v>5</v>
      </c>
      <c r="B22" s="46" t="s">
        <v>72</v>
      </c>
      <c r="C22" s="59" t="s">
        <v>181</v>
      </c>
      <c r="D22" s="146" t="s">
        <v>73</v>
      </c>
      <c r="E22" s="146"/>
      <c r="F22" s="160">
        <v>2.57</v>
      </c>
      <c r="G22" s="159"/>
      <c r="H22" s="157">
        <f t="shared" si="0"/>
        <v>0</v>
      </c>
      <c r="I22" s="157"/>
      <c r="J22" s="157">
        <f t="shared" si="1"/>
        <v>0</v>
      </c>
      <c r="K22" s="157"/>
      <c r="L22" s="158">
        <f t="shared" si="2"/>
        <v>0</v>
      </c>
      <c r="M22" s="158">
        <f t="shared" si="3"/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</row>
    <row r="23" spans="1:197" s="45" customFormat="1" ht="21" x14ac:dyDescent="0.2">
      <c r="A23" s="308"/>
      <c r="B23" s="56"/>
      <c r="C23" s="60" t="s">
        <v>61</v>
      </c>
      <c r="D23" s="49" t="s">
        <v>56</v>
      </c>
      <c r="E23" s="49">
        <v>1.78</v>
      </c>
      <c r="F23" s="157">
        <f>E23*F22</f>
        <v>4.5746000000000002</v>
      </c>
      <c r="G23" s="157"/>
      <c r="H23" s="157">
        <f t="shared" si="0"/>
        <v>0</v>
      </c>
      <c r="I23" s="157"/>
      <c r="J23" s="157">
        <f t="shared" si="1"/>
        <v>0</v>
      </c>
      <c r="K23" s="157"/>
      <c r="L23" s="158">
        <f t="shared" si="2"/>
        <v>0</v>
      </c>
      <c r="M23" s="158">
        <f t="shared" si="3"/>
        <v>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</row>
    <row r="24" spans="1:197" s="45" customFormat="1" ht="24" x14ac:dyDescent="0.2">
      <c r="A24" s="309"/>
      <c r="B24" s="56" t="s">
        <v>74</v>
      </c>
      <c r="C24" s="60" t="s">
        <v>75</v>
      </c>
      <c r="D24" s="49" t="s">
        <v>76</v>
      </c>
      <c r="E24" s="49">
        <v>1.1000000000000001</v>
      </c>
      <c r="F24" s="157">
        <f>E24*F22</f>
        <v>2.827</v>
      </c>
      <c r="G24" s="157"/>
      <c r="H24" s="157">
        <f t="shared" si="0"/>
        <v>0</v>
      </c>
      <c r="I24" s="157"/>
      <c r="J24" s="157">
        <f t="shared" si="1"/>
        <v>0</v>
      </c>
      <c r="K24" s="157"/>
      <c r="L24" s="158">
        <f t="shared" si="2"/>
        <v>0</v>
      </c>
      <c r="M24" s="158">
        <f t="shared" si="3"/>
        <v>0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</row>
    <row r="25" spans="1:197" s="76" customFormat="1" ht="42" x14ac:dyDescent="0.4">
      <c r="A25" s="331">
        <v>6</v>
      </c>
      <c r="B25" s="72" t="s">
        <v>77</v>
      </c>
      <c r="C25" s="73" t="s">
        <v>182</v>
      </c>
      <c r="D25" s="146" t="s">
        <v>78</v>
      </c>
      <c r="E25" s="74"/>
      <c r="F25" s="154">
        <f>2.94+0.48</f>
        <v>3.42</v>
      </c>
      <c r="G25" s="154"/>
      <c r="H25" s="157">
        <f t="shared" si="0"/>
        <v>0</v>
      </c>
      <c r="I25" s="157"/>
      <c r="J25" s="157">
        <f t="shared" si="1"/>
        <v>0</v>
      </c>
      <c r="K25" s="157"/>
      <c r="L25" s="158">
        <f t="shared" si="2"/>
        <v>0</v>
      </c>
      <c r="M25" s="158">
        <f t="shared" si="3"/>
        <v>0</v>
      </c>
      <c r="N25" s="75"/>
    </row>
    <row r="26" spans="1:197" s="76" customFormat="1" ht="21" x14ac:dyDescent="0.2">
      <c r="A26" s="332"/>
      <c r="B26" s="77"/>
      <c r="C26" s="78" t="s">
        <v>67</v>
      </c>
      <c r="D26" s="50" t="s">
        <v>56</v>
      </c>
      <c r="E26" s="49">
        <v>5.99</v>
      </c>
      <c r="F26" s="157">
        <f>E26*F25</f>
        <v>20.485800000000001</v>
      </c>
      <c r="G26" s="157"/>
      <c r="H26" s="157">
        <f t="shared" si="0"/>
        <v>0</v>
      </c>
      <c r="I26" s="157">
        <v>3</v>
      </c>
      <c r="J26" s="157">
        <f t="shared" si="1"/>
        <v>61.457400000000007</v>
      </c>
      <c r="K26" s="157"/>
      <c r="L26" s="158">
        <f t="shared" si="2"/>
        <v>0</v>
      </c>
      <c r="M26" s="158">
        <f t="shared" si="3"/>
        <v>61.457400000000007</v>
      </c>
      <c r="N26" s="75"/>
    </row>
    <row r="27" spans="1:197" s="76" customFormat="1" ht="21" x14ac:dyDescent="0.2">
      <c r="A27" s="332"/>
      <c r="B27" s="56" t="s">
        <v>79</v>
      </c>
      <c r="C27" s="64" t="s">
        <v>80</v>
      </c>
      <c r="D27" s="65" t="s">
        <v>55</v>
      </c>
      <c r="E27" s="49">
        <v>1.0149999999999999</v>
      </c>
      <c r="F27" s="157">
        <f>E27*F25</f>
        <v>3.4712999999999994</v>
      </c>
      <c r="G27" s="162">
        <v>220</v>
      </c>
      <c r="H27" s="157">
        <f t="shared" si="0"/>
        <v>763.68599999999992</v>
      </c>
      <c r="I27" s="157"/>
      <c r="J27" s="157">
        <f t="shared" si="1"/>
        <v>0</v>
      </c>
      <c r="K27" s="157"/>
      <c r="L27" s="158">
        <f t="shared" si="2"/>
        <v>0</v>
      </c>
      <c r="M27" s="158">
        <f t="shared" si="3"/>
        <v>763.68599999999992</v>
      </c>
      <c r="N27" s="75"/>
    </row>
    <row r="28" spans="1:197" s="76" customFormat="1" ht="21" x14ac:dyDescent="0.2">
      <c r="A28" s="332"/>
      <c r="B28" s="79" t="s">
        <v>81</v>
      </c>
      <c r="C28" s="80" t="s">
        <v>82</v>
      </c>
      <c r="D28" s="70" t="s">
        <v>27</v>
      </c>
      <c r="E28" s="81" t="s">
        <v>83</v>
      </c>
      <c r="F28" s="161">
        <f>0.012+0.0146</f>
        <v>2.6599999999999999E-2</v>
      </c>
      <c r="G28" s="162">
        <v>2000</v>
      </c>
      <c r="H28" s="157">
        <f t="shared" si="0"/>
        <v>53.199999999999996</v>
      </c>
      <c r="I28" s="157"/>
      <c r="J28" s="157">
        <f t="shared" si="1"/>
        <v>0</v>
      </c>
      <c r="K28" s="157"/>
      <c r="L28" s="158">
        <f t="shared" si="2"/>
        <v>0</v>
      </c>
      <c r="M28" s="158">
        <f t="shared" si="3"/>
        <v>53.199999999999996</v>
      </c>
      <c r="N28" s="75"/>
    </row>
    <row r="29" spans="1:197" s="76" customFormat="1" ht="21" x14ac:dyDescent="0.2">
      <c r="A29" s="332"/>
      <c r="B29" s="79" t="s">
        <v>84</v>
      </c>
      <c r="C29" s="80" t="s">
        <v>85</v>
      </c>
      <c r="D29" s="70" t="s">
        <v>27</v>
      </c>
      <c r="E29" s="81" t="s">
        <v>83</v>
      </c>
      <c r="F29" s="161">
        <f>0.207+0.0252</f>
        <v>0.23219999999999999</v>
      </c>
      <c r="G29" s="162">
        <v>2000</v>
      </c>
      <c r="H29" s="157">
        <f t="shared" si="0"/>
        <v>464.4</v>
      </c>
      <c r="I29" s="157"/>
      <c r="J29" s="157">
        <f t="shared" si="1"/>
        <v>0</v>
      </c>
      <c r="K29" s="157"/>
      <c r="L29" s="158">
        <f t="shared" si="2"/>
        <v>0</v>
      </c>
      <c r="M29" s="158">
        <f t="shared" si="3"/>
        <v>464.4</v>
      </c>
      <c r="N29" s="75"/>
    </row>
    <row r="30" spans="1:197" s="14" customFormat="1" ht="21" x14ac:dyDescent="0.2">
      <c r="A30" s="332"/>
      <c r="B30" s="82" t="s">
        <v>86</v>
      </c>
      <c r="C30" s="64" t="s">
        <v>87</v>
      </c>
      <c r="D30" s="65" t="s">
        <v>55</v>
      </c>
      <c r="E30" s="49">
        <v>2.7799999999999998E-2</v>
      </c>
      <c r="F30" s="162">
        <f>E30*F25</f>
        <v>9.5075999999999994E-2</v>
      </c>
      <c r="G30" s="162">
        <v>550</v>
      </c>
      <c r="H30" s="157">
        <f t="shared" si="0"/>
        <v>52.291799999999995</v>
      </c>
      <c r="I30" s="157"/>
      <c r="J30" s="157">
        <f t="shared" si="1"/>
        <v>0</v>
      </c>
      <c r="K30" s="157"/>
      <c r="L30" s="158">
        <f t="shared" si="2"/>
        <v>0</v>
      </c>
      <c r="M30" s="158">
        <f t="shared" si="3"/>
        <v>52.291799999999995</v>
      </c>
    </row>
    <row r="31" spans="1:197" s="83" customFormat="1" ht="21" x14ac:dyDescent="0.2">
      <c r="A31" s="332"/>
      <c r="B31" s="79" t="s">
        <v>88</v>
      </c>
      <c r="C31" s="80" t="s">
        <v>89</v>
      </c>
      <c r="D31" s="70" t="s">
        <v>90</v>
      </c>
      <c r="E31" s="49">
        <v>1.18</v>
      </c>
      <c r="F31" s="162">
        <f>E31*F25</f>
        <v>4.0355999999999996</v>
      </c>
      <c r="G31" s="161">
        <v>15</v>
      </c>
      <c r="H31" s="157">
        <f t="shared" si="0"/>
        <v>60.533999999999992</v>
      </c>
      <c r="I31" s="157"/>
      <c r="J31" s="157">
        <f t="shared" si="1"/>
        <v>0</v>
      </c>
      <c r="K31" s="157"/>
      <c r="L31" s="158">
        <f t="shared" si="2"/>
        <v>0</v>
      </c>
      <c r="M31" s="158">
        <f t="shared" si="3"/>
        <v>60.533999999999992</v>
      </c>
    </row>
    <row r="32" spans="1:197" s="14" customFormat="1" ht="21" x14ac:dyDescent="0.2">
      <c r="A32" s="332"/>
      <c r="B32" s="79" t="s">
        <v>91</v>
      </c>
      <c r="C32" s="80" t="s">
        <v>92</v>
      </c>
      <c r="D32" s="70" t="s">
        <v>27</v>
      </c>
      <c r="E32" s="49">
        <v>1.4E-3</v>
      </c>
      <c r="F32" s="162">
        <f>E32*F25</f>
        <v>4.7879999999999997E-3</v>
      </c>
      <c r="G32" s="161">
        <v>2000</v>
      </c>
      <c r="H32" s="157">
        <f t="shared" si="0"/>
        <v>9.5759999999999987</v>
      </c>
      <c r="I32" s="157"/>
      <c r="J32" s="157">
        <f t="shared" si="1"/>
        <v>0</v>
      </c>
      <c r="K32" s="157"/>
      <c r="L32" s="158">
        <f t="shared" si="2"/>
        <v>0</v>
      </c>
      <c r="M32" s="158">
        <f t="shared" si="3"/>
        <v>9.5759999999999987</v>
      </c>
    </row>
    <row r="33" spans="1:14" s="83" customFormat="1" ht="21" x14ac:dyDescent="0.2">
      <c r="A33" s="332"/>
      <c r="B33" s="79" t="s">
        <v>93</v>
      </c>
      <c r="C33" s="80" t="s">
        <v>94</v>
      </c>
      <c r="D33" s="70" t="s">
        <v>27</v>
      </c>
      <c r="E33" s="49">
        <v>1.1000000000000001E-3</v>
      </c>
      <c r="F33" s="162">
        <f>E33*F25</f>
        <v>3.7620000000000002E-3</v>
      </c>
      <c r="G33" s="161">
        <v>2000</v>
      </c>
      <c r="H33" s="157">
        <f t="shared" si="0"/>
        <v>7.524</v>
      </c>
      <c r="I33" s="157"/>
      <c r="J33" s="157">
        <f t="shared" si="1"/>
        <v>0</v>
      </c>
      <c r="K33" s="157"/>
      <c r="L33" s="158">
        <f t="shared" si="2"/>
        <v>0</v>
      </c>
      <c r="M33" s="158">
        <f t="shared" si="3"/>
        <v>7.524</v>
      </c>
    </row>
    <row r="34" spans="1:14" s="83" customFormat="1" ht="21" x14ac:dyDescent="0.2">
      <c r="A34" s="332"/>
      <c r="B34" s="84"/>
      <c r="C34" s="80" t="s">
        <v>70</v>
      </c>
      <c r="D34" s="70" t="s">
        <v>25</v>
      </c>
      <c r="E34" s="49">
        <v>1.0900000000000001</v>
      </c>
      <c r="F34" s="162">
        <f>E34*F25</f>
        <v>3.7278000000000002</v>
      </c>
      <c r="G34" s="157"/>
      <c r="H34" s="157">
        <f t="shared" si="0"/>
        <v>0</v>
      </c>
      <c r="I34" s="157"/>
      <c r="J34" s="157">
        <f t="shared" si="1"/>
        <v>0</v>
      </c>
      <c r="K34" s="157">
        <v>10</v>
      </c>
      <c r="L34" s="158">
        <f t="shared" si="2"/>
        <v>37.278000000000006</v>
      </c>
      <c r="M34" s="158">
        <f t="shared" si="3"/>
        <v>37.278000000000006</v>
      </c>
    </row>
    <row r="35" spans="1:14" s="83" customFormat="1" ht="21" x14ac:dyDescent="0.2">
      <c r="A35" s="333"/>
      <c r="B35" s="84"/>
      <c r="C35" s="80" t="s">
        <v>95</v>
      </c>
      <c r="D35" s="70" t="s">
        <v>25</v>
      </c>
      <c r="E35" s="49">
        <v>0.32</v>
      </c>
      <c r="F35" s="162">
        <f>E35*F25</f>
        <v>1.0944</v>
      </c>
      <c r="G35" s="157">
        <v>10</v>
      </c>
      <c r="H35" s="157">
        <f t="shared" si="0"/>
        <v>10.944000000000001</v>
      </c>
      <c r="I35" s="157"/>
      <c r="J35" s="157">
        <f t="shared" si="1"/>
        <v>0</v>
      </c>
      <c r="K35" s="157"/>
      <c r="L35" s="158">
        <f t="shared" si="2"/>
        <v>0</v>
      </c>
      <c r="M35" s="158">
        <f t="shared" si="3"/>
        <v>10.944000000000001</v>
      </c>
    </row>
    <row r="36" spans="1:14" s="88" customFormat="1" ht="42" x14ac:dyDescent="0.35">
      <c r="A36" s="324">
        <v>7</v>
      </c>
      <c r="B36" s="85" t="s">
        <v>96</v>
      </c>
      <c r="C36" s="86" t="s">
        <v>97</v>
      </c>
      <c r="D36" s="87" t="s">
        <v>26</v>
      </c>
      <c r="E36" s="87"/>
      <c r="F36" s="160">
        <v>2</v>
      </c>
      <c r="G36" s="160"/>
      <c r="H36" s="157">
        <f t="shared" si="0"/>
        <v>0</v>
      </c>
      <c r="I36" s="157"/>
      <c r="J36" s="157">
        <f t="shared" si="1"/>
        <v>0</v>
      </c>
      <c r="K36" s="157"/>
      <c r="L36" s="158">
        <f t="shared" si="2"/>
        <v>0</v>
      </c>
      <c r="M36" s="158">
        <f t="shared" si="3"/>
        <v>0</v>
      </c>
    </row>
    <row r="37" spans="1:14" s="88" customFormat="1" ht="21" x14ac:dyDescent="0.35">
      <c r="A37" s="325"/>
      <c r="B37" s="46"/>
      <c r="C37" s="57" t="s">
        <v>23</v>
      </c>
      <c r="D37" s="49" t="s">
        <v>56</v>
      </c>
      <c r="E37" s="66">
        <v>1.54</v>
      </c>
      <c r="F37" s="163">
        <f>E37*F36</f>
        <v>3.08</v>
      </c>
      <c r="G37" s="163"/>
      <c r="H37" s="157">
        <f t="shared" si="0"/>
        <v>0</v>
      </c>
      <c r="I37" s="157">
        <v>3</v>
      </c>
      <c r="J37" s="157">
        <f t="shared" si="1"/>
        <v>9.24</v>
      </c>
      <c r="K37" s="157"/>
      <c r="L37" s="158">
        <f t="shared" si="2"/>
        <v>0</v>
      </c>
      <c r="M37" s="158">
        <f t="shared" si="3"/>
        <v>9.24</v>
      </c>
    </row>
    <row r="38" spans="1:14" s="92" customFormat="1" ht="21" x14ac:dyDescent="0.35">
      <c r="A38" s="325"/>
      <c r="B38" s="89"/>
      <c r="C38" s="90" t="s">
        <v>98</v>
      </c>
      <c r="D38" s="81" t="s">
        <v>90</v>
      </c>
      <c r="E38" s="91" t="s">
        <v>83</v>
      </c>
      <c r="F38" s="163">
        <v>2.3199999999999998</v>
      </c>
      <c r="G38" s="163">
        <v>15</v>
      </c>
      <c r="H38" s="157">
        <f t="shared" si="0"/>
        <v>34.799999999999997</v>
      </c>
      <c r="I38" s="157"/>
      <c r="J38" s="157">
        <f t="shared" si="1"/>
        <v>0</v>
      </c>
      <c r="K38" s="157"/>
      <c r="L38" s="158">
        <f t="shared" si="2"/>
        <v>0</v>
      </c>
      <c r="M38" s="158">
        <f t="shared" si="3"/>
        <v>34.799999999999997</v>
      </c>
    </row>
    <row r="39" spans="1:14" s="92" customFormat="1" ht="21" x14ac:dyDescent="0.35">
      <c r="A39" s="325"/>
      <c r="B39" s="89"/>
      <c r="C39" s="90" t="s">
        <v>99</v>
      </c>
      <c r="D39" s="81" t="s">
        <v>100</v>
      </c>
      <c r="E39" s="91" t="s">
        <v>83</v>
      </c>
      <c r="F39" s="163">
        <v>2.3199999999999998</v>
      </c>
      <c r="G39" s="163">
        <v>8</v>
      </c>
      <c r="H39" s="157">
        <f t="shared" si="0"/>
        <v>18.559999999999999</v>
      </c>
      <c r="I39" s="157"/>
      <c r="J39" s="157">
        <f t="shared" si="1"/>
        <v>0</v>
      </c>
      <c r="K39" s="157"/>
      <c r="L39" s="158">
        <f t="shared" si="2"/>
        <v>0</v>
      </c>
      <c r="M39" s="158">
        <f t="shared" si="3"/>
        <v>18.559999999999999</v>
      </c>
    </row>
    <row r="40" spans="1:14" s="92" customFormat="1" ht="21" x14ac:dyDescent="0.35">
      <c r="A40" s="326"/>
      <c r="B40" s="89"/>
      <c r="C40" s="90" t="s">
        <v>101</v>
      </c>
      <c r="D40" s="81" t="s">
        <v>100</v>
      </c>
      <c r="E40" s="91" t="s">
        <v>83</v>
      </c>
      <c r="F40" s="163">
        <v>4.2</v>
      </c>
      <c r="G40" s="163">
        <v>4</v>
      </c>
      <c r="H40" s="157">
        <f t="shared" si="0"/>
        <v>16.8</v>
      </c>
      <c r="I40" s="157"/>
      <c r="J40" s="157">
        <f t="shared" si="1"/>
        <v>0</v>
      </c>
      <c r="K40" s="157"/>
      <c r="L40" s="158">
        <f t="shared" si="2"/>
        <v>0</v>
      </c>
      <c r="M40" s="158">
        <f t="shared" si="3"/>
        <v>16.8</v>
      </c>
    </row>
    <row r="41" spans="1:14" s="76" customFormat="1" ht="105" x14ac:dyDescent="0.2">
      <c r="A41" s="331">
        <v>13</v>
      </c>
      <c r="B41" s="72" t="s">
        <v>77</v>
      </c>
      <c r="C41" s="86" t="s">
        <v>183</v>
      </c>
      <c r="D41" s="147" t="s">
        <v>55</v>
      </c>
      <c r="E41" s="94"/>
      <c r="F41" s="154">
        <v>4.84</v>
      </c>
      <c r="G41" s="167"/>
      <c r="H41" s="157">
        <f t="shared" si="0"/>
        <v>0</v>
      </c>
      <c r="I41" s="157"/>
      <c r="J41" s="157">
        <f t="shared" si="1"/>
        <v>0</v>
      </c>
      <c r="K41" s="157"/>
      <c r="L41" s="158">
        <f t="shared" si="2"/>
        <v>0</v>
      </c>
      <c r="M41" s="158">
        <f t="shared" si="3"/>
        <v>0</v>
      </c>
      <c r="N41" s="75"/>
    </row>
    <row r="42" spans="1:14" s="76" customFormat="1" ht="21" x14ac:dyDescent="0.2">
      <c r="A42" s="332"/>
      <c r="B42" s="77"/>
      <c r="C42" s="98" t="s">
        <v>67</v>
      </c>
      <c r="D42" s="99" t="s">
        <v>56</v>
      </c>
      <c r="E42" s="99">
        <v>6.42</v>
      </c>
      <c r="F42" s="164">
        <f>F41*E42</f>
        <v>31.072799999999997</v>
      </c>
      <c r="G42" s="167"/>
      <c r="H42" s="157">
        <f t="shared" si="0"/>
        <v>0</v>
      </c>
      <c r="I42" s="157">
        <v>3</v>
      </c>
      <c r="J42" s="157">
        <f t="shared" si="1"/>
        <v>93.218399999999988</v>
      </c>
      <c r="K42" s="157"/>
      <c r="L42" s="158">
        <f t="shared" si="2"/>
        <v>0</v>
      </c>
      <c r="M42" s="158">
        <f t="shared" si="3"/>
        <v>93.218399999999988</v>
      </c>
      <c r="N42" s="75"/>
    </row>
    <row r="43" spans="1:14" s="76" customFormat="1" ht="21" x14ac:dyDescent="0.2">
      <c r="A43" s="332"/>
      <c r="B43" s="56" t="s">
        <v>79</v>
      </c>
      <c r="C43" s="64" t="s">
        <v>80</v>
      </c>
      <c r="D43" s="99" t="s">
        <v>55</v>
      </c>
      <c r="E43" s="99">
        <v>0.98699999999999999</v>
      </c>
      <c r="F43" s="164">
        <f>F41*E43</f>
        <v>4.7770799999999998</v>
      </c>
      <c r="G43" s="162">
        <v>220</v>
      </c>
      <c r="H43" s="157">
        <f t="shared" si="0"/>
        <v>1050.9576</v>
      </c>
      <c r="I43" s="157"/>
      <c r="J43" s="157">
        <f t="shared" si="1"/>
        <v>0</v>
      </c>
      <c r="K43" s="157"/>
      <c r="L43" s="158">
        <f t="shared" si="2"/>
        <v>0</v>
      </c>
      <c r="M43" s="158">
        <f t="shared" si="3"/>
        <v>1050.9576</v>
      </c>
      <c r="N43" s="75"/>
    </row>
    <row r="44" spans="1:14" s="76" customFormat="1" ht="21" x14ac:dyDescent="0.2">
      <c r="A44" s="332"/>
      <c r="B44" s="79" t="s">
        <v>81</v>
      </c>
      <c r="C44" s="98" t="s">
        <v>184</v>
      </c>
      <c r="D44" s="99" t="s">
        <v>26</v>
      </c>
      <c r="E44" s="99" t="s">
        <v>83</v>
      </c>
      <c r="F44" s="164">
        <v>4</v>
      </c>
      <c r="G44" s="165">
        <v>250</v>
      </c>
      <c r="H44" s="157">
        <f t="shared" si="0"/>
        <v>1000</v>
      </c>
      <c r="I44" s="157"/>
      <c r="J44" s="157">
        <f t="shared" si="1"/>
        <v>0</v>
      </c>
      <c r="K44" s="157"/>
      <c r="L44" s="158">
        <f t="shared" si="2"/>
        <v>0</v>
      </c>
      <c r="M44" s="158">
        <f t="shared" si="3"/>
        <v>1000</v>
      </c>
      <c r="N44" s="75"/>
    </row>
    <row r="45" spans="1:14" s="76" customFormat="1" ht="21" x14ac:dyDescent="0.2">
      <c r="A45" s="332"/>
      <c r="B45" s="79" t="s">
        <v>84</v>
      </c>
      <c r="C45" s="98" t="s">
        <v>89</v>
      </c>
      <c r="D45" s="99" t="s">
        <v>90</v>
      </c>
      <c r="E45" s="99" t="s">
        <v>83</v>
      </c>
      <c r="F45" s="165">
        <v>15</v>
      </c>
      <c r="G45" s="165">
        <v>15</v>
      </c>
      <c r="H45" s="157">
        <f t="shared" si="0"/>
        <v>225</v>
      </c>
      <c r="I45" s="157"/>
      <c r="J45" s="157">
        <f t="shared" si="1"/>
        <v>0</v>
      </c>
      <c r="K45" s="157"/>
      <c r="L45" s="158">
        <f t="shared" si="2"/>
        <v>0</v>
      </c>
      <c r="M45" s="158">
        <f t="shared" si="3"/>
        <v>225</v>
      </c>
      <c r="N45" s="75"/>
    </row>
    <row r="46" spans="1:14" s="14" customFormat="1" ht="21" x14ac:dyDescent="0.2">
      <c r="A46" s="332"/>
      <c r="B46" s="82" t="s">
        <v>86</v>
      </c>
      <c r="C46" s="98" t="s">
        <v>64</v>
      </c>
      <c r="D46" s="99" t="s">
        <v>25</v>
      </c>
      <c r="E46" s="99">
        <v>0.38500000000000001</v>
      </c>
      <c r="F46" s="157">
        <f>F41*E46</f>
        <v>1.8633999999999999</v>
      </c>
      <c r="G46" s="167"/>
      <c r="H46" s="157">
        <f t="shared" si="0"/>
        <v>0</v>
      </c>
      <c r="I46" s="157"/>
      <c r="J46" s="157">
        <f t="shared" si="1"/>
        <v>0</v>
      </c>
      <c r="K46" s="157">
        <v>10</v>
      </c>
      <c r="L46" s="158">
        <f t="shared" si="2"/>
        <v>18.634</v>
      </c>
      <c r="M46" s="158">
        <f t="shared" si="3"/>
        <v>18.634</v>
      </c>
    </row>
    <row r="47" spans="1:14" s="105" customFormat="1" ht="21" x14ac:dyDescent="0.35">
      <c r="A47" s="332"/>
      <c r="B47" s="103"/>
      <c r="C47" s="98" t="s">
        <v>104</v>
      </c>
      <c r="D47" s="99" t="s">
        <v>25</v>
      </c>
      <c r="E47" s="99">
        <v>3.08</v>
      </c>
      <c r="F47" s="157">
        <f>E47*F41</f>
        <v>14.9072</v>
      </c>
      <c r="G47" s="164">
        <v>10</v>
      </c>
      <c r="H47" s="157">
        <f t="shared" si="0"/>
        <v>149.072</v>
      </c>
      <c r="I47" s="157"/>
      <c r="J47" s="157">
        <f t="shared" si="1"/>
        <v>0</v>
      </c>
      <c r="K47" s="157"/>
      <c r="L47" s="158">
        <f t="shared" si="2"/>
        <v>0</v>
      </c>
      <c r="M47" s="158">
        <f t="shared" si="3"/>
        <v>149.072</v>
      </c>
    </row>
    <row r="48" spans="1:14" s="83" customFormat="1" ht="42" x14ac:dyDescent="0.4">
      <c r="A48" s="332"/>
      <c r="B48" s="79" t="s">
        <v>88</v>
      </c>
      <c r="C48" s="59" t="s">
        <v>185</v>
      </c>
      <c r="D48" s="146" t="s">
        <v>26</v>
      </c>
      <c r="E48" s="146"/>
      <c r="F48" s="160">
        <v>8</v>
      </c>
      <c r="G48" s="159"/>
      <c r="H48" s="157">
        <f t="shared" si="0"/>
        <v>0</v>
      </c>
      <c r="I48" s="157"/>
      <c r="J48" s="157">
        <f t="shared" si="1"/>
        <v>0</v>
      </c>
      <c r="K48" s="157"/>
      <c r="L48" s="158">
        <f t="shared" si="2"/>
        <v>0</v>
      </c>
      <c r="M48" s="158">
        <f t="shared" si="3"/>
        <v>0</v>
      </c>
    </row>
    <row r="49" spans="1:14" s="14" customFormat="1" ht="21" x14ac:dyDescent="0.2">
      <c r="A49" s="332"/>
      <c r="B49" s="79" t="s">
        <v>91</v>
      </c>
      <c r="C49" s="60" t="s">
        <v>61</v>
      </c>
      <c r="D49" s="49" t="s">
        <v>56</v>
      </c>
      <c r="E49" s="49">
        <v>0.17599999999999999</v>
      </c>
      <c r="F49" s="157">
        <f>E49*F48</f>
        <v>1.4079999999999999</v>
      </c>
      <c r="G49" s="157"/>
      <c r="H49" s="157">
        <f t="shared" si="0"/>
        <v>0</v>
      </c>
      <c r="I49" s="157">
        <v>3</v>
      </c>
      <c r="J49" s="157">
        <f t="shared" si="1"/>
        <v>4.2240000000000002</v>
      </c>
      <c r="K49" s="157"/>
      <c r="L49" s="158">
        <f t="shared" si="2"/>
        <v>0</v>
      </c>
      <c r="M49" s="158">
        <f t="shared" si="3"/>
        <v>4.2240000000000002</v>
      </c>
    </row>
    <row r="50" spans="1:14" s="83" customFormat="1" ht="21" x14ac:dyDescent="0.2">
      <c r="A50" s="332"/>
      <c r="B50" s="79" t="s">
        <v>93</v>
      </c>
      <c r="C50" s="98" t="s">
        <v>64</v>
      </c>
      <c r="D50" s="99" t="s">
        <v>25</v>
      </c>
      <c r="E50" s="49">
        <v>1.67E-2</v>
      </c>
      <c r="F50" s="164">
        <f>F48*E50</f>
        <v>0.1336</v>
      </c>
      <c r="G50" s="167"/>
      <c r="H50" s="157">
        <f t="shared" si="0"/>
        <v>0</v>
      </c>
      <c r="I50" s="157"/>
      <c r="J50" s="157">
        <f t="shared" si="1"/>
        <v>0</v>
      </c>
      <c r="K50" s="157">
        <v>10</v>
      </c>
      <c r="L50" s="158">
        <f t="shared" si="2"/>
        <v>1.3359999999999999</v>
      </c>
      <c r="M50" s="158">
        <f t="shared" si="3"/>
        <v>1.3359999999999999</v>
      </c>
    </row>
    <row r="51" spans="1:14" s="83" customFormat="1" ht="63" x14ac:dyDescent="0.2">
      <c r="A51" s="332"/>
      <c r="B51" s="84"/>
      <c r="C51" s="101" t="s">
        <v>186</v>
      </c>
      <c r="D51" s="102" t="s">
        <v>187</v>
      </c>
      <c r="E51" s="81"/>
      <c r="F51" s="160">
        <v>16</v>
      </c>
      <c r="G51" s="180"/>
      <c r="H51" s="157">
        <f t="shared" si="0"/>
        <v>0</v>
      </c>
      <c r="I51" s="157"/>
      <c r="J51" s="157">
        <f t="shared" si="1"/>
        <v>0</v>
      </c>
      <c r="K51" s="157"/>
      <c r="L51" s="158">
        <f t="shared" si="2"/>
        <v>0</v>
      </c>
      <c r="M51" s="158">
        <f t="shared" si="3"/>
        <v>0</v>
      </c>
    </row>
    <row r="52" spans="1:14" s="83" customFormat="1" ht="21" x14ac:dyDescent="0.4">
      <c r="A52" s="333"/>
      <c r="B52" s="84"/>
      <c r="C52" s="181" t="s">
        <v>105</v>
      </c>
      <c r="D52" s="104" t="s">
        <v>56</v>
      </c>
      <c r="E52" s="69">
        <v>0.65800000000000003</v>
      </c>
      <c r="F52" s="159">
        <f>E52*F51</f>
        <v>10.528</v>
      </c>
      <c r="G52" s="182"/>
      <c r="H52" s="157">
        <f t="shared" si="0"/>
        <v>0</v>
      </c>
      <c r="I52" s="157">
        <v>3</v>
      </c>
      <c r="J52" s="157">
        <f t="shared" si="1"/>
        <v>31.584000000000003</v>
      </c>
      <c r="K52" s="157"/>
      <c r="L52" s="158">
        <f t="shared" si="2"/>
        <v>0</v>
      </c>
      <c r="M52" s="158">
        <f t="shared" si="3"/>
        <v>31.584000000000003</v>
      </c>
    </row>
    <row r="53" spans="1:14" s="96" customFormat="1" ht="21" x14ac:dyDescent="0.4">
      <c r="A53" s="321">
        <v>14</v>
      </c>
      <c r="B53" s="93" t="s">
        <v>102</v>
      </c>
      <c r="C53" s="106" t="s">
        <v>106</v>
      </c>
      <c r="D53" s="104" t="s">
        <v>107</v>
      </c>
      <c r="E53" s="69" t="s">
        <v>83</v>
      </c>
      <c r="F53" s="159">
        <v>15</v>
      </c>
      <c r="G53" s="183">
        <v>5</v>
      </c>
      <c r="H53" s="157">
        <f t="shared" si="0"/>
        <v>75</v>
      </c>
      <c r="I53" s="157"/>
      <c r="J53" s="157">
        <f t="shared" si="1"/>
        <v>0</v>
      </c>
      <c r="K53" s="157"/>
      <c r="L53" s="158">
        <f t="shared" si="2"/>
        <v>0</v>
      </c>
      <c r="M53" s="158">
        <f t="shared" si="3"/>
        <v>75</v>
      </c>
    </row>
    <row r="54" spans="1:14" s="96" customFormat="1" ht="21" x14ac:dyDescent="0.4">
      <c r="A54" s="322"/>
      <c r="B54" s="97"/>
      <c r="C54" s="106" t="s">
        <v>70</v>
      </c>
      <c r="D54" s="104" t="s">
        <v>25</v>
      </c>
      <c r="E54" s="69">
        <v>8.9999999999999993E-3</v>
      </c>
      <c r="F54" s="159">
        <f>E54*F51</f>
        <v>0.14399999999999999</v>
      </c>
      <c r="G54" s="182"/>
      <c r="H54" s="157">
        <f t="shared" si="0"/>
        <v>0</v>
      </c>
      <c r="I54" s="157"/>
      <c r="J54" s="157">
        <f t="shared" si="1"/>
        <v>0</v>
      </c>
      <c r="K54" s="157">
        <v>10</v>
      </c>
      <c r="L54" s="158">
        <f t="shared" si="2"/>
        <v>1.44</v>
      </c>
      <c r="M54" s="158">
        <f t="shared" si="3"/>
        <v>1.44</v>
      </c>
    </row>
    <row r="55" spans="1:14" s="96" customFormat="1" ht="21" x14ac:dyDescent="0.4">
      <c r="A55" s="322"/>
      <c r="B55" s="56" t="s">
        <v>79</v>
      </c>
      <c r="C55" s="106" t="s">
        <v>95</v>
      </c>
      <c r="D55" s="104" t="s">
        <v>25</v>
      </c>
      <c r="E55" s="69">
        <v>1.6E-2</v>
      </c>
      <c r="F55" s="159">
        <f>E55*F51</f>
        <v>0.25600000000000001</v>
      </c>
      <c r="G55" s="183">
        <v>10</v>
      </c>
      <c r="H55" s="157">
        <f t="shared" si="0"/>
        <v>2.56</v>
      </c>
      <c r="I55" s="157"/>
      <c r="J55" s="157">
        <f t="shared" si="1"/>
        <v>0</v>
      </c>
      <c r="K55" s="157"/>
      <c r="L55" s="158">
        <f t="shared" si="2"/>
        <v>0</v>
      </c>
      <c r="M55" s="158">
        <f t="shared" si="3"/>
        <v>2.56</v>
      </c>
    </row>
    <row r="56" spans="1:14" s="76" customFormat="1" ht="42" x14ac:dyDescent="0.4">
      <c r="A56" s="322"/>
      <c r="B56" s="79" t="s">
        <v>84</v>
      </c>
      <c r="C56" s="73" t="s">
        <v>188</v>
      </c>
      <c r="D56" s="146" t="s">
        <v>78</v>
      </c>
      <c r="E56" s="74"/>
      <c r="F56" s="154">
        <v>5.6</v>
      </c>
      <c r="G56" s="154"/>
      <c r="H56" s="157">
        <f t="shared" si="0"/>
        <v>0</v>
      </c>
      <c r="I56" s="157"/>
      <c r="J56" s="157">
        <f t="shared" si="1"/>
        <v>0</v>
      </c>
      <c r="K56" s="157"/>
      <c r="L56" s="158">
        <f t="shared" si="2"/>
        <v>0</v>
      </c>
      <c r="M56" s="158">
        <f t="shared" si="3"/>
        <v>0</v>
      </c>
      <c r="N56" s="75"/>
    </row>
    <row r="57" spans="1:14" s="76" customFormat="1" ht="21" x14ac:dyDescent="0.2">
      <c r="A57" s="322"/>
      <c r="B57" s="79" t="s">
        <v>84</v>
      </c>
      <c r="C57" s="78" t="s">
        <v>67</v>
      </c>
      <c r="D57" s="50" t="s">
        <v>56</v>
      </c>
      <c r="E57" s="49">
        <v>5.99</v>
      </c>
      <c r="F57" s="157">
        <f>E57*F56</f>
        <v>33.543999999999997</v>
      </c>
      <c r="G57" s="157"/>
      <c r="H57" s="157">
        <f t="shared" si="0"/>
        <v>0</v>
      </c>
      <c r="I57" s="157">
        <v>2</v>
      </c>
      <c r="J57" s="157">
        <f t="shared" si="1"/>
        <v>67.087999999999994</v>
      </c>
      <c r="K57" s="157"/>
      <c r="L57" s="158">
        <f t="shared" si="2"/>
        <v>0</v>
      </c>
      <c r="M57" s="158">
        <f t="shared" si="3"/>
        <v>67.087999999999994</v>
      </c>
      <c r="N57" s="75"/>
    </row>
    <row r="58" spans="1:14" s="96" customFormat="1" ht="21" x14ac:dyDescent="0.2">
      <c r="A58" s="322"/>
      <c r="B58" s="56" t="s">
        <v>103</v>
      </c>
      <c r="C58" s="64" t="s">
        <v>80</v>
      </c>
      <c r="D58" s="65" t="s">
        <v>55</v>
      </c>
      <c r="E58" s="49">
        <v>1.0149999999999999</v>
      </c>
      <c r="F58" s="157">
        <f>E58*F56</f>
        <v>5.6839999999999993</v>
      </c>
      <c r="G58" s="162">
        <v>220</v>
      </c>
      <c r="H58" s="157">
        <f t="shared" si="0"/>
        <v>1250.4799999999998</v>
      </c>
      <c r="I58" s="157"/>
      <c r="J58" s="157">
        <f t="shared" si="1"/>
        <v>0</v>
      </c>
      <c r="K58" s="157"/>
      <c r="L58" s="158">
        <f t="shared" si="2"/>
        <v>0</v>
      </c>
      <c r="M58" s="158">
        <f t="shared" si="3"/>
        <v>1250.4799999999998</v>
      </c>
    </row>
    <row r="59" spans="1:14" s="96" customFormat="1" ht="21" x14ac:dyDescent="0.2">
      <c r="A59" s="322"/>
      <c r="B59" s="79" t="s">
        <v>88</v>
      </c>
      <c r="C59" s="80" t="s">
        <v>82</v>
      </c>
      <c r="D59" s="70" t="s">
        <v>27</v>
      </c>
      <c r="E59" s="81" t="s">
        <v>83</v>
      </c>
      <c r="F59" s="161">
        <v>2E-3</v>
      </c>
      <c r="G59" s="162">
        <v>2000</v>
      </c>
      <c r="H59" s="157">
        <f t="shared" si="0"/>
        <v>4</v>
      </c>
      <c r="I59" s="157"/>
      <c r="J59" s="157">
        <f t="shared" si="1"/>
        <v>0</v>
      </c>
      <c r="K59" s="157"/>
      <c r="L59" s="158">
        <f t="shared" si="2"/>
        <v>0</v>
      </c>
      <c r="M59" s="158">
        <f t="shared" si="3"/>
        <v>4</v>
      </c>
    </row>
    <row r="60" spans="1:14" s="96" customFormat="1" ht="21" x14ac:dyDescent="0.2">
      <c r="A60" s="322"/>
      <c r="B60" s="97"/>
      <c r="C60" s="80" t="s">
        <v>85</v>
      </c>
      <c r="D60" s="70" t="s">
        <v>27</v>
      </c>
      <c r="E60" s="81" t="s">
        <v>83</v>
      </c>
      <c r="F60" s="161">
        <v>0.55000000000000004</v>
      </c>
      <c r="G60" s="162">
        <v>2000</v>
      </c>
      <c r="H60" s="157">
        <f t="shared" si="0"/>
        <v>1100</v>
      </c>
      <c r="I60" s="157"/>
      <c r="J60" s="157">
        <f t="shared" si="1"/>
        <v>0</v>
      </c>
      <c r="K60" s="157"/>
      <c r="L60" s="158">
        <f t="shared" si="2"/>
        <v>0</v>
      </c>
      <c r="M60" s="158">
        <f t="shared" si="3"/>
        <v>1100</v>
      </c>
    </row>
    <row r="61" spans="1:14" s="96" customFormat="1" ht="21" x14ac:dyDescent="0.2">
      <c r="A61" s="330"/>
      <c r="B61" s="107"/>
      <c r="C61" s="64" t="s">
        <v>87</v>
      </c>
      <c r="D61" s="65" t="s">
        <v>55</v>
      </c>
      <c r="E61" s="49">
        <v>2.7799999999999998E-2</v>
      </c>
      <c r="F61" s="162">
        <f>E61*F56</f>
        <v>0.15567999999999999</v>
      </c>
      <c r="G61" s="162">
        <v>550</v>
      </c>
      <c r="H61" s="157">
        <f t="shared" si="0"/>
        <v>85.623999999999995</v>
      </c>
      <c r="I61" s="157"/>
      <c r="J61" s="157">
        <f t="shared" si="1"/>
        <v>0</v>
      </c>
      <c r="K61" s="157"/>
      <c r="L61" s="158">
        <f t="shared" si="2"/>
        <v>0</v>
      </c>
      <c r="M61" s="158">
        <f t="shared" si="3"/>
        <v>85.623999999999995</v>
      </c>
    </row>
    <row r="62" spans="1:14" s="96" customFormat="1" ht="21" x14ac:dyDescent="0.4">
      <c r="A62" s="321">
        <v>15</v>
      </c>
      <c r="B62" s="46" t="s">
        <v>108</v>
      </c>
      <c r="C62" s="106" t="s">
        <v>106</v>
      </c>
      <c r="D62" s="104" t="s">
        <v>107</v>
      </c>
      <c r="E62" s="69" t="s">
        <v>83</v>
      </c>
      <c r="F62" s="159">
        <v>5</v>
      </c>
      <c r="G62" s="183">
        <v>15</v>
      </c>
      <c r="H62" s="157">
        <f t="shared" si="0"/>
        <v>75</v>
      </c>
      <c r="I62" s="157"/>
      <c r="J62" s="157">
        <f t="shared" si="1"/>
        <v>0</v>
      </c>
      <c r="K62" s="157"/>
      <c r="L62" s="158">
        <f t="shared" si="2"/>
        <v>0</v>
      </c>
      <c r="M62" s="158">
        <f t="shared" si="3"/>
        <v>75</v>
      </c>
    </row>
    <row r="63" spans="1:14" s="96" customFormat="1" ht="21" x14ac:dyDescent="0.2">
      <c r="A63" s="322"/>
      <c r="B63" s="56"/>
      <c r="C63" s="80" t="s">
        <v>89</v>
      </c>
      <c r="D63" s="70" t="s">
        <v>90</v>
      </c>
      <c r="E63" s="49">
        <v>1.18</v>
      </c>
      <c r="F63" s="162">
        <f>E63*F56</f>
        <v>6.6079999999999997</v>
      </c>
      <c r="G63" s="161">
        <v>15</v>
      </c>
      <c r="H63" s="157">
        <f t="shared" si="0"/>
        <v>99.11999999999999</v>
      </c>
      <c r="I63" s="157"/>
      <c r="J63" s="157">
        <f t="shared" si="1"/>
        <v>0</v>
      </c>
      <c r="K63" s="157"/>
      <c r="L63" s="158">
        <f t="shared" si="2"/>
        <v>0</v>
      </c>
      <c r="M63" s="158">
        <f t="shared" si="3"/>
        <v>99.11999999999999</v>
      </c>
    </row>
    <row r="64" spans="1:14" s="96" customFormat="1" ht="21" x14ac:dyDescent="0.4">
      <c r="A64" s="322"/>
      <c r="B64" s="113" t="s">
        <v>111</v>
      </c>
      <c r="C64" s="80" t="s">
        <v>92</v>
      </c>
      <c r="D64" s="70" t="s">
        <v>27</v>
      </c>
      <c r="E64" s="49">
        <v>1.4E-3</v>
      </c>
      <c r="F64" s="162">
        <f>E64*F56</f>
        <v>7.8399999999999997E-3</v>
      </c>
      <c r="G64" s="161">
        <v>2000</v>
      </c>
      <c r="H64" s="157">
        <f t="shared" si="0"/>
        <v>15.68</v>
      </c>
      <c r="I64" s="157"/>
      <c r="J64" s="157">
        <f t="shared" si="1"/>
        <v>0</v>
      </c>
      <c r="K64" s="157"/>
      <c r="L64" s="158">
        <f t="shared" si="2"/>
        <v>0</v>
      </c>
      <c r="M64" s="158">
        <f t="shared" si="3"/>
        <v>15.68</v>
      </c>
    </row>
    <row r="65" spans="1:197" s="96" customFormat="1" ht="21" x14ac:dyDescent="0.2">
      <c r="A65" s="322"/>
      <c r="B65" s="79"/>
      <c r="C65" s="80" t="s">
        <v>94</v>
      </c>
      <c r="D65" s="70" t="s">
        <v>27</v>
      </c>
      <c r="E65" s="49">
        <v>1.1000000000000001E-3</v>
      </c>
      <c r="F65" s="162">
        <f>E65*F56</f>
        <v>6.1599999999999997E-3</v>
      </c>
      <c r="G65" s="161">
        <v>2000</v>
      </c>
      <c r="H65" s="157">
        <f t="shared" si="0"/>
        <v>12.319999999999999</v>
      </c>
      <c r="I65" s="157"/>
      <c r="J65" s="157">
        <f t="shared" si="1"/>
        <v>0</v>
      </c>
      <c r="K65" s="157"/>
      <c r="L65" s="158">
        <f t="shared" si="2"/>
        <v>0</v>
      </c>
      <c r="M65" s="158">
        <f t="shared" si="3"/>
        <v>12.319999999999999</v>
      </c>
    </row>
    <row r="66" spans="1:197" s="96" customFormat="1" ht="21" x14ac:dyDescent="0.2">
      <c r="A66" s="322"/>
      <c r="B66" s="79" t="s">
        <v>113</v>
      </c>
      <c r="C66" s="80" t="s">
        <v>70</v>
      </c>
      <c r="D66" s="70" t="s">
        <v>25</v>
      </c>
      <c r="E66" s="49">
        <v>1.0900000000000001</v>
      </c>
      <c r="F66" s="162">
        <f>E66*F56</f>
        <v>6.1040000000000001</v>
      </c>
      <c r="G66" s="157"/>
      <c r="H66" s="157">
        <f t="shared" si="0"/>
        <v>0</v>
      </c>
      <c r="I66" s="157"/>
      <c r="J66" s="157">
        <f t="shared" si="1"/>
        <v>0</v>
      </c>
      <c r="K66" s="157">
        <v>10</v>
      </c>
      <c r="L66" s="158">
        <f t="shared" si="2"/>
        <v>61.04</v>
      </c>
      <c r="M66" s="158">
        <f t="shared" si="3"/>
        <v>61.04</v>
      </c>
    </row>
    <row r="67" spans="1:197" s="96" customFormat="1" ht="21" x14ac:dyDescent="0.2">
      <c r="A67" s="322"/>
      <c r="B67" s="79" t="s">
        <v>115</v>
      </c>
      <c r="C67" s="80" t="s">
        <v>95</v>
      </c>
      <c r="D67" s="70" t="s">
        <v>25</v>
      </c>
      <c r="E67" s="49">
        <v>0.32</v>
      </c>
      <c r="F67" s="162">
        <f>E67*F56</f>
        <v>1.7919999999999998</v>
      </c>
      <c r="G67" s="157">
        <v>10</v>
      </c>
      <c r="H67" s="157">
        <f t="shared" si="0"/>
        <v>17.919999999999998</v>
      </c>
      <c r="I67" s="157"/>
      <c r="J67" s="157">
        <f t="shared" si="1"/>
        <v>0</v>
      </c>
      <c r="K67" s="157"/>
      <c r="L67" s="158">
        <f t="shared" si="2"/>
        <v>0</v>
      </c>
      <c r="M67" s="158">
        <f t="shared" si="3"/>
        <v>17.919999999999998</v>
      </c>
    </row>
    <row r="68" spans="1:197" s="96" customFormat="1" ht="42" x14ac:dyDescent="0.2">
      <c r="A68" s="330"/>
      <c r="B68" s="56"/>
      <c r="C68" s="86" t="s">
        <v>189</v>
      </c>
      <c r="D68" s="147" t="s">
        <v>55</v>
      </c>
      <c r="E68" s="94"/>
      <c r="F68" s="154">
        <v>0.85</v>
      </c>
      <c r="G68" s="167"/>
      <c r="H68" s="157">
        <f t="shared" si="0"/>
        <v>0</v>
      </c>
      <c r="I68" s="157"/>
      <c r="J68" s="157">
        <f t="shared" si="1"/>
        <v>0</v>
      </c>
      <c r="K68" s="157"/>
      <c r="L68" s="158">
        <f t="shared" si="2"/>
        <v>0</v>
      </c>
      <c r="M68" s="158">
        <f t="shared" si="3"/>
        <v>0</v>
      </c>
    </row>
    <row r="69" spans="1:197" s="45" customFormat="1" ht="21" x14ac:dyDescent="0.2">
      <c r="A69" s="307">
        <v>16</v>
      </c>
      <c r="B69" s="46" t="s">
        <v>72</v>
      </c>
      <c r="C69" s="98" t="s">
        <v>67</v>
      </c>
      <c r="D69" s="99" t="s">
        <v>56</v>
      </c>
      <c r="E69" s="99">
        <v>6.42</v>
      </c>
      <c r="F69" s="164">
        <f>F68*E69</f>
        <v>5.4569999999999999</v>
      </c>
      <c r="G69" s="167"/>
      <c r="H69" s="157">
        <f t="shared" si="0"/>
        <v>0</v>
      </c>
      <c r="I69" s="157">
        <v>3</v>
      </c>
      <c r="J69" s="157">
        <f t="shared" si="1"/>
        <v>16.370999999999999</v>
      </c>
      <c r="K69" s="157"/>
      <c r="L69" s="158">
        <f t="shared" si="2"/>
        <v>0</v>
      </c>
      <c r="M69" s="158">
        <f t="shared" si="3"/>
        <v>16.370999999999999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</row>
    <row r="70" spans="1:197" s="45" customFormat="1" ht="21" x14ac:dyDescent="0.2">
      <c r="A70" s="308"/>
      <c r="B70" s="56"/>
      <c r="C70" s="64" t="s">
        <v>80</v>
      </c>
      <c r="D70" s="99" t="s">
        <v>55</v>
      </c>
      <c r="E70" s="99">
        <v>0.98699999999999999</v>
      </c>
      <c r="F70" s="164">
        <f>F68*E70</f>
        <v>0.83894999999999997</v>
      </c>
      <c r="G70" s="162">
        <v>220</v>
      </c>
      <c r="H70" s="157">
        <f t="shared" si="0"/>
        <v>184.56899999999999</v>
      </c>
      <c r="I70" s="157"/>
      <c r="J70" s="157">
        <f t="shared" si="1"/>
        <v>0</v>
      </c>
      <c r="K70" s="157"/>
      <c r="L70" s="158">
        <f t="shared" si="2"/>
        <v>0</v>
      </c>
      <c r="M70" s="158">
        <f t="shared" si="3"/>
        <v>184.56899999999999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</row>
    <row r="71" spans="1:197" s="45" customFormat="1" ht="21" x14ac:dyDescent="0.2">
      <c r="A71" s="308"/>
      <c r="B71" s="56" t="s">
        <v>118</v>
      </c>
      <c r="C71" s="80" t="s">
        <v>82</v>
      </c>
      <c r="D71" s="70" t="s">
        <v>27</v>
      </c>
      <c r="E71" s="81" t="s">
        <v>83</v>
      </c>
      <c r="F71" s="161">
        <v>1.8E-3</v>
      </c>
      <c r="G71" s="162">
        <v>2000</v>
      </c>
      <c r="H71" s="157">
        <f t="shared" si="0"/>
        <v>3.6</v>
      </c>
      <c r="I71" s="157"/>
      <c r="J71" s="157">
        <f t="shared" si="1"/>
        <v>0</v>
      </c>
      <c r="K71" s="157"/>
      <c r="L71" s="158">
        <f t="shared" si="2"/>
        <v>0</v>
      </c>
      <c r="M71" s="158">
        <f t="shared" si="3"/>
        <v>3.6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</row>
    <row r="72" spans="1:197" s="96" customFormat="1" ht="21" x14ac:dyDescent="0.2">
      <c r="A72" s="308"/>
      <c r="B72" s="56" t="s">
        <v>120</v>
      </c>
      <c r="C72" s="80" t="s">
        <v>85</v>
      </c>
      <c r="D72" s="70" t="s">
        <v>27</v>
      </c>
      <c r="E72" s="81" t="s">
        <v>83</v>
      </c>
      <c r="F72" s="161">
        <v>0.1305</v>
      </c>
      <c r="G72" s="162">
        <v>2000</v>
      </c>
      <c r="H72" s="157">
        <f t="shared" si="0"/>
        <v>261</v>
      </c>
      <c r="I72" s="157"/>
      <c r="J72" s="157">
        <f t="shared" si="1"/>
        <v>0</v>
      </c>
      <c r="K72" s="157"/>
      <c r="L72" s="158">
        <f t="shared" si="2"/>
        <v>0</v>
      </c>
      <c r="M72" s="158">
        <f t="shared" si="3"/>
        <v>261</v>
      </c>
    </row>
    <row r="73" spans="1:197" s="96" customFormat="1" ht="21" x14ac:dyDescent="0.2">
      <c r="A73" s="308"/>
      <c r="B73" s="97" t="s">
        <v>122</v>
      </c>
      <c r="C73" s="98" t="s">
        <v>184</v>
      </c>
      <c r="D73" s="99" t="s">
        <v>26</v>
      </c>
      <c r="E73" s="99" t="s">
        <v>83</v>
      </c>
      <c r="F73" s="164">
        <v>2</v>
      </c>
      <c r="G73" s="165">
        <v>250</v>
      </c>
      <c r="H73" s="157">
        <f t="shared" ref="H73:H136" si="4">G73*F73</f>
        <v>500</v>
      </c>
      <c r="I73" s="157"/>
      <c r="J73" s="157">
        <f t="shared" ref="J73:J136" si="5">I73*F73</f>
        <v>0</v>
      </c>
      <c r="K73" s="157"/>
      <c r="L73" s="158">
        <f t="shared" ref="L73:L136" si="6">K73*F73</f>
        <v>0</v>
      </c>
      <c r="M73" s="158">
        <f t="shared" ref="M73:M136" si="7">L73+J73+H73</f>
        <v>500</v>
      </c>
    </row>
    <row r="74" spans="1:197" s="96" customFormat="1" ht="21" x14ac:dyDescent="0.2">
      <c r="A74" s="309"/>
      <c r="B74" s="97"/>
      <c r="C74" s="98" t="s">
        <v>89</v>
      </c>
      <c r="D74" s="99" t="s">
        <v>90</v>
      </c>
      <c r="E74" s="99" t="s">
        <v>83</v>
      </c>
      <c r="F74" s="165">
        <v>15</v>
      </c>
      <c r="G74" s="165">
        <v>15</v>
      </c>
      <c r="H74" s="157">
        <f t="shared" si="4"/>
        <v>225</v>
      </c>
      <c r="I74" s="157"/>
      <c r="J74" s="157">
        <f t="shared" si="5"/>
        <v>0</v>
      </c>
      <c r="K74" s="157"/>
      <c r="L74" s="158">
        <f t="shared" si="6"/>
        <v>0</v>
      </c>
      <c r="M74" s="158">
        <f t="shared" si="7"/>
        <v>225</v>
      </c>
    </row>
    <row r="75" spans="1:197" s="61" customFormat="1" ht="21" x14ac:dyDescent="0.35">
      <c r="A75" s="307">
        <v>17</v>
      </c>
      <c r="B75" s="46" t="s">
        <v>125</v>
      </c>
      <c r="C75" s="98" t="s">
        <v>64</v>
      </c>
      <c r="D75" s="99" t="s">
        <v>25</v>
      </c>
      <c r="E75" s="99">
        <v>0.38500000000000001</v>
      </c>
      <c r="F75" s="157">
        <f>F68*E75</f>
        <v>0.32724999999999999</v>
      </c>
      <c r="G75" s="167"/>
      <c r="H75" s="157">
        <f t="shared" si="4"/>
        <v>0</v>
      </c>
      <c r="I75" s="157"/>
      <c r="J75" s="157">
        <f t="shared" si="5"/>
        <v>0</v>
      </c>
      <c r="K75" s="157">
        <v>10</v>
      </c>
      <c r="L75" s="158">
        <f t="shared" si="6"/>
        <v>3.2725</v>
      </c>
      <c r="M75" s="158">
        <f t="shared" si="7"/>
        <v>3.2725</v>
      </c>
    </row>
    <row r="76" spans="1:197" s="63" customFormat="1" ht="21" x14ac:dyDescent="0.35">
      <c r="A76" s="309"/>
      <c r="B76" s="46"/>
      <c r="C76" s="98" t="s">
        <v>104</v>
      </c>
      <c r="D76" s="99" t="s">
        <v>25</v>
      </c>
      <c r="E76" s="99">
        <v>3.08</v>
      </c>
      <c r="F76" s="157">
        <f>E76*F68</f>
        <v>2.6179999999999999</v>
      </c>
      <c r="G76" s="164">
        <v>10</v>
      </c>
      <c r="H76" s="157">
        <f t="shared" si="4"/>
        <v>26.18</v>
      </c>
      <c r="I76" s="157"/>
      <c r="J76" s="157">
        <f t="shared" si="5"/>
        <v>0</v>
      </c>
      <c r="K76" s="157"/>
      <c r="L76" s="158">
        <f t="shared" si="6"/>
        <v>0</v>
      </c>
      <c r="M76" s="158">
        <f t="shared" si="7"/>
        <v>26.18</v>
      </c>
    </row>
    <row r="77" spans="1:197" s="51" customFormat="1" ht="42" x14ac:dyDescent="0.4">
      <c r="A77" s="307">
        <v>18</v>
      </c>
      <c r="B77" s="46" t="s">
        <v>53</v>
      </c>
      <c r="C77" s="73" t="s">
        <v>190</v>
      </c>
      <c r="D77" s="146" t="s">
        <v>78</v>
      </c>
      <c r="E77" s="74"/>
      <c r="F77" s="154">
        <v>4.0999999999999996</v>
      </c>
      <c r="G77" s="154"/>
      <c r="H77" s="157">
        <f t="shared" si="4"/>
        <v>0</v>
      </c>
      <c r="I77" s="157"/>
      <c r="J77" s="157">
        <f t="shared" si="5"/>
        <v>0</v>
      </c>
      <c r="K77" s="157"/>
      <c r="L77" s="158">
        <f t="shared" si="6"/>
        <v>0</v>
      </c>
      <c r="M77" s="158">
        <f t="shared" si="7"/>
        <v>0</v>
      </c>
    </row>
    <row r="78" spans="1:197" s="55" customFormat="1" ht="21" x14ac:dyDescent="0.35">
      <c r="A78" s="308"/>
      <c r="B78" s="56"/>
      <c r="C78" s="78" t="s">
        <v>67</v>
      </c>
      <c r="D78" s="50" t="s">
        <v>56</v>
      </c>
      <c r="E78" s="49">
        <v>5.99</v>
      </c>
      <c r="F78" s="157">
        <f>E78*F77</f>
        <v>24.558999999999997</v>
      </c>
      <c r="G78" s="157"/>
      <c r="H78" s="157">
        <f t="shared" si="4"/>
        <v>0</v>
      </c>
      <c r="I78" s="157">
        <v>3</v>
      </c>
      <c r="J78" s="157">
        <f t="shared" si="5"/>
        <v>73.676999999999992</v>
      </c>
      <c r="K78" s="157"/>
      <c r="L78" s="158">
        <f t="shared" si="6"/>
        <v>0</v>
      </c>
      <c r="M78" s="158">
        <f t="shared" si="7"/>
        <v>73.676999999999992</v>
      </c>
    </row>
    <row r="79" spans="1:197" s="55" customFormat="1" ht="21" x14ac:dyDescent="0.35">
      <c r="A79" s="309"/>
      <c r="B79" s="56" t="s">
        <v>57</v>
      </c>
      <c r="C79" s="64" t="s">
        <v>80</v>
      </c>
      <c r="D79" s="65" t="s">
        <v>55</v>
      </c>
      <c r="E79" s="49">
        <v>1.0149999999999999</v>
      </c>
      <c r="F79" s="157">
        <f>E79*F77</f>
        <v>4.1614999999999993</v>
      </c>
      <c r="G79" s="162">
        <v>220</v>
      </c>
      <c r="H79" s="157">
        <f t="shared" si="4"/>
        <v>915.52999999999986</v>
      </c>
      <c r="I79" s="157"/>
      <c r="J79" s="157">
        <f t="shared" si="5"/>
        <v>0</v>
      </c>
      <c r="K79" s="157"/>
      <c r="L79" s="158">
        <f t="shared" si="6"/>
        <v>0</v>
      </c>
      <c r="M79" s="158">
        <f t="shared" si="7"/>
        <v>915.52999999999986</v>
      </c>
    </row>
    <row r="80" spans="1:197" s="45" customFormat="1" ht="21" x14ac:dyDescent="0.2">
      <c r="A80" s="307">
        <v>20</v>
      </c>
      <c r="B80" s="46" t="s">
        <v>128</v>
      </c>
      <c r="C80" s="80" t="s">
        <v>82</v>
      </c>
      <c r="D80" s="70" t="s">
        <v>27</v>
      </c>
      <c r="E80" s="81" t="s">
        <v>83</v>
      </c>
      <c r="F80" s="161">
        <v>1.8E-3</v>
      </c>
      <c r="G80" s="162">
        <v>2000</v>
      </c>
      <c r="H80" s="157">
        <f t="shared" si="4"/>
        <v>3.6</v>
      </c>
      <c r="I80" s="157"/>
      <c r="J80" s="157">
        <f t="shared" si="5"/>
        <v>0</v>
      </c>
      <c r="K80" s="157"/>
      <c r="L80" s="158">
        <f t="shared" si="6"/>
        <v>0</v>
      </c>
      <c r="M80" s="158">
        <f t="shared" si="7"/>
        <v>3.6</v>
      </c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</row>
    <row r="81" spans="1:197" s="45" customFormat="1" ht="21" x14ac:dyDescent="0.2">
      <c r="A81" s="308"/>
      <c r="B81" s="56"/>
      <c r="C81" s="80" t="s">
        <v>85</v>
      </c>
      <c r="D81" s="70" t="s">
        <v>27</v>
      </c>
      <c r="E81" s="81" t="s">
        <v>83</v>
      </c>
      <c r="F81" s="161">
        <v>0.499</v>
      </c>
      <c r="G81" s="162">
        <v>2000</v>
      </c>
      <c r="H81" s="157">
        <f t="shared" si="4"/>
        <v>998</v>
      </c>
      <c r="I81" s="157"/>
      <c r="J81" s="157">
        <f t="shared" si="5"/>
        <v>0</v>
      </c>
      <c r="K81" s="157"/>
      <c r="L81" s="158">
        <f t="shared" si="6"/>
        <v>0</v>
      </c>
      <c r="M81" s="158">
        <f t="shared" si="7"/>
        <v>998</v>
      </c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</row>
    <row r="82" spans="1:197" s="45" customFormat="1" ht="21" x14ac:dyDescent="0.2">
      <c r="A82" s="309"/>
      <c r="B82" s="56"/>
      <c r="C82" s="64" t="s">
        <v>87</v>
      </c>
      <c r="D82" s="65" t="s">
        <v>55</v>
      </c>
      <c r="E82" s="49">
        <v>2.7799999999999998E-2</v>
      </c>
      <c r="F82" s="162">
        <f>E82*F77</f>
        <v>0.11397999999999998</v>
      </c>
      <c r="G82" s="162">
        <v>550</v>
      </c>
      <c r="H82" s="157">
        <f t="shared" si="4"/>
        <v>62.688999999999993</v>
      </c>
      <c r="I82" s="157"/>
      <c r="J82" s="157">
        <f t="shared" si="5"/>
        <v>0</v>
      </c>
      <c r="K82" s="157"/>
      <c r="L82" s="158">
        <f t="shared" si="6"/>
        <v>0</v>
      </c>
      <c r="M82" s="158">
        <f t="shared" si="7"/>
        <v>62.688999999999993</v>
      </c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</row>
    <row r="83" spans="1:197" s="96" customFormat="1" ht="21" x14ac:dyDescent="0.4">
      <c r="A83" s="321">
        <v>21</v>
      </c>
      <c r="B83" s="100" t="s">
        <v>131</v>
      </c>
      <c r="C83" s="106" t="s">
        <v>106</v>
      </c>
      <c r="D83" s="104" t="s">
        <v>107</v>
      </c>
      <c r="E83" s="69" t="s">
        <v>83</v>
      </c>
      <c r="F83" s="159">
        <v>6</v>
      </c>
      <c r="G83" s="183">
        <v>15</v>
      </c>
      <c r="H83" s="157">
        <f t="shared" si="4"/>
        <v>90</v>
      </c>
      <c r="I83" s="157"/>
      <c r="J83" s="157">
        <f t="shared" si="5"/>
        <v>0</v>
      </c>
      <c r="K83" s="157"/>
      <c r="L83" s="158">
        <f t="shared" si="6"/>
        <v>0</v>
      </c>
      <c r="M83" s="158">
        <f t="shared" si="7"/>
        <v>90</v>
      </c>
    </row>
    <row r="84" spans="1:197" s="118" customFormat="1" ht="21" x14ac:dyDescent="0.2">
      <c r="A84" s="322"/>
      <c r="B84" s="56"/>
      <c r="C84" s="80" t="s">
        <v>89</v>
      </c>
      <c r="D84" s="70" t="s">
        <v>90</v>
      </c>
      <c r="E84" s="49">
        <v>1.18</v>
      </c>
      <c r="F84" s="162">
        <f>E84*F77</f>
        <v>4.8379999999999992</v>
      </c>
      <c r="G84" s="161">
        <v>15</v>
      </c>
      <c r="H84" s="157">
        <f t="shared" si="4"/>
        <v>72.569999999999993</v>
      </c>
      <c r="I84" s="157"/>
      <c r="J84" s="157">
        <f t="shared" si="5"/>
        <v>0</v>
      </c>
      <c r="K84" s="157"/>
      <c r="L84" s="158">
        <f t="shared" si="6"/>
        <v>0</v>
      </c>
      <c r="M84" s="158">
        <f t="shared" si="7"/>
        <v>72.569999999999993</v>
      </c>
    </row>
    <row r="85" spans="1:197" s="118" customFormat="1" ht="21" x14ac:dyDescent="0.2">
      <c r="A85" s="322"/>
      <c r="B85" s="103"/>
      <c r="C85" s="80" t="s">
        <v>92</v>
      </c>
      <c r="D85" s="70" t="s">
        <v>27</v>
      </c>
      <c r="E85" s="49">
        <v>1.4E-3</v>
      </c>
      <c r="F85" s="162">
        <f>E85*F77</f>
        <v>5.7399999999999994E-3</v>
      </c>
      <c r="G85" s="161">
        <v>2000</v>
      </c>
      <c r="H85" s="157">
        <f t="shared" si="4"/>
        <v>11.479999999999999</v>
      </c>
      <c r="I85" s="157"/>
      <c r="J85" s="157">
        <f t="shared" si="5"/>
        <v>0</v>
      </c>
      <c r="K85" s="157"/>
      <c r="L85" s="158">
        <f t="shared" si="6"/>
        <v>0</v>
      </c>
      <c r="M85" s="158">
        <f t="shared" si="7"/>
        <v>11.479999999999999</v>
      </c>
    </row>
    <row r="86" spans="1:197" s="118" customFormat="1" ht="21" x14ac:dyDescent="0.2">
      <c r="A86" s="322"/>
      <c r="B86" s="79"/>
      <c r="C86" s="80" t="s">
        <v>94</v>
      </c>
      <c r="D86" s="70" t="s">
        <v>27</v>
      </c>
      <c r="E86" s="49">
        <v>1.1000000000000001E-3</v>
      </c>
      <c r="F86" s="162">
        <f>E86*F77</f>
        <v>4.5100000000000001E-3</v>
      </c>
      <c r="G86" s="161">
        <v>2000</v>
      </c>
      <c r="H86" s="157">
        <f t="shared" si="4"/>
        <v>9.02</v>
      </c>
      <c r="I86" s="157"/>
      <c r="J86" s="157">
        <f t="shared" si="5"/>
        <v>0</v>
      </c>
      <c r="K86" s="157"/>
      <c r="L86" s="158">
        <f t="shared" si="6"/>
        <v>0</v>
      </c>
      <c r="M86" s="158">
        <f t="shared" si="7"/>
        <v>9.02</v>
      </c>
    </row>
    <row r="87" spans="1:197" s="118" customFormat="1" ht="21" x14ac:dyDescent="0.2">
      <c r="A87" s="330"/>
      <c r="B87" s="52"/>
      <c r="C87" s="80" t="s">
        <v>70</v>
      </c>
      <c r="D87" s="70" t="s">
        <v>25</v>
      </c>
      <c r="E87" s="49">
        <v>1.0900000000000001</v>
      </c>
      <c r="F87" s="162">
        <f>E87*F77</f>
        <v>4.4690000000000003</v>
      </c>
      <c r="G87" s="157"/>
      <c r="H87" s="157">
        <f t="shared" si="4"/>
        <v>0</v>
      </c>
      <c r="I87" s="157"/>
      <c r="J87" s="157">
        <f t="shared" si="5"/>
        <v>0</v>
      </c>
      <c r="K87" s="157"/>
      <c r="L87" s="158">
        <f t="shared" si="6"/>
        <v>0</v>
      </c>
      <c r="M87" s="158">
        <f t="shared" si="7"/>
        <v>0</v>
      </c>
    </row>
    <row r="88" spans="1:197" s="123" customFormat="1" ht="21" x14ac:dyDescent="0.35">
      <c r="A88" s="327">
        <v>22</v>
      </c>
      <c r="B88" s="93" t="s">
        <v>136</v>
      </c>
      <c r="C88" s="80" t="s">
        <v>95</v>
      </c>
      <c r="D88" s="70" t="s">
        <v>25</v>
      </c>
      <c r="E88" s="49">
        <v>0.32</v>
      </c>
      <c r="F88" s="162">
        <f>E88*F77</f>
        <v>1.3119999999999998</v>
      </c>
      <c r="G88" s="157">
        <v>10</v>
      </c>
      <c r="H88" s="157">
        <f t="shared" si="4"/>
        <v>13.119999999999997</v>
      </c>
      <c r="I88" s="157"/>
      <c r="J88" s="157">
        <f t="shared" si="5"/>
        <v>0</v>
      </c>
      <c r="K88" s="157"/>
      <c r="L88" s="158">
        <f t="shared" si="6"/>
        <v>0</v>
      </c>
      <c r="M88" s="158">
        <f t="shared" si="7"/>
        <v>13.119999999999997</v>
      </c>
    </row>
    <row r="89" spans="1:197" s="125" customFormat="1" ht="42" x14ac:dyDescent="0.35">
      <c r="A89" s="328"/>
      <c r="B89" s="97"/>
      <c r="C89" s="73" t="s">
        <v>189</v>
      </c>
      <c r="D89" s="147" t="s">
        <v>55</v>
      </c>
      <c r="E89" s="94"/>
      <c r="F89" s="154">
        <v>0.85</v>
      </c>
      <c r="G89" s="167"/>
      <c r="H89" s="157">
        <f t="shared" si="4"/>
        <v>0</v>
      </c>
      <c r="I89" s="157"/>
      <c r="J89" s="157">
        <f t="shared" si="5"/>
        <v>0</v>
      </c>
      <c r="K89" s="157"/>
      <c r="L89" s="158">
        <f t="shared" si="6"/>
        <v>0</v>
      </c>
      <c r="M89" s="158">
        <f t="shared" si="7"/>
        <v>0</v>
      </c>
    </row>
    <row r="90" spans="1:197" s="125" customFormat="1" ht="21" x14ac:dyDescent="0.35">
      <c r="A90" s="328"/>
      <c r="B90" s="97"/>
      <c r="C90" s="98" t="s">
        <v>67</v>
      </c>
      <c r="D90" s="99" t="s">
        <v>56</v>
      </c>
      <c r="E90" s="99">
        <v>6.42</v>
      </c>
      <c r="F90" s="164">
        <f>F89*E90</f>
        <v>5.4569999999999999</v>
      </c>
      <c r="G90" s="167"/>
      <c r="H90" s="157">
        <f t="shared" si="4"/>
        <v>0</v>
      </c>
      <c r="I90" s="157">
        <v>3</v>
      </c>
      <c r="J90" s="157">
        <f t="shared" si="5"/>
        <v>16.370999999999999</v>
      </c>
      <c r="K90" s="157"/>
      <c r="L90" s="158">
        <f t="shared" si="6"/>
        <v>0</v>
      </c>
      <c r="M90" s="158">
        <f t="shared" si="7"/>
        <v>16.370999999999999</v>
      </c>
    </row>
    <row r="91" spans="1:197" s="125" customFormat="1" ht="21" x14ac:dyDescent="0.35">
      <c r="A91" s="329"/>
      <c r="B91" s="97"/>
      <c r="C91" s="64" t="s">
        <v>80</v>
      </c>
      <c r="D91" s="99" t="s">
        <v>55</v>
      </c>
      <c r="E91" s="99">
        <v>0.98699999999999999</v>
      </c>
      <c r="F91" s="164">
        <f>F89*E91</f>
        <v>0.83894999999999997</v>
      </c>
      <c r="G91" s="162">
        <v>220</v>
      </c>
      <c r="H91" s="157">
        <f t="shared" si="4"/>
        <v>184.56899999999999</v>
      </c>
      <c r="I91" s="157"/>
      <c r="J91" s="157">
        <f t="shared" si="5"/>
        <v>0</v>
      </c>
      <c r="K91" s="157"/>
      <c r="L91" s="158">
        <f t="shared" si="6"/>
        <v>0</v>
      </c>
      <c r="M91" s="158">
        <f t="shared" si="7"/>
        <v>184.56899999999999</v>
      </c>
    </row>
    <row r="92" spans="1:197" s="96" customFormat="1" ht="21" x14ac:dyDescent="0.2">
      <c r="A92" s="307">
        <v>23</v>
      </c>
      <c r="B92" s="100" t="s">
        <v>139</v>
      </c>
      <c r="C92" s="80" t="s">
        <v>82</v>
      </c>
      <c r="D92" s="70" t="s">
        <v>27</v>
      </c>
      <c r="E92" s="81" t="s">
        <v>83</v>
      </c>
      <c r="F92" s="161">
        <v>1.8E-3</v>
      </c>
      <c r="G92" s="162">
        <v>2000</v>
      </c>
      <c r="H92" s="157">
        <f t="shared" si="4"/>
        <v>3.6</v>
      </c>
      <c r="I92" s="157"/>
      <c r="J92" s="157">
        <f t="shared" si="5"/>
        <v>0</v>
      </c>
      <c r="K92" s="157"/>
      <c r="L92" s="158">
        <f t="shared" si="6"/>
        <v>0</v>
      </c>
      <c r="M92" s="158">
        <f t="shared" si="7"/>
        <v>3.6</v>
      </c>
    </row>
    <row r="93" spans="1:197" s="96" customFormat="1" ht="21" x14ac:dyDescent="0.2">
      <c r="A93" s="308"/>
      <c r="B93" s="56"/>
      <c r="C93" s="80" t="s">
        <v>85</v>
      </c>
      <c r="D93" s="70" t="s">
        <v>27</v>
      </c>
      <c r="E93" s="81" t="s">
        <v>83</v>
      </c>
      <c r="F93" s="161">
        <v>0.1305</v>
      </c>
      <c r="G93" s="162">
        <v>2000</v>
      </c>
      <c r="H93" s="157">
        <f t="shared" si="4"/>
        <v>261</v>
      </c>
      <c r="I93" s="157"/>
      <c r="J93" s="157">
        <f t="shared" si="5"/>
        <v>0</v>
      </c>
      <c r="K93" s="157"/>
      <c r="L93" s="158">
        <f t="shared" si="6"/>
        <v>0</v>
      </c>
      <c r="M93" s="158">
        <f t="shared" si="7"/>
        <v>261</v>
      </c>
    </row>
    <row r="94" spans="1:197" s="96" customFormat="1" ht="21" x14ac:dyDescent="0.4">
      <c r="A94" s="308"/>
      <c r="B94" s="128"/>
      <c r="C94" s="98" t="s">
        <v>184</v>
      </c>
      <c r="D94" s="99" t="s">
        <v>26</v>
      </c>
      <c r="E94" s="99" t="s">
        <v>83</v>
      </c>
      <c r="F94" s="164">
        <v>1</v>
      </c>
      <c r="G94" s="165">
        <v>250</v>
      </c>
      <c r="H94" s="157">
        <f t="shared" si="4"/>
        <v>250</v>
      </c>
      <c r="I94" s="157"/>
      <c r="J94" s="157">
        <f t="shared" si="5"/>
        <v>0</v>
      </c>
      <c r="K94" s="157"/>
      <c r="L94" s="158">
        <f t="shared" si="6"/>
        <v>0</v>
      </c>
      <c r="M94" s="158">
        <f t="shared" si="7"/>
        <v>250</v>
      </c>
    </row>
    <row r="95" spans="1:197" s="96" customFormat="1" ht="21" x14ac:dyDescent="0.2">
      <c r="A95" s="308"/>
      <c r="B95" s="56"/>
      <c r="C95" s="98" t="s">
        <v>89</v>
      </c>
      <c r="D95" s="99" t="s">
        <v>90</v>
      </c>
      <c r="E95" s="99" t="s">
        <v>83</v>
      </c>
      <c r="F95" s="165">
        <v>15</v>
      </c>
      <c r="G95" s="165">
        <v>15</v>
      </c>
      <c r="H95" s="157">
        <f t="shared" si="4"/>
        <v>225</v>
      </c>
      <c r="I95" s="157"/>
      <c r="J95" s="157">
        <f t="shared" si="5"/>
        <v>0</v>
      </c>
      <c r="K95" s="157"/>
      <c r="L95" s="158">
        <f t="shared" si="6"/>
        <v>0</v>
      </c>
      <c r="M95" s="158">
        <f t="shared" si="7"/>
        <v>225</v>
      </c>
    </row>
    <row r="96" spans="1:197" s="96" customFormat="1" ht="21" x14ac:dyDescent="0.2">
      <c r="A96" s="308"/>
      <c r="B96" s="56"/>
      <c r="C96" s="98" t="s">
        <v>64</v>
      </c>
      <c r="D96" s="99" t="s">
        <v>25</v>
      </c>
      <c r="E96" s="99">
        <v>0.38500000000000001</v>
      </c>
      <c r="F96" s="157">
        <f>F89*E96</f>
        <v>0.32724999999999999</v>
      </c>
      <c r="G96" s="167"/>
      <c r="H96" s="157">
        <f t="shared" si="4"/>
        <v>0</v>
      </c>
      <c r="I96" s="157"/>
      <c r="J96" s="157">
        <f t="shared" si="5"/>
        <v>0</v>
      </c>
      <c r="K96" s="157">
        <v>10</v>
      </c>
      <c r="L96" s="158">
        <f t="shared" si="6"/>
        <v>3.2725</v>
      </c>
      <c r="M96" s="158">
        <f t="shared" si="7"/>
        <v>3.2725</v>
      </c>
    </row>
    <row r="97" spans="1:197" s="96" customFormat="1" ht="21" x14ac:dyDescent="0.2">
      <c r="A97" s="308"/>
      <c r="B97" s="56"/>
      <c r="C97" s="108" t="s">
        <v>104</v>
      </c>
      <c r="D97" s="109" t="s">
        <v>25</v>
      </c>
      <c r="E97" s="109">
        <v>3.08</v>
      </c>
      <c r="F97" s="166">
        <f>E97*F89</f>
        <v>2.6179999999999999</v>
      </c>
      <c r="G97" s="168">
        <v>10</v>
      </c>
      <c r="H97" s="157">
        <f t="shared" si="4"/>
        <v>26.18</v>
      </c>
      <c r="I97" s="157"/>
      <c r="J97" s="157">
        <f t="shared" si="5"/>
        <v>0</v>
      </c>
      <c r="K97" s="157"/>
      <c r="L97" s="158">
        <f t="shared" si="6"/>
        <v>0</v>
      </c>
      <c r="M97" s="158">
        <f t="shared" si="7"/>
        <v>26.18</v>
      </c>
    </row>
    <row r="98" spans="1:197" s="96" customFormat="1" ht="42" x14ac:dyDescent="0.2">
      <c r="A98" s="308"/>
      <c r="B98" s="56"/>
      <c r="C98" s="101" t="s">
        <v>109</v>
      </c>
      <c r="D98" s="110" t="s">
        <v>90</v>
      </c>
      <c r="E98" s="147"/>
      <c r="F98" s="154">
        <v>10</v>
      </c>
      <c r="G98" s="167"/>
      <c r="H98" s="157">
        <f t="shared" si="4"/>
        <v>0</v>
      </c>
      <c r="I98" s="157"/>
      <c r="J98" s="157">
        <f t="shared" si="5"/>
        <v>0</v>
      </c>
      <c r="K98" s="157"/>
      <c r="L98" s="158">
        <f t="shared" si="6"/>
        <v>0</v>
      </c>
      <c r="M98" s="158">
        <f t="shared" si="7"/>
        <v>0</v>
      </c>
    </row>
    <row r="99" spans="1:197" s="96" customFormat="1" ht="21" x14ac:dyDescent="0.4">
      <c r="A99" s="308"/>
      <c r="B99" s="79"/>
      <c r="C99" s="111" t="s">
        <v>110</v>
      </c>
      <c r="D99" s="49" t="s">
        <v>56</v>
      </c>
      <c r="E99" s="112">
        <v>0.26400000000000001</v>
      </c>
      <c r="F99" s="159">
        <f>E99*F98</f>
        <v>2.64</v>
      </c>
      <c r="G99" s="167"/>
      <c r="H99" s="157">
        <f t="shared" si="4"/>
        <v>0</v>
      </c>
      <c r="I99" s="157">
        <v>3</v>
      </c>
      <c r="J99" s="157">
        <f t="shared" si="5"/>
        <v>7.92</v>
      </c>
      <c r="K99" s="157"/>
      <c r="L99" s="158">
        <f t="shared" si="6"/>
        <v>0</v>
      </c>
      <c r="M99" s="158">
        <f t="shared" si="7"/>
        <v>7.92</v>
      </c>
    </row>
    <row r="100" spans="1:197" s="96" customFormat="1" ht="21" x14ac:dyDescent="0.4">
      <c r="A100" s="309"/>
      <c r="B100" s="56"/>
      <c r="C100" s="111" t="s">
        <v>112</v>
      </c>
      <c r="D100" s="65" t="s">
        <v>27</v>
      </c>
      <c r="E100" s="112">
        <v>2.3999999999999998E-3</v>
      </c>
      <c r="F100" s="159">
        <f>E100*F98</f>
        <v>2.3999999999999997E-2</v>
      </c>
      <c r="G100" s="164">
        <v>1000</v>
      </c>
      <c r="H100" s="157">
        <f t="shared" si="4"/>
        <v>23.999999999999996</v>
      </c>
      <c r="I100" s="157"/>
      <c r="J100" s="157">
        <f t="shared" si="5"/>
        <v>0</v>
      </c>
      <c r="K100" s="157"/>
      <c r="L100" s="158">
        <f t="shared" si="6"/>
        <v>0</v>
      </c>
      <c r="M100" s="158">
        <f t="shared" si="7"/>
        <v>23.999999999999996</v>
      </c>
    </row>
    <row r="101" spans="1:197" s="45" customFormat="1" ht="21" x14ac:dyDescent="0.4">
      <c r="A101" s="307">
        <v>24</v>
      </c>
      <c r="B101" s="46" t="s">
        <v>128</v>
      </c>
      <c r="C101" s="111" t="s">
        <v>24</v>
      </c>
      <c r="D101" s="65" t="s">
        <v>25</v>
      </c>
      <c r="E101" s="112">
        <v>5.4000000000000003E-3</v>
      </c>
      <c r="F101" s="159">
        <f>E101*F98</f>
        <v>5.4000000000000006E-2</v>
      </c>
      <c r="G101" s="167"/>
      <c r="H101" s="157">
        <f t="shared" si="4"/>
        <v>0</v>
      </c>
      <c r="I101" s="157"/>
      <c r="J101" s="157">
        <f t="shared" si="5"/>
        <v>0</v>
      </c>
      <c r="K101" s="157">
        <v>10</v>
      </c>
      <c r="L101" s="158">
        <f t="shared" si="6"/>
        <v>0.54</v>
      </c>
      <c r="M101" s="158">
        <f t="shared" si="7"/>
        <v>0.54</v>
      </c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</row>
    <row r="102" spans="1:197" s="45" customFormat="1" ht="21" x14ac:dyDescent="0.4">
      <c r="A102" s="308"/>
      <c r="B102" s="56"/>
      <c r="C102" s="111" t="s">
        <v>114</v>
      </c>
      <c r="D102" s="65" t="s">
        <v>90</v>
      </c>
      <c r="E102" s="112">
        <v>1.1100000000000001</v>
      </c>
      <c r="F102" s="159">
        <f>E102*F98</f>
        <v>11.100000000000001</v>
      </c>
      <c r="G102" s="164">
        <v>15</v>
      </c>
      <c r="H102" s="157">
        <f t="shared" si="4"/>
        <v>166.50000000000003</v>
      </c>
      <c r="I102" s="157"/>
      <c r="J102" s="157">
        <f t="shared" si="5"/>
        <v>0</v>
      </c>
      <c r="K102" s="157"/>
      <c r="L102" s="158">
        <f t="shared" si="6"/>
        <v>0</v>
      </c>
      <c r="M102" s="158">
        <f t="shared" si="7"/>
        <v>166.50000000000003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</row>
    <row r="103" spans="1:197" s="45" customFormat="1" ht="21" x14ac:dyDescent="0.2">
      <c r="A103" s="309"/>
      <c r="B103" s="56"/>
      <c r="C103" s="111" t="s">
        <v>116</v>
      </c>
      <c r="D103" s="65" t="s">
        <v>90</v>
      </c>
      <c r="E103" s="112">
        <v>1.1100000000000001</v>
      </c>
      <c r="F103" s="162">
        <f>E103*F98</f>
        <v>11.100000000000001</v>
      </c>
      <c r="G103" s="164">
        <v>15</v>
      </c>
      <c r="H103" s="157">
        <f t="shared" si="4"/>
        <v>166.50000000000003</v>
      </c>
      <c r="I103" s="157"/>
      <c r="J103" s="157">
        <f t="shared" si="5"/>
        <v>0</v>
      </c>
      <c r="K103" s="157"/>
      <c r="L103" s="158">
        <f t="shared" si="6"/>
        <v>0</v>
      </c>
      <c r="M103" s="158">
        <f t="shared" si="7"/>
        <v>166.50000000000003</v>
      </c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</row>
    <row r="104" spans="1:197" s="61" customFormat="1" ht="21" x14ac:dyDescent="0.35">
      <c r="A104" s="307">
        <v>25</v>
      </c>
      <c r="B104" s="46" t="s">
        <v>146</v>
      </c>
      <c r="C104" s="111" t="s">
        <v>24</v>
      </c>
      <c r="D104" s="49" t="s">
        <v>25</v>
      </c>
      <c r="E104" s="112">
        <v>5.4000000000000003E-3</v>
      </c>
      <c r="F104" s="157">
        <f>E104*F98</f>
        <v>5.4000000000000006E-2</v>
      </c>
      <c r="G104" s="164">
        <v>10</v>
      </c>
      <c r="H104" s="157">
        <f t="shared" si="4"/>
        <v>0.54</v>
      </c>
      <c r="I104" s="157"/>
      <c r="J104" s="157">
        <f t="shared" si="5"/>
        <v>0</v>
      </c>
      <c r="K104" s="157"/>
      <c r="L104" s="158">
        <f t="shared" si="6"/>
        <v>0</v>
      </c>
      <c r="M104" s="158">
        <f t="shared" si="7"/>
        <v>0.54</v>
      </c>
    </row>
    <row r="105" spans="1:197" s="63" customFormat="1" ht="42" x14ac:dyDescent="0.4">
      <c r="A105" s="309"/>
      <c r="B105" s="129"/>
      <c r="C105" s="59" t="s">
        <v>117</v>
      </c>
      <c r="D105" s="146" t="s">
        <v>73</v>
      </c>
      <c r="E105" s="146"/>
      <c r="F105" s="160">
        <v>2.67</v>
      </c>
      <c r="G105" s="159"/>
      <c r="H105" s="157">
        <f t="shared" si="4"/>
        <v>0</v>
      </c>
      <c r="I105" s="157"/>
      <c r="J105" s="157">
        <f t="shared" si="5"/>
        <v>0</v>
      </c>
      <c r="K105" s="157"/>
      <c r="L105" s="158">
        <f t="shared" si="6"/>
        <v>0</v>
      </c>
      <c r="M105" s="158">
        <f t="shared" si="7"/>
        <v>0</v>
      </c>
    </row>
    <row r="106" spans="1:197" s="51" customFormat="1" ht="21" x14ac:dyDescent="0.2">
      <c r="A106" s="307">
        <v>27</v>
      </c>
      <c r="B106" s="46" t="s">
        <v>148</v>
      </c>
      <c r="C106" s="60" t="s">
        <v>61</v>
      </c>
      <c r="D106" s="49" t="s">
        <v>56</v>
      </c>
      <c r="E106" s="49">
        <v>1.78</v>
      </c>
      <c r="F106" s="157">
        <f>E106*F105</f>
        <v>4.7526000000000002</v>
      </c>
      <c r="G106" s="157"/>
      <c r="H106" s="157">
        <f t="shared" si="4"/>
        <v>0</v>
      </c>
      <c r="I106" s="157">
        <v>3</v>
      </c>
      <c r="J106" s="157">
        <f t="shared" si="5"/>
        <v>14.2578</v>
      </c>
      <c r="K106" s="157"/>
      <c r="L106" s="158">
        <f t="shared" si="6"/>
        <v>0</v>
      </c>
      <c r="M106" s="158">
        <f t="shared" si="7"/>
        <v>14.2578</v>
      </c>
      <c r="N106" s="131"/>
      <c r="O106" s="132"/>
      <c r="P106" s="132"/>
      <c r="Q106" s="132"/>
      <c r="R106" s="132"/>
      <c r="AD106" s="51">
        <f>525.6+75.68</f>
        <v>601.28</v>
      </c>
    </row>
    <row r="107" spans="1:197" s="55" customFormat="1" ht="24" x14ac:dyDescent="0.2">
      <c r="A107" s="308"/>
      <c r="B107" s="56"/>
      <c r="C107" s="60" t="s">
        <v>119</v>
      </c>
      <c r="D107" s="49" t="s">
        <v>76</v>
      </c>
      <c r="E107" s="81" t="s">
        <v>83</v>
      </c>
      <c r="F107" s="157">
        <v>0.12</v>
      </c>
      <c r="G107" s="157">
        <v>10</v>
      </c>
      <c r="H107" s="157">
        <f t="shared" si="4"/>
        <v>1.2</v>
      </c>
      <c r="I107" s="157"/>
      <c r="J107" s="157">
        <f t="shared" si="5"/>
        <v>0</v>
      </c>
      <c r="K107" s="157"/>
      <c r="L107" s="158">
        <f t="shared" si="6"/>
        <v>0</v>
      </c>
      <c r="M107" s="158">
        <f t="shared" si="7"/>
        <v>1.2</v>
      </c>
      <c r="N107" s="131"/>
      <c r="O107" s="132"/>
      <c r="P107" s="132"/>
      <c r="Q107" s="132"/>
      <c r="R107" s="132"/>
    </row>
    <row r="108" spans="1:197" s="105" customFormat="1" ht="24" x14ac:dyDescent="0.2">
      <c r="A108" s="308"/>
      <c r="B108" s="103"/>
      <c r="C108" s="60" t="s">
        <v>121</v>
      </c>
      <c r="D108" s="49" t="s">
        <v>76</v>
      </c>
      <c r="E108" s="81" t="s">
        <v>83</v>
      </c>
      <c r="F108" s="157">
        <v>0.12</v>
      </c>
      <c r="G108" s="157">
        <v>20</v>
      </c>
      <c r="H108" s="157">
        <f t="shared" si="4"/>
        <v>2.4</v>
      </c>
      <c r="I108" s="157"/>
      <c r="J108" s="157">
        <f t="shared" si="5"/>
        <v>0</v>
      </c>
      <c r="K108" s="157"/>
      <c r="L108" s="158">
        <f t="shared" si="6"/>
        <v>0</v>
      </c>
      <c r="M108" s="158">
        <f t="shared" si="7"/>
        <v>2.4</v>
      </c>
      <c r="N108" s="131"/>
      <c r="O108" s="132"/>
      <c r="P108" s="132"/>
      <c r="Q108" s="132"/>
      <c r="R108" s="132"/>
      <c r="S108" s="133"/>
      <c r="T108" s="133"/>
      <c r="U108" s="133"/>
      <c r="V108" s="133"/>
      <c r="W108" s="133"/>
      <c r="X108" s="133"/>
      <c r="Y108" s="133"/>
      <c r="Z108" s="133"/>
      <c r="AA108" s="133"/>
      <c r="AB108" s="55"/>
      <c r="AC108" s="55"/>
      <c r="AD108" s="55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</row>
    <row r="109" spans="1:197" s="105" customFormat="1" ht="24" x14ac:dyDescent="0.2">
      <c r="A109" s="308"/>
      <c r="B109" s="103"/>
      <c r="C109" s="114" t="s">
        <v>123</v>
      </c>
      <c r="D109" s="49" t="s">
        <v>76</v>
      </c>
      <c r="E109" s="81" t="s">
        <v>83</v>
      </c>
      <c r="F109" s="157">
        <v>0.12</v>
      </c>
      <c r="G109" s="157">
        <v>30</v>
      </c>
      <c r="H109" s="157">
        <f t="shared" si="4"/>
        <v>3.5999999999999996</v>
      </c>
      <c r="I109" s="157"/>
      <c r="J109" s="157">
        <f t="shared" si="5"/>
        <v>0</v>
      </c>
      <c r="K109" s="157"/>
      <c r="L109" s="158">
        <f t="shared" si="6"/>
        <v>0</v>
      </c>
      <c r="M109" s="158">
        <f t="shared" si="7"/>
        <v>3.5999999999999996</v>
      </c>
      <c r="N109" s="131"/>
      <c r="O109" s="132"/>
      <c r="P109" s="132"/>
      <c r="Q109" s="132"/>
      <c r="R109" s="132"/>
      <c r="S109" s="133"/>
      <c r="T109" s="133"/>
      <c r="U109" s="133"/>
      <c r="V109" s="133"/>
      <c r="W109" s="133"/>
      <c r="X109" s="133"/>
      <c r="Y109" s="133"/>
      <c r="Z109" s="133"/>
      <c r="AA109" s="133"/>
      <c r="AB109" s="55"/>
      <c r="AC109" s="55"/>
      <c r="AD109" s="55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</row>
    <row r="110" spans="1:197" s="105" customFormat="1" ht="24" x14ac:dyDescent="0.2">
      <c r="A110" s="308"/>
      <c r="B110" s="103"/>
      <c r="C110" s="98" t="s">
        <v>124</v>
      </c>
      <c r="D110" s="49" t="s">
        <v>76</v>
      </c>
      <c r="E110" s="99" t="s">
        <v>83</v>
      </c>
      <c r="F110" s="157">
        <v>0.25</v>
      </c>
      <c r="G110" s="164">
        <v>10</v>
      </c>
      <c r="H110" s="157">
        <f t="shared" si="4"/>
        <v>2.5</v>
      </c>
      <c r="I110" s="157"/>
      <c r="J110" s="157">
        <f t="shared" si="5"/>
        <v>0</v>
      </c>
      <c r="K110" s="157"/>
      <c r="L110" s="158">
        <f t="shared" si="6"/>
        <v>0</v>
      </c>
      <c r="M110" s="158">
        <f t="shared" si="7"/>
        <v>2.5</v>
      </c>
      <c r="N110" s="131"/>
      <c r="O110" s="132"/>
      <c r="P110" s="132"/>
      <c r="Q110" s="132"/>
      <c r="R110" s="132"/>
      <c r="S110" s="133"/>
      <c r="T110" s="133"/>
      <c r="U110" s="133"/>
      <c r="V110" s="133"/>
      <c r="W110" s="133"/>
      <c r="X110" s="133"/>
      <c r="Y110" s="133"/>
      <c r="Z110" s="133"/>
      <c r="AA110" s="133"/>
      <c r="AB110" s="55"/>
      <c r="AC110" s="55"/>
      <c r="AD110" s="55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</row>
    <row r="111" spans="1:197" s="55" customFormat="1" ht="42" x14ac:dyDescent="0.2">
      <c r="A111" s="308"/>
      <c r="B111" s="56"/>
      <c r="C111" s="101" t="s">
        <v>191</v>
      </c>
      <c r="D111" s="146" t="s">
        <v>78</v>
      </c>
      <c r="E111" s="146"/>
      <c r="F111" s="154">
        <v>105</v>
      </c>
      <c r="G111" s="154"/>
      <c r="H111" s="157">
        <f t="shared" si="4"/>
        <v>0</v>
      </c>
      <c r="I111" s="157"/>
      <c r="J111" s="157">
        <f t="shared" si="5"/>
        <v>0</v>
      </c>
      <c r="K111" s="157"/>
      <c r="L111" s="158">
        <f t="shared" si="6"/>
        <v>0</v>
      </c>
      <c r="M111" s="158">
        <f t="shared" si="7"/>
        <v>0</v>
      </c>
      <c r="N111" s="131"/>
      <c r="O111" s="132"/>
      <c r="P111" s="132"/>
      <c r="Q111" s="132"/>
      <c r="R111" s="132"/>
    </row>
    <row r="112" spans="1:197" s="55" customFormat="1" ht="21" x14ac:dyDescent="0.2">
      <c r="A112" s="308"/>
      <c r="B112" s="56"/>
      <c r="C112" s="115" t="s">
        <v>23</v>
      </c>
      <c r="D112" s="49" t="s">
        <v>56</v>
      </c>
      <c r="E112" s="49">
        <v>2.99</v>
      </c>
      <c r="F112" s="157">
        <f>F111*E112</f>
        <v>313.95000000000005</v>
      </c>
      <c r="G112" s="157"/>
      <c r="H112" s="157">
        <f t="shared" si="4"/>
        <v>0</v>
      </c>
      <c r="I112" s="157">
        <v>3</v>
      </c>
      <c r="J112" s="157">
        <f t="shared" si="5"/>
        <v>941.85000000000014</v>
      </c>
      <c r="K112" s="157"/>
      <c r="L112" s="158">
        <f t="shared" si="6"/>
        <v>0</v>
      </c>
      <c r="M112" s="158">
        <f t="shared" si="7"/>
        <v>941.85000000000014</v>
      </c>
      <c r="N112" s="131"/>
      <c r="O112" s="132"/>
      <c r="P112" s="132"/>
      <c r="Q112" s="132"/>
      <c r="R112" s="132"/>
    </row>
    <row r="113" spans="1:74" s="105" customFormat="1" ht="63" x14ac:dyDescent="0.2">
      <c r="A113" s="309"/>
      <c r="B113" s="103"/>
      <c r="C113" s="47" t="s">
        <v>126</v>
      </c>
      <c r="D113" s="146" t="s">
        <v>55</v>
      </c>
      <c r="E113" s="48"/>
      <c r="F113" s="154">
        <v>37.5</v>
      </c>
      <c r="G113" s="154"/>
      <c r="H113" s="157">
        <f t="shared" si="4"/>
        <v>0</v>
      </c>
      <c r="I113" s="157"/>
      <c r="J113" s="157">
        <f t="shared" si="5"/>
        <v>0</v>
      </c>
      <c r="K113" s="157"/>
      <c r="L113" s="158">
        <f t="shared" si="6"/>
        <v>0</v>
      </c>
      <c r="M113" s="158">
        <f t="shared" si="7"/>
        <v>0</v>
      </c>
      <c r="N113" s="131"/>
      <c r="O113" s="132"/>
      <c r="P113" s="132"/>
      <c r="Q113" s="132"/>
      <c r="R113" s="132"/>
      <c r="S113" s="133"/>
      <c r="T113" s="133"/>
      <c r="U113" s="133"/>
      <c r="V113" s="133"/>
      <c r="W113" s="133"/>
      <c r="X113" s="133"/>
      <c r="Y113" s="133"/>
      <c r="Z113" s="133"/>
      <c r="AA113" s="133"/>
      <c r="AB113" s="55"/>
      <c r="AC113" s="55"/>
      <c r="AD113" s="55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</row>
    <row r="114" spans="1:74" s="96" customFormat="1" ht="21" x14ac:dyDescent="0.2">
      <c r="A114" s="307">
        <v>28</v>
      </c>
      <c r="B114" s="100" t="s">
        <v>139</v>
      </c>
      <c r="C114" s="57" t="s">
        <v>23</v>
      </c>
      <c r="D114" s="49" t="s">
        <v>56</v>
      </c>
      <c r="E114" s="50">
        <f>1247/100</f>
        <v>12.47</v>
      </c>
      <c r="F114" s="157">
        <f>E114*F113</f>
        <v>467.625</v>
      </c>
      <c r="G114" s="157"/>
      <c r="H114" s="157">
        <f t="shared" si="4"/>
        <v>0</v>
      </c>
      <c r="I114" s="157">
        <v>3</v>
      </c>
      <c r="J114" s="157">
        <f t="shared" si="5"/>
        <v>1402.875</v>
      </c>
      <c r="K114" s="157"/>
      <c r="L114" s="158">
        <f t="shared" si="6"/>
        <v>0</v>
      </c>
      <c r="M114" s="158">
        <f t="shared" si="7"/>
        <v>1402.875</v>
      </c>
    </row>
    <row r="115" spans="1:74" s="96" customFormat="1" ht="21" x14ac:dyDescent="0.2">
      <c r="A115" s="308"/>
      <c r="B115" s="56"/>
      <c r="C115" s="58" t="s">
        <v>58</v>
      </c>
      <c r="D115" s="49" t="s">
        <v>52</v>
      </c>
      <c r="E115" s="50">
        <f>347/100</f>
        <v>3.47</v>
      </c>
      <c r="F115" s="157">
        <f>E115*F113</f>
        <v>130.125</v>
      </c>
      <c r="G115" s="157"/>
      <c r="H115" s="157">
        <f t="shared" si="4"/>
        <v>0</v>
      </c>
      <c r="I115" s="157"/>
      <c r="J115" s="157">
        <f t="shared" si="5"/>
        <v>0</v>
      </c>
      <c r="K115" s="157">
        <v>15</v>
      </c>
      <c r="L115" s="158">
        <f t="shared" si="6"/>
        <v>1951.875</v>
      </c>
      <c r="M115" s="158">
        <f t="shared" si="7"/>
        <v>1951.875</v>
      </c>
    </row>
    <row r="116" spans="1:74" s="96" customFormat="1" ht="63" x14ac:dyDescent="0.4">
      <c r="A116" s="308"/>
      <c r="B116" s="128"/>
      <c r="C116" s="47" t="s">
        <v>192</v>
      </c>
      <c r="D116" s="146" t="s">
        <v>55</v>
      </c>
      <c r="E116" s="48"/>
      <c r="F116" s="154">
        <v>330</v>
      </c>
      <c r="G116" s="154"/>
      <c r="H116" s="157">
        <f t="shared" si="4"/>
        <v>0</v>
      </c>
      <c r="I116" s="157"/>
      <c r="J116" s="157">
        <f t="shared" si="5"/>
        <v>0</v>
      </c>
      <c r="K116" s="157">
        <v>5</v>
      </c>
      <c r="L116" s="158">
        <f t="shared" si="6"/>
        <v>1650</v>
      </c>
      <c r="M116" s="158">
        <f t="shared" si="7"/>
        <v>1650</v>
      </c>
    </row>
    <row r="117" spans="1:74" s="96" customFormat="1" ht="42" x14ac:dyDescent="0.4">
      <c r="A117" s="308"/>
      <c r="B117" s="56"/>
      <c r="C117" s="59" t="s">
        <v>129</v>
      </c>
      <c r="D117" s="146" t="s">
        <v>73</v>
      </c>
      <c r="E117" s="146"/>
      <c r="F117" s="160">
        <v>94.5</v>
      </c>
      <c r="G117" s="159"/>
      <c r="H117" s="157">
        <f t="shared" si="4"/>
        <v>0</v>
      </c>
      <c r="I117" s="157"/>
      <c r="J117" s="157">
        <f t="shared" si="5"/>
        <v>0</v>
      </c>
      <c r="K117" s="157"/>
      <c r="L117" s="158">
        <f t="shared" si="6"/>
        <v>0</v>
      </c>
      <c r="M117" s="158">
        <f t="shared" si="7"/>
        <v>0</v>
      </c>
    </row>
    <row r="118" spans="1:74" s="96" customFormat="1" ht="21" x14ac:dyDescent="0.2">
      <c r="A118" s="308"/>
      <c r="B118" s="56"/>
      <c r="C118" s="60" t="s">
        <v>61</v>
      </c>
      <c r="D118" s="49" t="s">
        <v>56</v>
      </c>
      <c r="E118" s="49">
        <v>1.78</v>
      </c>
      <c r="F118" s="157">
        <f>E118*F117</f>
        <v>168.21</v>
      </c>
      <c r="G118" s="157"/>
      <c r="H118" s="157">
        <f t="shared" si="4"/>
        <v>0</v>
      </c>
      <c r="I118" s="157">
        <v>3</v>
      </c>
      <c r="J118" s="157">
        <f t="shared" si="5"/>
        <v>504.63</v>
      </c>
      <c r="K118" s="157"/>
      <c r="L118" s="158">
        <f t="shared" si="6"/>
        <v>0</v>
      </c>
      <c r="M118" s="158">
        <f t="shared" si="7"/>
        <v>504.63</v>
      </c>
    </row>
    <row r="119" spans="1:74" s="96" customFormat="1" ht="24" x14ac:dyDescent="0.2">
      <c r="A119" s="308"/>
      <c r="B119" s="56"/>
      <c r="C119" s="60" t="s">
        <v>130</v>
      </c>
      <c r="D119" s="49" t="s">
        <v>76</v>
      </c>
      <c r="E119" s="49">
        <v>1.1000000000000001</v>
      </c>
      <c r="F119" s="157">
        <f>E119*F117</f>
        <v>103.95</v>
      </c>
      <c r="G119" s="157">
        <v>6</v>
      </c>
      <c r="H119" s="157">
        <f t="shared" si="4"/>
        <v>623.70000000000005</v>
      </c>
      <c r="I119" s="157"/>
      <c r="J119" s="157">
        <f t="shared" si="5"/>
        <v>0</v>
      </c>
      <c r="K119" s="157"/>
      <c r="L119" s="158">
        <f t="shared" si="6"/>
        <v>0</v>
      </c>
      <c r="M119" s="158">
        <f t="shared" si="7"/>
        <v>623.70000000000005</v>
      </c>
    </row>
    <row r="120" spans="1:74" s="96" customFormat="1" ht="42" x14ac:dyDescent="0.2">
      <c r="A120" s="308"/>
      <c r="B120" s="79"/>
      <c r="C120" s="101" t="s">
        <v>132</v>
      </c>
      <c r="D120" s="102" t="s">
        <v>133</v>
      </c>
      <c r="E120" s="95"/>
      <c r="F120" s="167">
        <v>3820</v>
      </c>
      <c r="G120" s="167"/>
      <c r="H120" s="157">
        <f t="shared" si="4"/>
        <v>0</v>
      </c>
      <c r="I120" s="157"/>
      <c r="J120" s="157">
        <f t="shared" si="5"/>
        <v>0</v>
      </c>
      <c r="K120" s="157"/>
      <c r="L120" s="158">
        <f t="shared" si="6"/>
        <v>0</v>
      </c>
      <c r="M120" s="158">
        <f t="shared" si="7"/>
        <v>0</v>
      </c>
    </row>
    <row r="121" spans="1:74" s="96" customFormat="1" ht="21" x14ac:dyDescent="0.2">
      <c r="A121" s="309"/>
      <c r="B121" s="56"/>
      <c r="C121" s="116" t="s">
        <v>110</v>
      </c>
      <c r="D121" s="49" t="s">
        <v>56</v>
      </c>
      <c r="E121" s="117">
        <v>9.5899999999999999E-2</v>
      </c>
      <c r="F121" s="164">
        <f>F120*E121</f>
        <v>366.33800000000002</v>
      </c>
      <c r="G121" s="164"/>
      <c r="H121" s="157">
        <f t="shared" si="4"/>
        <v>0</v>
      </c>
      <c r="I121" s="157">
        <v>3</v>
      </c>
      <c r="J121" s="157">
        <f t="shared" si="5"/>
        <v>1099.0140000000001</v>
      </c>
      <c r="K121" s="157"/>
      <c r="L121" s="158">
        <f t="shared" si="6"/>
        <v>0</v>
      </c>
      <c r="M121" s="158">
        <f t="shared" si="7"/>
        <v>1099.0140000000001</v>
      </c>
    </row>
    <row r="122" spans="1:74" s="88" customFormat="1" ht="42" x14ac:dyDescent="0.35">
      <c r="A122" s="324">
        <v>29</v>
      </c>
      <c r="B122" s="85" t="s">
        <v>127</v>
      </c>
      <c r="C122" s="114" t="s">
        <v>193</v>
      </c>
      <c r="D122" s="49" t="s">
        <v>134</v>
      </c>
      <c r="E122" s="117" t="s">
        <v>83</v>
      </c>
      <c r="F122" s="164">
        <v>700</v>
      </c>
      <c r="G122" s="164">
        <v>5.5</v>
      </c>
      <c r="H122" s="157">
        <f t="shared" si="4"/>
        <v>3850</v>
      </c>
      <c r="I122" s="157"/>
      <c r="J122" s="157">
        <f t="shared" si="5"/>
        <v>0</v>
      </c>
      <c r="K122" s="157"/>
      <c r="L122" s="158">
        <f t="shared" si="6"/>
        <v>0</v>
      </c>
      <c r="M122" s="158">
        <f t="shared" si="7"/>
        <v>3850</v>
      </c>
    </row>
    <row r="123" spans="1:74" s="88" customFormat="1" ht="42" x14ac:dyDescent="0.35">
      <c r="A123" s="325"/>
      <c r="B123" s="46"/>
      <c r="C123" s="114" t="s">
        <v>135</v>
      </c>
      <c r="D123" s="49" t="s">
        <v>134</v>
      </c>
      <c r="E123" s="117" t="s">
        <v>83</v>
      </c>
      <c r="F123" s="164">
        <v>3140</v>
      </c>
      <c r="G123" s="164">
        <v>3.5</v>
      </c>
      <c r="H123" s="157">
        <f t="shared" si="4"/>
        <v>10990</v>
      </c>
      <c r="I123" s="157"/>
      <c r="J123" s="157">
        <f t="shared" si="5"/>
        <v>0</v>
      </c>
      <c r="K123" s="157"/>
      <c r="L123" s="158">
        <f t="shared" si="6"/>
        <v>0</v>
      </c>
      <c r="M123" s="158">
        <f t="shared" si="7"/>
        <v>10990</v>
      </c>
    </row>
    <row r="124" spans="1:74" s="88" customFormat="1" ht="21" x14ac:dyDescent="0.35">
      <c r="A124" s="325"/>
      <c r="B124" s="46"/>
      <c r="C124" s="64" t="s">
        <v>70</v>
      </c>
      <c r="D124" s="65" t="s">
        <v>25</v>
      </c>
      <c r="E124" s="117">
        <v>4.5199999999999997E-2</v>
      </c>
      <c r="F124" s="164">
        <f>E124*F120</f>
        <v>172.66399999999999</v>
      </c>
      <c r="G124" s="157"/>
      <c r="H124" s="157">
        <f t="shared" si="4"/>
        <v>0</v>
      </c>
      <c r="I124" s="157"/>
      <c r="J124" s="157">
        <f t="shared" si="5"/>
        <v>0</v>
      </c>
      <c r="K124" s="157">
        <v>10</v>
      </c>
      <c r="L124" s="158">
        <f t="shared" si="6"/>
        <v>1726.6399999999999</v>
      </c>
      <c r="M124" s="158">
        <f t="shared" si="7"/>
        <v>1726.6399999999999</v>
      </c>
    </row>
    <row r="125" spans="1:74" s="88" customFormat="1" ht="21" x14ac:dyDescent="0.35">
      <c r="A125" s="325"/>
      <c r="B125" s="46"/>
      <c r="C125" s="119" t="s">
        <v>71</v>
      </c>
      <c r="D125" s="120" t="s">
        <v>25</v>
      </c>
      <c r="E125" s="121">
        <v>5.9999999999999995E-4</v>
      </c>
      <c r="F125" s="168">
        <f>E125*F120</f>
        <v>2.2919999999999998</v>
      </c>
      <c r="G125" s="166">
        <v>10</v>
      </c>
      <c r="H125" s="157">
        <f t="shared" si="4"/>
        <v>22.919999999999998</v>
      </c>
      <c r="I125" s="157"/>
      <c r="J125" s="157">
        <f t="shared" si="5"/>
        <v>0</v>
      </c>
      <c r="K125" s="157"/>
      <c r="L125" s="158">
        <f t="shared" si="6"/>
        <v>0</v>
      </c>
      <c r="M125" s="158">
        <f t="shared" si="7"/>
        <v>22.919999999999998</v>
      </c>
    </row>
    <row r="126" spans="1:74" s="76" customFormat="1" ht="42" x14ac:dyDescent="0.35">
      <c r="A126" s="325"/>
      <c r="B126" s="56"/>
      <c r="C126" s="122" t="s">
        <v>137</v>
      </c>
      <c r="D126" s="147" t="s">
        <v>100</v>
      </c>
      <c r="E126" s="147"/>
      <c r="F126" s="169">
        <v>3820</v>
      </c>
      <c r="G126" s="169"/>
      <c r="H126" s="157">
        <f t="shared" si="4"/>
        <v>0</v>
      </c>
      <c r="I126" s="157"/>
      <c r="J126" s="157">
        <f t="shared" si="5"/>
        <v>0</v>
      </c>
      <c r="K126" s="157"/>
      <c r="L126" s="158">
        <f t="shared" si="6"/>
        <v>0</v>
      </c>
      <c r="M126" s="158">
        <f t="shared" si="7"/>
        <v>0</v>
      </c>
    </row>
    <row r="127" spans="1:74" s="88" customFormat="1" ht="21" x14ac:dyDescent="0.35">
      <c r="A127" s="325"/>
      <c r="B127" s="46"/>
      <c r="C127" s="98" t="s">
        <v>110</v>
      </c>
      <c r="D127" s="99" t="s">
        <v>56</v>
      </c>
      <c r="E127" s="124">
        <v>5.16E-2</v>
      </c>
      <c r="F127" s="157">
        <f>E127*F126</f>
        <v>197.11199999999999</v>
      </c>
      <c r="G127" s="164"/>
      <c r="H127" s="157">
        <f t="shared" si="4"/>
        <v>0</v>
      </c>
      <c r="I127" s="157">
        <v>3</v>
      </c>
      <c r="J127" s="157">
        <f t="shared" si="5"/>
        <v>591.33600000000001</v>
      </c>
      <c r="K127" s="157"/>
      <c r="L127" s="158">
        <f t="shared" si="6"/>
        <v>0</v>
      </c>
      <c r="M127" s="158">
        <f t="shared" si="7"/>
        <v>591.33600000000001</v>
      </c>
    </row>
    <row r="128" spans="1:74" s="88" customFormat="1" ht="21" x14ac:dyDescent="0.35">
      <c r="A128" s="325"/>
      <c r="B128" s="46"/>
      <c r="C128" s="126" t="s">
        <v>138</v>
      </c>
      <c r="D128" s="99" t="s">
        <v>55</v>
      </c>
      <c r="E128" s="124">
        <v>3.7999999999999999E-2</v>
      </c>
      <c r="F128" s="157">
        <f>E128*F126</f>
        <v>145.16</v>
      </c>
      <c r="G128" s="157">
        <v>0.5</v>
      </c>
      <c r="H128" s="157">
        <f t="shared" si="4"/>
        <v>72.58</v>
      </c>
      <c r="I128" s="157"/>
      <c r="J128" s="157">
        <f t="shared" si="5"/>
        <v>0</v>
      </c>
      <c r="K128" s="157"/>
      <c r="L128" s="158">
        <f t="shared" si="6"/>
        <v>0</v>
      </c>
      <c r="M128" s="158">
        <f t="shared" si="7"/>
        <v>72.58</v>
      </c>
    </row>
    <row r="129" spans="1:13" s="88" customFormat="1" ht="21" x14ac:dyDescent="0.35">
      <c r="A129" s="325"/>
      <c r="B129" s="46"/>
      <c r="C129" s="126" t="s">
        <v>95</v>
      </c>
      <c r="D129" s="99" t="s">
        <v>25</v>
      </c>
      <c r="E129" s="124">
        <v>1.1000000000000001E-3</v>
      </c>
      <c r="F129" s="165">
        <f>E129*F126</f>
        <v>4.202</v>
      </c>
      <c r="G129" s="157">
        <v>10</v>
      </c>
      <c r="H129" s="157">
        <f t="shared" si="4"/>
        <v>42.019999999999996</v>
      </c>
      <c r="I129" s="157"/>
      <c r="J129" s="157">
        <f t="shared" si="5"/>
        <v>0</v>
      </c>
      <c r="K129" s="157"/>
      <c r="L129" s="158">
        <f t="shared" si="6"/>
        <v>0</v>
      </c>
      <c r="M129" s="158">
        <f t="shared" si="7"/>
        <v>42.019999999999996</v>
      </c>
    </row>
    <row r="130" spans="1:13" s="88" customFormat="1" ht="21" x14ac:dyDescent="0.35">
      <c r="A130" s="325"/>
      <c r="B130" s="46"/>
      <c r="C130" s="101" t="s">
        <v>140</v>
      </c>
      <c r="D130" s="102" t="s">
        <v>26</v>
      </c>
      <c r="E130" s="102"/>
      <c r="F130" s="167">
        <v>8</v>
      </c>
      <c r="G130" s="154"/>
      <c r="H130" s="157">
        <f t="shared" si="4"/>
        <v>0</v>
      </c>
      <c r="I130" s="157"/>
      <c r="J130" s="157">
        <f t="shared" si="5"/>
        <v>0</v>
      </c>
      <c r="K130" s="157"/>
      <c r="L130" s="158">
        <f t="shared" si="6"/>
        <v>0</v>
      </c>
      <c r="M130" s="158">
        <f t="shared" si="7"/>
        <v>0</v>
      </c>
    </row>
    <row r="131" spans="1:13" s="92" customFormat="1" ht="21" x14ac:dyDescent="0.4">
      <c r="A131" s="325"/>
      <c r="B131" s="89"/>
      <c r="C131" s="116" t="s">
        <v>105</v>
      </c>
      <c r="D131" s="49" t="s">
        <v>56</v>
      </c>
      <c r="E131" s="127">
        <v>0.38900000000000001</v>
      </c>
      <c r="F131" s="164">
        <f>F130*E131</f>
        <v>3.1120000000000001</v>
      </c>
      <c r="G131" s="157"/>
      <c r="H131" s="157">
        <f t="shared" si="4"/>
        <v>0</v>
      </c>
      <c r="I131" s="157">
        <v>3</v>
      </c>
      <c r="J131" s="157">
        <f t="shared" si="5"/>
        <v>9.3360000000000003</v>
      </c>
      <c r="K131" s="157"/>
      <c r="L131" s="158">
        <f t="shared" si="6"/>
        <v>0</v>
      </c>
      <c r="M131" s="158">
        <f t="shared" si="7"/>
        <v>9.3360000000000003</v>
      </c>
    </row>
    <row r="132" spans="1:13" s="92" customFormat="1" ht="21" x14ac:dyDescent="0.4">
      <c r="A132" s="325"/>
      <c r="B132" s="89"/>
      <c r="C132" s="116" t="s">
        <v>141</v>
      </c>
      <c r="D132" s="49" t="s">
        <v>26</v>
      </c>
      <c r="E132" s="127" t="s">
        <v>83</v>
      </c>
      <c r="F132" s="164">
        <v>1</v>
      </c>
      <c r="G132" s="164">
        <v>5</v>
      </c>
      <c r="H132" s="157">
        <f t="shared" si="4"/>
        <v>5</v>
      </c>
      <c r="I132" s="157"/>
      <c r="J132" s="157">
        <f t="shared" si="5"/>
        <v>0</v>
      </c>
      <c r="K132" s="157"/>
      <c r="L132" s="158">
        <f t="shared" si="6"/>
        <v>0</v>
      </c>
      <c r="M132" s="158">
        <f t="shared" si="7"/>
        <v>5</v>
      </c>
    </row>
    <row r="133" spans="1:13" s="92" customFormat="1" ht="21" x14ac:dyDescent="0.4">
      <c r="A133" s="326"/>
      <c r="B133" s="89"/>
      <c r="C133" s="116" t="s">
        <v>142</v>
      </c>
      <c r="D133" s="49" t="s">
        <v>26</v>
      </c>
      <c r="E133" s="127" t="s">
        <v>83</v>
      </c>
      <c r="F133" s="164">
        <v>3</v>
      </c>
      <c r="G133" s="164">
        <v>5</v>
      </c>
      <c r="H133" s="157">
        <f t="shared" si="4"/>
        <v>15</v>
      </c>
      <c r="I133" s="157"/>
      <c r="J133" s="157">
        <f t="shared" si="5"/>
        <v>0</v>
      </c>
      <c r="K133" s="157"/>
      <c r="L133" s="158">
        <f t="shared" si="6"/>
        <v>0</v>
      </c>
      <c r="M133" s="158">
        <f t="shared" si="7"/>
        <v>15</v>
      </c>
    </row>
    <row r="134" spans="1:13" s="14" customFormat="1" ht="21" x14ac:dyDescent="0.4">
      <c r="A134" s="136"/>
      <c r="B134" s="137"/>
      <c r="C134" s="116" t="s">
        <v>143</v>
      </c>
      <c r="D134" s="49" t="s">
        <v>26</v>
      </c>
      <c r="E134" s="127" t="s">
        <v>83</v>
      </c>
      <c r="F134" s="164">
        <v>1</v>
      </c>
      <c r="G134" s="164">
        <v>30</v>
      </c>
      <c r="H134" s="157">
        <f t="shared" si="4"/>
        <v>30</v>
      </c>
      <c r="I134" s="157"/>
      <c r="J134" s="157">
        <f t="shared" si="5"/>
        <v>0</v>
      </c>
      <c r="K134" s="157"/>
      <c r="L134" s="158">
        <f t="shared" si="6"/>
        <v>0</v>
      </c>
      <c r="M134" s="158">
        <f t="shared" si="7"/>
        <v>30</v>
      </c>
    </row>
    <row r="135" spans="1:13" s="55" customFormat="1" ht="21" x14ac:dyDescent="0.4">
      <c r="A135" s="139"/>
      <c r="B135" s="140"/>
      <c r="C135" s="116" t="s">
        <v>144</v>
      </c>
      <c r="D135" s="49" t="s">
        <v>26</v>
      </c>
      <c r="E135" s="127" t="s">
        <v>83</v>
      </c>
      <c r="F135" s="164">
        <v>2</v>
      </c>
      <c r="G135" s="164">
        <v>35</v>
      </c>
      <c r="H135" s="157">
        <f t="shared" si="4"/>
        <v>70</v>
      </c>
      <c r="I135" s="157"/>
      <c r="J135" s="157">
        <f t="shared" si="5"/>
        <v>0</v>
      </c>
      <c r="K135" s="157"/>
      <c r="L135" s="158">
        <f t="shared" si="6"/>
        <v>0</v>
      </c>
      <c r="M135" s="158">
        <f t="shared" si="7"/>
        <v>70</v>
      </c>
    </row>
    <row r="136" spans="1:13" s="14" customFormat="1" ht="21" x14ac:dyDescent="0.4">
      <c r="A136" s="139"/>
      <c r="B136" s="140"/>
      <c r="C136" s="116" t="s">
        <v>194</v>
      </c>
      <c r="D136" s="49" t="s">
        <v>26</v>
      </c>
      <c r="E136" s="127" t="s">
        <v>83</v>
      </c>
      <c r="F136" s="164">
        <v>1</v>
      </c>
      <c r="G136" s="164">
        <v>5</v>
      </c>
      <c r="H136" s="157">
        <f t="shared" si="4"/>
        <v>5</v>
      </c>
      <c r="I136" s="157"/>
      <c r="J136" s="157">
        <f t="shared" si="5"/>
        <v>0</v>
      </c>
      <c r="K136" s="157"/>
      <c r="L136" s="158">
        <f t="shared" si="6"/>
        <v>0</v>
      </c>
      <c r="M136" s="158">
        <f t="shared" si="7"/>
        <v>5</v>
      </c>
    </row>
    <row r="137" spans="1:13" s="83" customFormat="1" ht="21" x14ac:dyDescent="0.4">
      <c r="A137" s="142"/>
      <c r="B137" s="144"/>
      <c r="C137" s="64" t="s">
        <v>24</v>
      </c>
      <c r="D137" s="65" t="s">
        <v>25</v>
      </c>
      <c r="E137" s="127">
        <v>0.151</v>
      </c>
      <c r="F137" s="164">
        <f>E137*F130</f>
        <v>1.208</v>
      </c>
      <c r="G137" s="157"/>
      <c r="H137" s="157">
        <f t="shared" ref="H137:H179" si="8">G137*F137</f>
        <v>0</v>
      </c>
      <c r="I137" s="157"/>
      <c r="J137" s="157">
        <f t="shared" ref="J137:J179" si="9">I137*F137</f>
        <v>0</v>
      </c>
      <c r="K137" s="157">
        <v>10</v>
      </c>
      <c r="L137" s="158">
        <f t="shared" ref="L137:L179" si="10">K137*F137</f>
        <v>12.08</v>
      </c>
      <c r="M137" s="158">
        <f t="shared" ref="M137:M179" si="11">L137+J137+H137</f>
        <v>12.08</v>
      </c>
    </row>
    <row r="138" spans="1:13" s="83" customFormat="1" ht="21" x14ac:dyDescent="0.4">
      <c r="A138" s="142"/>
      <c r="B138" s="144"/>
      <c r="C138" s="114" t="s">
        <v>71</v>
      </c>
      <c r="D138" s="49" t="s">
        <v>25</v>
      </c>
      <c r="E138" s="127">
        <v>2.4E-2</v>
      </c>
      <c r="F138" s="164">
        <f>E138*F130</f>
        <v>0.192</v>
      </c>
      <c r="G138" s="157">
        <v>10</v>
      </c>
      <c r="H138" s="157">
        <f t="shared" si="8"/>
        <v>1.92</v>
      </c>
      <c r="I138" s="157"/>
      <c r="J138" s="157">
        <f t="shared" si="9"/>
        <v>0</v>
      </c>
      <c r="K138" s="157"/>
      <c r="L138" s="158">
        <f t="shared" si="10"/>
        <v>0</v>
      </c>
      <c r="M138" s="158">
        <f t="shared" si="11"/>
        <v>1.92</v>
      </c>
    </row>
    <row r="139" spans="1:13" s="83" customFormat="1" ht="24" x14ac:dyDescent="0.4">
      <c r="A139" s="142"/>
      <c r="B139" s="144"/>
      <c r="C139" s="59" t="s">
        <v>145</v>
      </c>
      <c r="D139" s="146" t="s">
        <v>73</v>
      </c>
      <c r="E139" s="146"/>
      <c r="F139" s="160">
        <v>141.5</v>
      </c>
      <c r="G139" s="159"/>
      <c r="H139" s="157">
        <f t="shared" si="8"/>
        <v>0</v>
      </c>
      <c r="I139" s="157"/>
      <c r="J139" s="157">
        <f t="shared" si="9"/>
        <v>0</v>
      </c>
      <c r="K139" s="157"/>
      <c r="L139" s="158">
        <f t="shared" si="10"/>
        <v>0</v>
      </c>
      <c r="M139" s="158">
        <f t="shared" si="11"/>
        <v>0</v>
      </c>
    </row>
    <row r="140" spans="1:13" s="14" customFormat="1" ht="21" x14ac:dyDescent="0.2">
      <c r="A140" s="136"/>
      <c r="B140" s="137"/>
      <c r="C140" s="60" t="s">
        <v>61</v>
      </c>
      <c r="D140" s="49" t="s">
        <v>56</v>
      </c>
      <c r="E140" s="49">
        <v>1.78</v>
      </c>
      <c r="F140" s="157">
        <f>E140*F139</f>
        <v>251.87</v>
      </c>
      <c r="G140" s="157"/>
      <c r="H140" s="157">
        <f t="shared" si="8"/>
        <v>0</v>
      </c>
      <c r="I140" s="157">
        <v>3</v>
      </c>
      <c r="J140" s="157">
        <f t="shared" si="9"/>
        <v>755.61</v>
      </c>
      <c r="K140" s="157"/>
      <c r="L140" s="158">
        <f t="shared" si="10"/>
        <v>0</v>
      </c>
      <c r="M140" s="158">
        <f t="shared" si="11"/>
        <v>755.61</v>
      </c>
    </row>
    <row r="141" spans="1:13" ht="24" x14ac:dyDescent="0.3">
      <c r="C141" s="60" t="s">
        <v>130</v>
      </c>
      <c r="D141" s="49" t="s">
        <v>76</v>
      </c>
      <c r="E141" s="49">
        <v>1.1000000000000001</v>
      </c>
      <c r="F141" s="157">
        <f>E141*F139</f>
        <v>155.65</v>
      </c>
      <c r="G141" s="157">
        <v>6</v>
      </c>
      <c r="H141" s="157">
        <f t="shared" si="8"/>
        <v>933.90000000000009</v>
      </c>
      <c r="I141" s="157"/>
      <c r="J141" s="157">
        <f t="shared" si="9"/>
        <v>0</v>
      </c>
      <c r="K141" s="157"/>
      <c r="L141" s="158">
        <f t="shared" si="10"/>
        <v>0</v>
      </c>
      <c r="M141" s="158">
        <f t="shared" si="11"/>
        <v>933.90000000000009</v>
      </c>
    </row>
    <row r="142" spans="1:13" ht="18" customHeight="1" x14ac:dyDescent="0.3">
      <c r="C142" s="101" t="s">
        <v>147</v>
      </c>
      <c r="D142" s="146" t="s">
        <v>78</v>
      </c>
      <c r="E142" s="146"/>
      <c r="F142" s="154">
        <v>236</v>
      </c>
      <c r="G142" s="154"/>
      <c r="H142" s="157">
        <f t="shared" si="8"/>
        <v>0</v>
      </c>
      <c r="I142" s="157"/>
      <c r="J142" s="157">
        <f t="shared" si="9"/>
        <v>0</v>
      </c>
      <c r="K142" s="157"/>
      <c r="L142" s="158">
        <f t="shared" si="10"/>
        <v>0</v>
      </c>
      <c r="M142" s="158">
        <f t="shared" si="11"/>
        <v>0</v>
      </c>
    </row>
    <row r="143" spans="1:13" ht="21" x14ac:dyDescent="0.3">
      <c r="C143" s="130" t="s">
        <v>23</v>
      </c>
      <c r="D143" s="120" t="s">
        <v>56</v>
      </c>
      <c r="E143" s="120">
        <v>1.21</v>
      </c>
      <c r="F143" s="166">
        <f>F142*E143</f>
        <v>285.56</v>
      </c>
      <c r="G143" s="166"/>
      <c r="H143" s="157">
        <f t="shared" si="8"/>
        <v>0</v>
      </c>
      <c r="I143" s="157">
        <v>3</v>
      </c>
      <c r="J143" s="157">
        <f t="shared" si="9"/>
        <v>856.68000000000006</v>
      </c>
      <c r="K143" s="157"/>
      <c r="L143" s="158">
        <f t="shared" si="10"/>
        <v>0</v>
      </c>
      <c r="M143" s="158">
        <f t="shared" si="11"/>
        <v>856.68000000000006</v>
      </c>
    </row>
    <row r="144" spans="1:13" ht="63" x14ac:dyDescent="0.3">
      <c r="C144" s="184" t="s">
        <v>195</v>
      </c>
      <c r="D144" s="49"/>
      <c r="E144" s="185"/>
      <c r="F144" s="157"/>
      <c r="G144" s="157"/>
      <c r="H144" s="157">
        <f t="shared" si="8"/>
        <v>0</v>
      </c>
      <c r="I144" s="157"/>
      <c r="J144" s="157">
        <f t="shared" si="9"/>
        <v>0</v>
      </c>
      <c r="K144" s="157"/>
      <c r="L144" s="158">
        <f t="shared" si="10"/>
        <v>0</v>
      </c>
      <c r="M144" s="158">
        <f t="shared" si="11"/>
        <v>0</v>
      </c>
    </row>
    <row r="145" spans="3:13" ht="21" x14ac:dyDescent="0.3">
      <c r="C145" s="60" t="s">
        <v>61</v>
      </c>
      <c r="D145" s="49" t="s">
        <v>25</v>
      </c>
      <c r="E145" s="49"/>
      <c r="F145" s="157"/>
      <c r="G145" s="157"/>
      <c r="H145" s="157">
        <f t="shared" si="8"/>
        <v>0</v>
      </c>
      <c r="I145" s="157">
        <v>3</v>
      </c>
      <c r="J145" s="157">
        <f t="shared" si="9"/>
        <v>0</v>
      </c>
      <c r="K145" s="157"/>
      <c r="L145" s="158">
        <f t="shared" si="10"/>
        <v>0</v>
      </c>
      <c r="M145" s="158">
        <f t="shared" si="11"/>
        <v>0</v>
      </c>
    </row>
    <row r="146" spans="3:13" ht="21" x14ac:dyDescent="0.3">
      <c r="C146" s="57" t="s">
        <v>196</v>
      </c>
      <c r="D146" s="49" t="s">
        <v>100</v>
      </c>
      <c r="E146" s="49" t="s">
        <v>83</v>
      </c>
      <c r="F146" s="157">
        <v>202</v>
      </c>
      <c r="G146" s="157">
        <v>6</v>
      </c>
      <c r="H146" s="157">
        <f t="shared" si="8"/>
        <v>1212</v>
      </c>
      <c r="I146" s="157"/>
      <c r="J146" s="157">
        <f t="shared" si="9"/>
        <v>0</v>
      </c>
      <c r="K146" s="157"/>
      <c r="L146" s="158">
        <f t="shared" si="10"/>
        <v>0</v>
      </c>
      <c r="M146" s="158">
        <f t="shared" si="11"/>
        <v>1212</v>
      </c>
    </row>
    <row r="147" spans="3:13" ht="21" x14ac:dyDescent="0.3">
      <c r="C147" s="57" t="s">
        <v>197</v>
      </c>
      <c r="D147" s="49" t="s">
        <v>100</v>
      </c>
      <c r="E147" s="49" t="s">
        <v>83</v>
      </c>
      <c r="F147" s="165">
        <v>45</v>
      </c>
      <c r="G147" s="157">
        <v>6</v>
      </c>
      <c r="H147" s="157">
        <f t="shared" si="8"/>
        <v>270</v>
      </c>
      <c r="I147" s="157"/>
      <c r="J147" s="157">
        <f t="shared" si="9"/>
        <v>0</v>
      </c>
      <c r="K147" s="157"/>
      <c r="L147" s="158">
        <f t="shared" si="10"/>
        <v>0</v>
      </c>
      <c r="M147" s="158">
        <f t="shared" si="11"/>
        <v>270</v>
      </c>
    </row>
    <row r="148" spans="3:13" ht="21" x14ac:dyDescent="0.3">
      <c r="C148" s="64" t="s">
        <v>198</v>
      </c>
      <c r="D148" s="65" t="s">
        <v>55</v>
      </c>
      <c r="E148" s="49" t="s">
        <v>83</v>
      </c>
      <c r="F148" s="157">
        <v>4.5</v>
      </c>
      <c r="G148" s="157">
        <v>180</v>
      </c>
      <c r="H148" s="157">
        <f t="shared" si="8"/>
        <v>810</v>
      </c>
      <c r="I148" s="157"/>
      <c r="J148" s="157">
        <f t="shared" si="9"/>
        <v>0</v>
      </c>
      <c r="K148" s="157"/>
      <c r="L148" s="158">
        <f t="shared" si="10"/>
        <v>0</v>
      </c>
      <c r="M148" s="158">
        <f t="shared" si="11"/>
        <v>810</v>
      </c>
    </row>
    <row r="149" spans="3:13" ht="21" x14ac:dyDescent="0.3">
      <c r="C149" s="57" t="s">
        <v>199</v>
      </c>
      <c r="D149" s="65" t="s">
        <v>90</v>
      </c>
      <c r="E149" s="49" t="s">
        <v>83</v>
      </c>
      <c r="F149" s="162">
        <v>270.39999999999998</v>
      </c>
      <c r="G149" s="157">
        <v>5</v>
      </c>
      <c r="H149" s="157">
        <f t="shared" si="8"/>
        <v>1352</v>
      </c>
      <c r="I149" s="157"/>
      <c r="J149" s="157">
        <f t="shared" si="9"/>
        <v>0</v>
      </c>
      <c r="K149" s="157"/>
      <c r="L149" s="158">
        <f t="shared" si="10"/>
        <v>0</v>
      </c>
      <c r="M149" s="158">
        <f t="shared" si="11"/>
        <v>1352</v>
      </c>
    </row>
    <row r="150" spans="3:13" ht="21" x14ac:dyDescent="0.3">
      <c r="C150" s="57" t="s">
        <v>200</v>
      </c>
      <c r="D150" s="65" t="s">
        <v>100</v>
      </c>
      <c r="E150" s="49" t="s">
        <v>83</v>
      </c>
      <c r="F150" s="162">
        <v>450</v>
      </c>
      <c r="G150" s="157">
        <v>1.5</v>
      </c>
      <c r="H150" s="157">
        <f t="shared" si="8"/>
        <v>675</v>
      </c>
      <c r="I150" s="157"/>
      <c r="J150" s="157">
        <f t="shared" si="9"/>
        <v>0</v>
      </c>
      <c r="K150" s="157"/>
      <c r="L150" s="158">
        <f t="shared" si="10"/>
        <v>0</v>
      </c>
      <c r="M150" s="158">
        <f t="shared" si="11"/>
        <v>675</v>
      </c>
    </row>
    <row r="151" spans="3:13" ht="21" x14ac:dyDescent="0.3">
      <c r="C151" s="186" t="s">
        <v>201</v>
      </c>
      <c r="D151" s="187" t="s">
        <v>202</v>
      </c>
      <c r="E151" s="49" t="s">
        <v>83</v>
      </c>
      <c r="F151" s="188">
        <v>9</v>
      </c>
      <c r="G151" s="157">
        <v>5</v>
      </c>
      <c r="H151" s="157">
        <f t="shared" si="8"/>
        <v>45</v>
      </c>
      <c r="I151" s="157"/>
      <c r="J151" s="157">
        <f t="shared" si="9"/>
        <v>0</v>
      </c>
      <c r="K151" s="157"/>
      <c r="L151" s="158">
        <f t="shared" si="10"/>
        <v>0</v>
      </c>
      <c r="M151" s="158">
        <f t="shared" si="11"/>
        <v>45</v>
      </c>
    </row>
    <row r="152" spans="3:13" ht="42" x14ac:dyDescent="0.3">
      <c r="C152" s="101" t="s">
        <v>149</v>
      </c>
      <c r="D152" s="146" t="s">
        <v>27</v>
      </c>
      <c r="E152" s="48"/>
      <c r="F152" s="154">
        <f>(F154+F155+F156)/1000</f>
        <v>7.7599999999999995E-3</v>
      </c>
      <c r="G152" s="154"/>
      <c r="H152" s="157">
        <f t="shared" si="8"/>
        <v>0</v>
      </c>
      <c r="I152" s="157"/>
      <c r="J152" s="157">
        <f t="shared" si="9"/>
        <v>0</v>
      </c>
      <c r="K152" s="157"/>
      <c r="L152" s="158">
        <f t="shared" si="10"/>
        <v>0</v>
      </c>
      <c r="M152" s="158">
        <f t="shared" si="11"/>
        <v>0</v>
      </c>
    </row>
    <row r="153" spans="3:13" ht="21" x14ac:dyDescent="0.3">
      <c r="C153" s="57" t="s">
        <v>67</v>
      </c>
      <c r="D153" s="49" t="s">
        <v>56</v>
      </c>
      <c r="E153" s="54">
        <v>62</v>
      </c>
      <c r="F153" s="157">
        <f>E153*F152</f>
        <v>0.48111999999999999</v>
      </c>
      <c r="G153" s="189"/>
      <c r="H153" s="157">
        <f t="shared" si="8"/>
        <v>0</v>
      </c>
      <c r="I153" s="157">
        <v>3</v>
      </c>
      <c r="J153" s="157">
        <f t="shared" si="9"/>
        <v>1.44336</v>
      </c>
      <c r="K153" s="157"/>
      <c r="L153" s="158">
        <f t="shared" si="10"/>
        <v>0</v>
      </c>
      <c r="M153" s="158">
        <f t="shared" si="11"/>
        <v>1.44336</v>
      </c>
    </row>
    <row r="154" spans="3:13" ht="21" x14ac:dyDescent="0.3">
      <c r="C154" s="106" t="s">
        <v>150</v>
      </c>
      <c r="D154" s="104" t="s">
        <v>107</v>
      </c>
      <c r="E154" s="54" t="s">
        <v>83</v>
      </c>
      <c r="F154" s="155">
        <v>3.77</v>
      </c>
      <c r="G154" s="183">
        <v>10</v>
      </c>
      <c r="H154" s="157">
        <f t="shared" si="8"/>
        <v>37.700000000000003</v>
      </c>
      <c r="I154" s="157"/>
      <c r="J154" s="157">
        <f t="shared" si="9"/>
        <v>0</v>
      </c>
      <c r="K154" s="157"/>
      <c r="L154" s="158">
        <f t="shared" si="10"/>
        <v>0</v>
      </c>
      <c r="M154" s="158">
        <f t="shared" si="11"/>
        <v>37.700000000000003</v>
      </c>
    </row>
    <row r="155" spans="3:13" ht="21" x14ac:dyDescent="0.3">
      <c r="C155" s="106" t="s">
        <v>151</v>
      </c>
      <c r="D155" s="104" t="s">
        <v>107</v>
      </c>
      <c r="E155" s="54" t="s">
        <v>83</v>
      </c>
      <c r="F155" s="155">
        <v>0.22</v>
      </c>
      <c r="G155" s="183">
        <v>3</v>
      </c>
      <c r="H155" s="157">
        <f t="shared" si="8"/>
        <v>0.66</v>
      </c>
      <c r="I155" s="157"/>
      <c r="J155" s="157">
        <f t="shared" si="9"/>
        <v>0</v>
      </c>
      <c r="K155" s="157"/>
      <c r="L155" s="158">
        <f t="shared" si="10"/>
        <v>0</v>
      </c>
      <c r="M155" s="158">
        <f t="shared" si="11"/>
        <v>0.66</v>
      </c>
    </row>
    <row r="156" spans="3:13" ht="21" x14ac:dyDescent="0.3">
      <c r="C156" s="106" t="s">
        <v>203</v>
      </c>
      <c r="D156" s="104" t="s">
        <v>107</v>
      </c>
      <c r="E156" s="54" t="s">
        <v>83</v>
      </c>
      <c r="F156" s="155">
        <v>3.77</v>
      </c>
      <c r="G156" s="183">
        <v>1</v>
      </c>
      <c r="H156" s="157">
        <f t="shared" si="8"/>
        <v>3.77</v>
      </c>
      <c r="I156" s="157"/>
      <c r="J156" s="157">
        <f t="shared" si="9"/>
        <v>0</v>
      </c>
      <c r="K156" s="157"/>
      <c r="L156" s="158">
        <f t="shared" si="10"/>
        <v>0</v>
      </c>
      <c r="M156" s="158">
        <f t="shared" si="11"/>
        <v>3.77</v>
      </c>
    </row>
    <row r="157" spans="3:13" ht="21" x14ac:dyDescent="0.3">
      <c r="C157" s="57" t="s">
        <v>152</v>
      </c>
      <c r="D157" s="49" t="s">
        <v>107</v>
      </c>
      <c r="E157" s="54">
        <v>11</v>
      </c>
      <c r="F157" s="175">
        <f>E157*F152</f>
        <v>8.5359999999999991E-2</v>
      </c>
      <c r="G157" s="157">
        <v>3</v>
      </c>
      <c r="H157" s="157">
        <f t="shared" si="8"/>
        <v>0.25607999999999997</v>
      </c>
      <c r="I157" s="157"/>
      <c r="J157" s="157">
        <f t="shared" si="9"/>
        <v>0</v>
      </c>
      <c r="K157" s="157"/>
      <c r="L157" s="158">
        <f t="shared" si="10"/>
        <v>0</v>
      </c>
      <c r="M157" s="158">
        <f t="shared" si="11"/>
        <v>0.25607999999999997</v>
      </c>
    </row>
    <row r="158" spans="3:13" ht="21" x14ac:dyDescent="0.3">
      <c r="C158" s="57" t="s">
        <v>153</v>
      </c>
      <c r="D158" s="49" t="s">
        <v>25</v>
      </c>
      <c r="E158" s="54">
        <v>23.3</v>
      </c>
      <c r="F158" s="155">
        <f>E158*F152</f>
        <v>0.180808</v>
      </c>
      <c r="G158" s="157"/>
      <c r="H158" s="157">
        <f t="shared" si="8"/>
        <v>0</v>
      </c>
      <c r="I158" s="157"/>
      <c r="J158" s="157">
        <f t="shared" si="9"/>
        <v>0</v>
      </c>
      <c r="K158" s="157">
        <v>10</v>
      </c>
      <c r="L158" s="158">
        <f t="shared" si="10"/>
        <v>1.8080799999999999</v>
      </c>
      <c r="M158" s="158">
        <f t="shared" si="11"/>
        <v>1.8080799999999999</v>
      </c>
    </row>
    <row r="159" spans="3:13" ht="21" x14ac:dyDescent="0.3">
      <c r="C159" s="106" t="s">
        <v>95</v>
      </c>
      <c r="D159" s="49" t="s">
        <v>25</v>
      </c>
      <c r="E159" s="54">
        <v>2.78</v>
      </c>
      <c r="F159" s="176">
        <f>E159*F152</f>
        <v>2.1572799999999996E-2</v>
      </c>
      <c r="G159" s="183">
        <v>10</v>
      </c>
      <c r="H159" s="157">
        <f t="shared" si="8"/>
        <v>0.21572799999999998</v>
      </c>
      <c r="I159" s="157"/>
      <c r="J159" s="157">
        <f t="shared" si="9"/>
        <v>0</v>
      </c>
      <c r="K159" s="157"/>
      <c r="L159" s="158">
        <f t="shared" si="10"/>
        <v>0</v>
      </c>
      <c r="M159" s="158">
        <f t="shared" si="11"/>
        <v>0.21572799999999998</v>
      </c>
    </row>
    <row r="160" spans="3:13" ht="21" x14ac:dyDescent="0.3">
      <c r="C160" s="101" t="s">
        <v>154</v>
      </c>
      <c r="D160" s="102" t="s">
        <v>26</v>
      </c>
      <c r="E160" s="102"/>
      <c r="F160" s="167">
        <f>F162+F163+F164+F165</f>
        <v>49</v>
      </c>
      <c r="G160" s="154"/>
      <c r="H160" s="157">
        <f t="shared" si="8"/>
        <v>0</v>
      </c>
      <c r="I160" s="157"/>
      <c r="J160" s="157">
        <f t="shared" si="9"/>
        <v>0</v>
      </c>
      <c r="K160" s="157"/>
      <c r="L160" s="158">
        <f t="shared" si="10"/>
        <v>0</v>
      </c>
      <c r="M160" s="158">
        <f t="shared" si="11"/>
        <v>0</v>
      </c>
    </row>
    <row r="161" spans="3:13" ht="21" x14ac:dyDescent="0.4">
      <c r="C161" s="116" t="s">
        <v>105</v>
      </c>
      <c r="D161" s="49" t="s">
        <v>56</v>
      </c>
      <c r="E161" s="127">
        <v>0.38900000000000001</v>
      </c>
      <c r="F161" s="164">
        <f>F160*E161</f>
        <v>19.061</v>
      </c>
      <c r="G161" s="157"/>
      <c r="H161" s="157">
        <f t="shared" si="8"/>
        <v>0</v>
      </c>
      <c r="I161" s="157">
        <v>3</v>
      </c>
      <c r="J161" s="157">
        <f t="shared" si="9"/>
        <v>57.183</v>
      </c>
      <c r="K161" s="157"/>
      <c r="L161" s="158">
        <f t="shared" si="10"/>
        <v>0</v>
      </c>
      <c r="M161" s="158">
        <f t="shared" si="11"/>
        <v>57.183</v>
      </c>
    </row>
    <row r="162" spans="3:13" ht="21" x14ac:dyDescent="0.4">
      <c r="C162" s="116" t="s">
        <v>155</v>
      </c>
      <c r="D162" s="49" t="s">
        <v>26</v>
      </c>
      <c r="E162" s="127" t="s">
        <v>83</v>
      </c>
      <c r="F162" s="164">
        <v>1</v>
      </c>
      <c r="G162" s="164">
        <v>3</v>
      </c>
      <c r="H162" s="157">
        <f t="shared" si="8"/>
        <v>3</v>
      </c>
      <c r="I162" s="157"/>
      <c r="J162" s="157">
        <f t="shared" si="9"/>
        <v>0</v>
      </c>
      <c r="K162" s="157"/>
      <c r="L162" s="158">
        <f t="shared" si="10"/>
        <v>0</v>
      </c>
      <c r="M162" s="158">
        <f t="shared" si="11"/>
        <v>3</v>
      </c>
    </row>
    <row r="163" spans="3:13" ht="21" x14ac:dyDescent="0.4">
      <c r="C163" s="116" t="s">
        <v>156</v>
      </c>
      <c r="D163" s="49" t="s">
        <v>26</v>
      </c>
      <c r="E163" s="127" t="s">
        <v>83</v>
      </c>
      <c r="F163" s="164">
        <v>16</v>
      </c>
      <c r="G163" s="164">
        <v>3</v>
      </c>
      <c r="H163" s="157">
        <f t="shared" si="8"/>
        <v>48</v>
      </c>
      <c r="I163" s="157"/>
      <c r="J163" s="157">
        <f t="shared" si="9"/>
        <v>0</v>
      </c>
      <c r="K163" s="157"/>
      <c r="L163" s="158">
        <f t="shared" si="10"/>
        <v>0</v>
      </c>
      <c r="M163" s="158">
        <f t="shared" si="11"/>
        <v>48</v>
      </c>
    </row>
    <row r="164" spans="3:13" ht="21" x14ac:dyDescent="0.4">
      <c r="C164" s="116" t="s">
        <v>157</v>
      </c>
      <c r="D164" s="49" t="s">
        <v>26</v>
      </c>
      <c r="E164" s="127" t="s">
        <v>83</v>
      </c>
      <c r="F164" s="164">
        <v>16</v>
      </c>
      <c r="G164" s="164">
        <v>8</v>
      </c>
      <c r="H164" s="157">
        <f t="shared" si="8"/>
        <v>128</v>
      </c>
      <c r="I164" s="157"/>
      <c r="J164" s="157">
        <f t="shared" si="9"/>
        <v>0</v>
      </c>
      <c r="K164" s="157"/>
      <c r="L164" s="158">
        <f t="shared" si="10"/>
        <v>0</v>
      </c>
      <c r="M164" s="158">
        <f t="shared" si="11"/>
        <v>128</v>
      </c>
    </row>
    <row r="165" spans="3:13" ht="21" x14ac:dyDescent="0.4">
      <c r="C165" s="116" t="s">
        <v>158</v>
      </c>
      <c r="D165" s="49" t="s">
        <v>26</v>
      </c>
      <c r="E165" s="127" t="s">
        <v>83</v>
      </c>
      <c r="F165" s="164">
        <v>16</v>
      </c>
      <c r="G165" s="164">
        <v>3</v>
      </c>
      <c r="H165" s="157">
        <f t="shared" si="8"/>
        <v>48</v>
      </c>
      <c r="I165" s="157"/>
      <c r="J165" s="157">
        <f t="shared" si="9"/>
        <v>0</v>
      </c>
      <c r="K165" s="157"/>
      <c r="L165" s="158">
        <f t="shared" si="10"/>
        <v>0</v>
      </c>
      <c r="M165" s="158">
        <f t="shared" si="11"/>
        <v>48</v>
      </c>
    </row>
    <row r="166" spans="3:13" ht="21" x14ac:dyDescent="0.4">
      <c r="C166" s="64" t="s">
        <v>24</v>
      </c>
      <c r="D166" s="65" t="s">
        <v>25</v>
      </c>
      <c r="E166" s="127">
        <v>0.151</v>
      </c>
      <c r="F166" s="164">
        <f>E166*F160</f>
        <v>7.399</v>
      </c>
      <c r="G166" s="157"/>
      <c r="H166" s="157">
        <f t="shared" si="8"/>
        <v>0</v>
      </c>
      <c r="I166" s="157"/>
      <c r="J166" s="157">
        <f t="shared" si="9"/>
        <v>0</v>
      </c>
      <c r="K166" s="157">
        <v>10</v>
      </c>
      <c r="L166" s="158">
        <f t="shared" si="10"/>
        <v>73.989999999999995</v>
      </c>
      <c r="M166" s="158">
        <f t="shared" si="11"/>
        <v>73.989999999999995</v>
      </c>
    </row>
    <row r="167" spans="3:13" ht="21" x14ac:dyDescent="0.4">
      <c r="C167" s="114" t="s">
        <v>71</v>
      </c>
      <c r="D167" s="49" t="s">
        <v>25</v>
      </c>
      <c r="E167" s="127">
        <v>2.4E-2</v>
      </c>
      <c r="F167" s="164">
        <f>E167*F160</f>
        <v>1.1759999999999999</v>
      </c>
      <c r="G167" s="157">
        <v>10</v>
      </c>
      <c r="H167" s="157">
        <f t="shared" si="8"/>
        <v>11.76</v>
      </c>
      <c r="I167" s="157"/>
      <c r="J167" s="157">
        <f t="shared" si="9"/>
        <v>0</v>
      </c>
      <c r="K167" s="157"/>
      <c r="L167" s="158">
        <f t="shared" si="10"/>
        <v>0</v>
      </c>
      <c r="M167" s="158">
        <f t="shared" si="11"/>
        <v>11.76</v>
      </c>
    </row>
    <row r="168" spans="3:13" ht="42" x14ac:dyDescent="0.3">
      <c r="C168" s="86" t="s">
        <v>159</v>
      </c>
      <c r="D168" s="87" t="s">
        <v>26</v>
      </c>
      <c r="E168" s="87"/>
      <c r="F168" s="160">
        <v>1</v>
      </c>
      <c r="G168" s="160"/>
      <c r="H168" s="157">
        <f t="shared" si="8"/>
        <v>0</v>
      </c>
      <c r="I168" s="157"/>
      <c r="J168" s="157">
        <f t="shared" si="9"/>
        <v>0</v>
      </c>
      <c r="K168" s="157"/>
      <c r="L168" s="158">
        <f t="shared" si="10"/>
        <v>0</v>
      </c>
      <c r="M168" s="158">
        <f t="shared" si="11"/>
        <v>0</v>
      </c>
    </row>
    <row r="169" spans="3:13" ht="21" x14ac:dyDescent="0.3">
      <c r="C169" s="57" t="s">
        <v>23</v>
      </c>
      <c r="D169" s="49" t="s">
        <v>25</v>
      </c>
      <c r="E169" s="66"/>
      <c r="F169" s="163"/>
      <c r="G169" s="163"/>
      <c r="H169" s="157">
        <f t="shared" si="8"/>
        <v>0</v>
      </c>
      <c r="I169" s="157">
        <v>3</v>
      </c>
      <c r="J169" s="157">
        <f t="shared" si="9"/>
        <v>0</v>
      </c>
      <c r="K169" s="157"/>
      <c r="L169" s="158">
        <f t="shared" si="10"/>
        <v>0</v>
      </c>
      <c r="M169" s="158">
        <f t="shared" si="11"/>
        <v>0</v>
      </c>
    </row>
    <row r="170" spans="3:13" ht="21" x14ac:dyDescent="0.3">
      <c r="C170" s="57" t="s">
        <v>160</v>
      </c>
      <c r="D170" s="49" t="s">
        <v>107</v>
      </c>
      <c r="E170" s="66"/>
      <c r="F170" s="163">
        <f>78.5</f>
        <v>78.5</v>
      </c>
      <c r="G170" s="163">
        <v>3</v>
      </c>
      <c r="H170" s="157">
        <f t="shared" si="8"/>
        <v>235.5</v>
      </c>
      <c r="I170" s="157"/>
      <c r="J170" s="157">
        <f t="shared" si="9"/>
        <v>0</v>
      </c>
      <c r="K170" s="157"/>
      <c r="L170" s="158">
        <f t="shared" si="10"/>
        <v>0</v>
      </c>
      <c r="M170" s="158">
        <f t="shared" si="11"/>
        <v>235.5</v>
      </c>
    </row>
    <row r="171" spans="3:13" ht="21" x14ac:dyDescent="0.3">
      <c r="C171" s="57" t="s">
        <v>161</v>
      </c>
      <c r="D171" s="49" t="s">
        <v>107</v>
      </c>
      <c r="E171" s="66"/>
      <c r="F171" s="163">
        <f>11.3</f>
        <v>11.3</v>
      </c>
      <c r="G171" s="163">
        <v>3</v>
      </c>
      <c r="H171" s="157">
        <f t="shared" si="8"/>
        <v>33.900000000000006</v>
      </c>
      <c r="I171" s="157"/>
      <c r="J171" s="157">
        <f t="shared" si="9"/>
        <v>0</v>
      </c>
      <c r="K171" s="157"/>
      <c r="L171" s="158">
        <f t="shared" si="10"/>
        <v>0</v>
      </c>
      <c r="M171" s="158">
        <f t="shared" si="11"/>
        <v>33.900000000000006</v>
      </c>
    </row>
    <row r="172" spans="3:13" ht="21" x14ac:dyDescent="0.3">
      <c r="C172" s="64" t="s">
        <v>80</v>
      </c>
      <c r="D172" s="65" t="s">
        <v>55</v>
      </c>
      <c r="E172" s="91"/>
      <c r="F172" s="157">
        <f>0.26</f>
        <v>0.26</v>
      </c>
      <c r="G172" s="162">
        <v>220</v>
      </c>
      <c r="H172" s="157">
        <f t="shared" si="8"/>
        <v>57.2</v>
      </c>
      <c r="I172" s="157"/>
      <c r="J172" s="157">
        <f t="shared" si="9"/>
        <v>0</v>
      </c>
      <c r="K172" s="157"/>
      <c r="L172" s="158">
        <f t="shared" si="10"/>
        <v>0</v>
      </c>
      <c r="M172" s="158">
        <f t="shared" si="11"/>
        <v>57.2</v>
      </c>
    </row>
    <row r="173" spans="3:13" ht="21" x14ac:dyDescent="0.3">
      <c r="C173" s="90" t="s">
        <v>162</v>
      </c>
      <c r="D173" s="81" t="s">
        <v>90</v>
      </c>
      <c r="E173" s="91"/>
      <c r="F173" s="163">
        <f>1.16</f>
        <v>1.1599999999999999</v>
      </c>
      <c r="G173" s="163">
        <v>50</v>
      </c>
      <c r="H173" s="157">
        <f t="shared" si="8"/>
        <v>57.999999999999993</v>
      </c>
      <c r="I173" s="157"/>
      <c r="J173" s="157">
        <f t="shared" si="9"/>
        <v>0</v>
      </c>
      <c r="K173" s="157"/>
      <c r="L173" s="158">
        <f t="shared" si="10"/>
        <v>0</v>
      </c>
      <c r="M173" s="158">
        <f t="shared" si="11"/>
        <v>57.999999999999993</v>
      </c>
    </row>
    <row r="174" spans="3:13" ht="21" x14ac:dyDescent="0.3">
      <c r="C174" s="90" t="s">
        <v>163</v>
      </c>
      <c r="D174" s="81" t="s">
        <v>90</v>
      </c>
      <c r="E174" s="91"/>
      <c r="F174" s="163">
        <f>2.66</f>
        <v>2.66</v>
      </c>
      <c r="G174" s="163">
        <v>20</v>
      </c>
      <c r="H174" s="157">
        <f t="shared" si="8"/>
        <v>53.2</v>
      </c>
      <c r="I174" s="157"/>
      <c r="J174" s="157">
        <f t="shared" si="9"/>
        <v>0</v>
      </c>
      <c r="K174" s="157"/>
      <c r="L174" s="158">
        <f t="shared" si="10"/>
        <v>0</v>
      </c>
      <c r="M174" s="158">
        <f t="shared" si="11"/>
        <v>53.2</v>
      </c>
    </row>
    <row r="175" spans="3:13" ht="21" x14ac:dyDescent="0.3">
      <c r="C175" s="90" t="s">
        <v>164</v>
      </c>
      <c r="D175" s="81" t="s">
        <v>90</v>
      </c>
      <c r="E175" s="91"/>
      <c r="F175" s="163">
        <f>2.92</f>
        <v>2.92</v>
      </c>
      <c r="G175" s="163">
        <v>20</v>
      </c>
      <c r="H175" s="157">
        <f t="shared" si="8"/>
        <v>58.4</v>
      </c>
      <c r="I175" s="157"/>
      <c r="J175" s="157">
        <f t="shared" si="9"/>
        <v>0</v>
      </c>
      <c r="K175" s="157"/>
      <c r="L175" s="158">
        <f t="shared" si="10"/>
        <v>0</v>
      </c>
      <c r="M175" s="158">
        <f t="shared" si="11"/>
        <v>58.4</v>
      </c>
    </row>
    <row r="176" spans="3:13" ht="21" x14ac:dyDescent="0.3">
      <c r="C176" s="57" t="s">
        <v>165</v>
      </c>
      <c r="D176" s="81" t="s">
        <v>90</v>
      </c>
      <c r="E176" s="134"/>
      <c r="F176" s="163">
        <f>0.16</f>
        <v>0.16</v>
      </c>
      <c r="G176" s="163">
        <v>50</v>
      </c>
      <c r="H176" s="157">
        <f t="shared" si="8"/>
        <v>8</v>
      </c>
      <c r="I176" s="157"/>
      <c r="J176" s="157">
        <f t="shared" si="9"/>
        <v>0</v>
      </c>
      <c r="K176" s="157"/>
      <c r="L176" s="158">
        <f t="shared" si="10"/>
        <v>0</v>
      </c>
      <c r="M176" s="158">
        <f t="shared" si="11"/>
        <v>8</v>
      </c>
    </row>
    <row r="177" spans="3:13" ht="21" x14ac:dyDescent="0.3">
      <c r="C177" s="90" t="s">
        <v>166</v>
      </c>
      <c r="D177" s="81" t="s">
        <v>107</v>
      </c>
      <c r="E177" s="135"/>
      <c r="F177" s="163">
        <f>0.15</f>
        <v>0.15</v>
      </c>
      <c r="G177" s="163">
        <v>2</v>
      </c>
      <c r="H177" s="157">
        <f t="shared" si="8"/>
        <v>0.3</v>
      </c>
      <c r="I177" s="157"/>
      <c r="J177" s="157">
        <f t="shared" si="9"/>
        <v>0</v>
      </c>
      <c r="K177" s="157"/>
      <c r="L177" s="158">
        <f t="shared" si="10"/>
        <v>0</v>
      </c>
      <c r="M177" s="158">
        <f t="shared" si="11"/>
        <v>0.3</v>
      </c>
    </row>
    <row r="178" spans="3:13" ht="21" x14ac:dyDescent="0.3">
      <c r="C178" s="90" t="s">
        <v>167</v>
      </c>
      <c r="D178" s="81" t="s">
        <v>90</v>
      </c>
      <c r="E178" s="135"/>
      <c r="F178" s="163">
        <f>7.5</f>
        <v>7.5</v>
      </c>
      <c r="G178" s="163">
        <v>5</v>
      </c>
      <c r="H178" s="157">
        <f t="shared" si="8"/>
        <v>37.5</v>
      </c>
      <c r="I178" s="157"/>
      <c r="J178" s="157">
        <f t="shared" si="9"/>
        <v>0</v>
      </c>
      <c r="K178" s="157"/>
      <c r="L178" s="158">
        <f t="shared" si="10"/>
        <v>0</v>
      </c>
      <c r="M178" s="158">
        <f t="shared" si="11"/>
        <v>37.5</v>
      </c>
    </row>
    <row r="179" spans="3:13" ht="21" x14ac:dyDescent="0.3">
      <c r="C179" s="90" t="s">
        <v>168</v>
      </c>
      <c r="D179" s="81" t="s">
        <v>26</v>
      </c>
      <c r="E179" s="135"/>
      <c r="F179" s="163">
        <f>2</f>
        <v>2</v>
      </c>
      <c r="G179" s="163">
        <v>5</v>
      </c>
      <c r="H179" s="157">
        <f t="shared" si="8"/>
        <v>10</v>
      </c>
      <c r="I179" s="157"/>
      <c r="J179" s="157">
        <f t="shared" si="9"/>
        <v>0</v>
      </c>
      <c r="K179" s="157"/>
      <c r="L179" s="158">
        <f t="shared" si="10"/>
        <v>0</v>
      </c>
      <c r="M179" s="158">
        <f t="shared" si="11"/>
        <v>10</v>
      </c>
    </row>
    <row r="180" spans="3:13" ht="21" x14ac:dyDescent="0.3">
      <c r="C180" s="138" t="s">
        <v>21</v>
      </c>
      <c r="D180" s="138"/>
      <c r="E180" s="138"/>
      <c r="F180" s="170"/>
      <c r="G180" s="170"/>
      <c r="H180" s="171">
        <f>SUM(H8:H179)</f>
        <v>33428.566208000011</v>
      </c>
      <c r="I180" s="170"/>
      <c r="J180" s="171">
        <f>SUM(J8:J179)</f>
        <v>6772.3643600000005</v>
      </c>
      <c r="K180" s="170"/>
      <c r="L180" s="171">
        <f>SUM(L8:L179)</f>
        <v>5944.8642799999989</v>
      </c>
      <c r="M180" s="171">
        <f>SUM(M8:M179)</f>
        <v>46145.794848000005</v>
      </c>
    </row>
    <row r="181" spans="3:13" ht="21" x14ac:dyDescent="0.3">
      <c r="C181" s="141" t="s">
        <v>169</v>
      </c>
      <c r="D181" s="190">
        <v>0.03</v>
      </c>
      <c r="E181" s="143"/>
      <c r="F181" s="172"/>
      <c r="G181" s="172"/>
      <c r="H181" s="172">
        <f>H180*D181</f>
        <v>1002.8569862400003</v>
      </c>
      <c r="I181" s="172"/>
      <c r="J181" s="172"/>
      <c r="K181" s="172"/>
      <c r="L181" s="172"/>
      <c r="M181" s="172">
        <f>H181</f>
        <v>1002.8569862400003</v>
      </c>
    </row>
    <row r="182" spans="3:13" ht="21" x14ac:dyDescent="0.3">
      <c r="C182" s="145" t="s">
        <v>21</v>
      </c>
      <c r="D182" s="145"/>
      <c r="E182" s="145"/>
      <c r="F182" s="172"/>
      <c r="G182" s="172"/>
      <c r="H182" s="173"/>
      <c r="I182" s="172"/>
      <c r="J182" s="173"/>
      <c r="K182" s="172"/>
      <c r="L182" s="173"/>
      <c r="M182" s="173">
        <f>SUM(M180:M181)</f>
        <v>47148.651834240009</v>
      </c>
    </row>
    <row r="183" spans="3:13" ht="21" x14ac:dyDescent="0.3">
      <c r="C183" s="145" t="s">
        <v>170</v>
      </c>
      <c r="D183" s="190">
        <v>0.1</v>
      </c>
      <c r="E183" s="143"/>
      <c r="F183" s="173"/>
      <c r="G183" s="173"/>
      <c r="H183" s="173"/>
      <c r="I183" s="173"/>
      <c r="J183" s="173"/>
      <c r="K183" s="173"/>
      <c r="L183" s="173"/>
      <c r="M183" s="173">
        <f>M182*D183</f>
        <v>4714.8651834240009</v>
      </c>
    </row>
    <row r="184" spans="3:13" ht="21" x14ac:dyDescent="0.3">
      <c r="C184" s="145" t="s">
        <v>21</v>
      </c>
      <c r="D184" s="142"/>
      <c r="E184" s="143"/>
      <c r="F184" s="173"/>
      <c r="G184" s="173"/>
      <c r="H184" s="173"/>
      <c r="I184" s="173"/>
      <c r="J184" s="173"/>
      <c r="K184" s="173"/>
      <c r="L184" s="173"/>
      <c r="M184" s="173">
        <f>SUM(M182:M183)</f>
        <v>51863.517017664009</v>
      </c>
    </row>
    <row r="185" spans="3:13" ht="21" x14ac:dyDescent="0.3">
      <c r="C185" s="145" t="s">
        <v>171</v>
      </c>
      <c r="D185" s="190">
        <v>0.08</v>
      </c>
      <c r="E185" s="143"/>
      <c r="F185" s="173"/>
      <c r="G185" s="173"/>
      <c r="H185" s="173"/>
      <c r="I185" s="173"/>
      <c r="J185" s="173"/>
      <c r="K185" s="173"/>
      <c r="L185" s="174"/>
      <c r="M185" s="173">
        <f>M184*D185</f>
        <v>4149.0813614131212</v>
      </c>
    </row>
    <row r="186" spans="3:13" ht="21" x14ac:dyDescent="0.3">
      <c r="C186" s="138" t="s">
        <v>172</v>
      </c>
      <c r="D186" s="138"/>
      <c r="E186" s="138"/>
      <c r="F186" s="170"/>
      <c r="G186" s="170"/>
      <c r="H186" s="171"/>
      <c r="I186" s="170"/>
      <c r="J186" s="171"/>
      <c r="K186" s="170"/>
      <c r="L186" s="171"/>
      <c r="M186" s="171">
        <f>SUM(M184:M185)</f>
        <v>56012.598379077128</v>
      </c>
    </row>
  </sheetData>
  <protectedRanges>
    <protectedRange sqref="AB106:AB113" name="Range1_1_1_2"/>
    <protectedRange sqref="E68:E76 E41:E47 E89:E104 E107:E110" name="Range1_1_1_2_1_1"/>
    <protectedRange sqref="G159 G154:G157" name="Range1_1_1_2_2"/>
  </protectedRanges>
  <mergeCells count="38">
    <mergeCell ref="A1:M1"/>
    <mergeCell ref="A2:M2"/>
    <mergeCell ref="A3:C3"/>
    <mergeCell ref="D3:F3"/>
    <mergeCell ref="A4:C4"/>
    <mergeCell ref="D4:F4"/>
    <mergeCell ref="L4:M4"/>
    <mergeCell ref="A13:A16"/>
    <mergeCell ref="A5:A6"/>
    <mergeCell ref="B5:B6"/>
    <mergeCell ref="C5:C6"/>
    <mergeCell ref="D5:D6"/>
    <mergeCell ref="I5:J5"/>
    <mergeCell ref="K5:L5"/>
    <mergeCell ref="M5:M6"/>
    <mergeCell ref="A8:A9"/>
    <mergeCell ref="A10:A12"/>
    <mergeCell ref="E5:F5"/>
    <mergeCell ref="G5:H5"/>
    <mergeCell ref="A83:A87"/>
    <mergeCell ref="A17:A21"/>
    <mergeCell ref="A22:A24"/>
    <mergeCell ref="A25:A35"/>
    <mergeCell ref="A36:A40"/>
    <mergeCell ref="A41:A52"/>
    <mergeCell ref="A53:A61"/>
    <mergeCell ref="A62:A68"/>
    <mergeCell ref="A69:A74"/>
    <mergeCell ref="A75:A76"/>
    <mergeCell ref="A77:A79"/>
    <mergeCell ref="A80:A82"/>
    <mergeCell ref="A122:A133"/>
    <mergeCell ref="A88:A91"/>
    <mergeCell ref="A92:A100"/>
    <mergeCell ref="A101:A103"/>
    <mergeCell ref="A104:A105"/>
    <mergeCell ref="A106:A113"/>
    <mergeCell ref="A114:A121"/>
  </mergeCells>
  <conditionalFormatting sqref="G93 I93:L93 C87:F87 E41:E84">
    <cfRule type="cellIs" dxfId="2" priority="3" stopIfTrue="1" operator="equal">
      <formula>8223.307275</formula>
    </cfRule>
  </conditionalFormatting>
  <conditionalFormatting sqref="D93:F93">
    <cfRule type="cellIs" dxfId="1" priority="2" operator="equal">
      <formula>0</formula>
    </cfRule>
  </conditionalFormatting>
  <conditionalFormatting sqref="C93">
    <cfRule type="cellIs" dxfId="0" priority="1" stopIfTrue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დეფექტური აქტი</vt:lpstr>
      <vt:lpstr>ნაკრები ხარჯთაღრიცხვა</vt:lpstr>
      <vt:lpstr>კერბულაში</vt:lpstr>
      <vt:lpstr>დევდარიანები</vt:lpstr>
      <vt:lpstr>gvimbrala</vt:lpstr>
      <vt:lpstr>gvimbrala!Print_Area</vt:lpstr>
      <vt:lpstr>დევდარიანები!Print_Area</vt:lpstr>
      <vt:lpstr>'დეფექტური აქტი'!Print_Area</vt:lpstr>
      <vt:lpstr>კერბულაში!Print_Area</vt:lpstr>
      <vt:lpstr>'ნაკრები ხარჯთაღრიცხვა'!Print_Area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2022-06-24T19:32:35Z</dcterms:modified>
</cp:coreProperties>
</file>